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comments12.xml" ContentType="application/vnd.openxmlformats-officedocument.spreadsheetml.comments+xml"/>
  <Override PartName="/xl/drawings/drawing16.xml" ContentType="application/vnd.openxmlformats-officedocument.drawing+xml"/>
  <Override PartName="/xl/comments13.xml" ContentType="application/vnd.openxmlformats-officedocument.spreadsheetml.comments+xml"/>
  <Override PartName="/xl/comments14.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drawings/drawing23.xml" ContentType="application/vnd.openxmlformats-officedocument.drawing+xml"/>
  <Override PartName="/xl/comments21.xml" ContentType="application/vnd.openxmlformats-officedocument.spreadsheetml.comments+xml"/>
  <Override PartName="/xl/drawings/drawing24.xml" ContentType="application/vnd.openxmlformats-officedocument.drawing+xml"/>
  <Override PartName="/xl/comments22.xml" ContentType="application/vnd.openxmlformats-officedocument.spreadsheetml.comments+xml"/>
  <Override PartName="/xl/drawings/drawing25.xml" ContentType="application/vnd.openxmlformats-officedocument.drawing+xml"/>
  <Override PartName="/xl/comments23.xml" ContentType="application/vnd.openxmlformats-officedocument.spreadsheetml.comments+xml"/>
  <Override PartName="/xl/drawings/drawing26.xml" ContentType="application/vnd.openxmlformats-officedocument.drawing+xml"/>
  <Override PartName="/xl/comments2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5bbc1cc0fa6a8fb3/Desktop/DEV/CUSTOM_GPTs/War Thunder/War Thunder GPT KnowledgeDb/"/>
    </mc:Choice>
  </mc:AlternateContent>
  <xr:revisionPtr revIDLastSave="6" documentId="11_1A94E27DF880CAF2FBDFBF2F4A32D4390181EA38" xr6:coauthVersionLast="47" xr6:coauthVersionMax="47" xr10:uidLastSave="{E5FF9C2C-BB78-413E-BF27-A99CE1859A14}"/>
  <bookViews>
    <workbookView xWindow="14295" yWindow="0" windowWidth="14610" windowHeight="16305" tabRatio="1000" firstSheet="39" activeTab="42" xr2:uid="{00000000-000D-0000-FFFF-FFFF00000000}"/>
  </bookViews>
  <sheets>
    <sheet name="Turn Performance" sheetId="1" r:id="rId1"/>
    <sheet name="Missile Data" sheetId="2" r:id="rId2"/>
    <sheet name="EM Charts" sheetId="3" r:id="rId3"/>
    <sheet name="Sea level speed &amp; Map Data" sheetId="4" r:id="rId4"/>
    <sheet name="Sim Farming Guide" sheetId="5" r:id="rId5"/>
    <sheet name="Credits and useful links" sheetId="6" r:id="rId6"/>
    <sheet name="Recomended Evasive Maneuvers " sheetId="7" r:id="rId7"/>
    <sheet name="Home Page" sheetId="12" r:id="rId8"/>
    <sheet name="AAM (IR rear-aspect)" sheetId="13" r:id="rId9"/>
    <sheet name="AAM (IR all-aspect)" sheetId="14" r:id="rId10"/>
    <sheet name="AAM (IR heli)" sheetId="15" r:id="rId11"/>
    <sheet name="AAM (SARH) (2)" sheetId="16" r:id="rId12"/>
    <sheet name="AAM (ARH)" sheetId="17" r:id="rId13"/>
    <sheet name="AAM (Manual)" sheetId="18" r:id="rId14"/>
    <sheet name="AGM (TV)" sheetId="19" r:id="rId15"/>
    <sheet name="AGM (IR)" sheetId="20" r:id="rId16"/>
    <sheet name="AGM (GNSS)" sheetId="21" r:id="rId17"/>
    <sheet name="AGM (SALH)" sheetId="22" r:id="rId18"/>
    <sheet name="AGM (LOSBR)" sheetId="23" r:id="rId19"/>
    <sheet name="AGM (SACLOS)" sheetId="24" r:id="rId20"/>
    <sheet name="AGM (MCLOS)" sheetId="25" r:id="rId21"/>
    <sheet name="GBU (TV)" sheetId="26" r:id="rId22"/>
    <sheet name="GBU (IR)" sheetId="27" r:id="rId23"/>
    <sheet name="GBU (GNSS)" sheetId="28" r:id="rId24"/>
    <sheet name="GBU (SALH)" sheetId="29" r:id="rId25"/>
    <sheet name="SAM (IR)" sheetId="30" r:id="rId26"/>
    <sheet name="SAM (IROPTICAL)" sheetId="31" r:id="rId27"/>
    <sheet name="SAM (LOSBR)" sheetId="32" r:id="rId28"/>
    <sheet name="SAM (SACLOS)" sheetId="33" r:id="rId29"/>
    <sheet name="ATGM (IR)" sheetId="34" r:id="rId30"/>
    <sheet name="ATGM (LOSBR)" sheetId="35" r:id="rId31"/>
    <sheet name="ATGM (SACLOS)" sheetId="36" r:id="rId32"/>
    <sheet name="ATGM (MCLOS)" sheetId="37" r:id="rId33"/>
    <sheet name="AShM (ARH)" sheetId="43" r:id="rId34"/>
    <sheet name="AShM (SACLOS)" sheetId="38" r:id="rId35"/>
    <sheet name="SAM (IR) (naval)" sheetId="39" r:id="rId36"/>
    <sheet name="SAM (SACLOS) (naval)" sheetId="40" r:id="rId37"/>
    <sheet name="TGP and sights" sheetId="41" r:id="rId38"/>
    <sheet name="Responses" sheetId="42" r:id="rId39"/>
    <sheet name="Change Log and Credits" sheetId="44" r:id="rId40"/>
    <sheet name="Soviet Union Weapons" sheetId="45" r:id="rId41"/>
    <sheet name="British Weapons" sheetId="46" r:id="rId42"/>
    <sheet name="German and Italian Weapons" sheetId="49" r:id="rId43"/>
    <sheet name="Japanese Weapons" sheetId="47" r:id="rId44"/>
    <sheet name="Copy of AAM (IR all-aspect)" sheetId="8" state="hidden" r:id="rId45"/>
    <sheet name="AAM (SARH)" sheetId="9" state="hidden" r:id="rId46"/>
    <sheet name="Copy of AAM (IR rear-aspect)" sheetId="10" state="hidden" r:id="rId47"/>
    <sheet name="Copy of AAM (ARH)" sheetId="11" state="hidden" r:id="rId4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7" i="47" l="1"/>
  <c r="A19" i="47"/>
  <c r="S19" i="47"/>
  <c r="J4" i="45"/>
  <c r="J21" i="45"/>
  <c r="J39" i="45"/>
  <c r="A11" i="43" l="1"/>
  <c r="B11" i="43"/>
  <c r="C11" i="43"/>
  <c r="B12" i="43"/>
  <c r="C12" i="43"/>
  <c r="C13" i="43" s="1"/>
  <c r="B13" i="43"/>
  <c r="B19" i="43" s="1"/>
  <c r="B17" i="43"/>
  <c r="C17" i="43"/>
  <c r="B18" i="43"/>
  <c r="C18" i="43"/>
  <c r="C19" i="43" s="1"/>
  <c r="B21" i="43"/>
  <c r="C21" i="43"/>
  <c r="B75" i="43"/>
  <c r="C75" i="43"/>
  <c r="A11" i="40"/>
  <c r="B11" i="40"/>
  <c r="C11" i="40"/>
  <c r="B12" i="40"/>
  <c r="B13" i="40" s="1"/>
  <c r="C12" i="40"/>
  <c r="C13" i="40" s="1"/>
  <c r="B16" i="40"/>
  <c r="B17" i="40" s="1"/>
  <c r="B18" i="40" s="1"/>
  <c r="C16" i="40"/>
  <c r="C17" i="40" s="1"/>
  <c r="C18" i="40" s="1"/>
  <c r="B20" i="40"/>
  <c r="C20" i="40"/>
  <c r="C44" i="40"/>
  <c r="A11" i="39"/>
  <c r="B11" i="39"/>
  <c r="C11" i="39"/>
  <c r="B12" i="39"/>
  <c r="B13" i="39" s="1"/>
  <c r="C12" i="39"/>
  <c r="C13" i="39"/>
  <c r="B17" i="39"/>
  <c r="B18" i="39" s="1"/>
  <c r="B19" i="39" s="1"/>
  <c r="C17" i="39"/>
  <c r="C18" i="39"/>
  <c r="C19" i="39" s="1"/>
  <c r="B21" i="39"/>
  <c r="C21" i="39"/>
  <c r="B58" i="39"/>
  <c r="C58" i="39"/>
  <c r="A11" i="38"/>
  <c r="B11" i="38"/>
  <c r="C11" i="38"/>
  <c r="D11" i="38"/>
  <c r="E11" i="38"/>
  <c r="B12" i="38"/>
  <c r="B13" i="38" s="1"/>
  <c r="B19" i="38" s="1"/>
  <c r="C12" i="38"/>
  <c r="C13" i="38" s="1"/>
  <c r="C19" i="38" s="1"/>
  <c r="D12" i="38"/>
  <c r="D13" i="38" s="1"/>
  <c r="E12" i="38"/>
  <c r="E13" i="38"/>
  <c r="D17" i="38"/>
  <c r="D18" i="38" s="1"/>
  <c r="D19" i="38" s="1"/>
  <c r="E19" i="38"/>
  <c r="B21" i="38"/>
  <c r="C21" i="38"/>
  <c r="D21" i="38"/>
  <c r="E21" i="38"/>
  <c r="A11" i="37"/>
  <c r="B11" i="37"/>
  <c r="C11" i="37"/>
  <c r="D11" i="37"/>
  <c r="E11" i="37"/>
  <c r="F11" i="37"/>
  <c r="B12" i="37"/>
  <c r="B13" i="37" s="1"/>
  <c r="C12" i="37"/>
  <c r="D12" i="37"/>
  <c r="E12" i="37"/>
  <c r="F12" i="37"/>
  <c r="C13" i="37"/>
  <c r="D13" i="37"/>
  <c r="E13" i="37"/>
  <c r="F13" i="37"/>
  <c r="B16" i="37"/>
  <c r="B17" i="37" s="1"/>
  <c r="B18" i="37" s="1"/>
  <c r="C16" i="37"/>
  <c r="C17" i="37" s="1"/>
  <c r="C18" i="37" s="1"/>
  <c r="D16" i="37"/>
  <c r="D17" i="37" s="1"/>
  <c r="D18" i="37" s="1"/>
  <c r="E16" i="37"/>
  <c r="E17" i="37" s="1"/>
  <c r="E18" i="37" s="1"/>
  <c r="F16" i="37"/>
  <c r="F17" i="37"/>
  <c r="F18" i="37" s="1"/>
  <c r="B20" i="37"/>
  <c r="C20" i="37"/>
  <c r="D20" i="37"/>
  <c r="E20" i="37"/>
  <c r="F20" i="37"/>
  <c r="A11" i="36"/>
  <c r="B11" i="36"/>
  <c r="C11" i="36"/>
  <c r="D11" i="36"/>
  <c r="E11" i="36"/>
  <c r="F11" i="36"/>
  <c r="G11" i="36"/>
  <c r="H11" i="36"/>
  <c r="I11" i="36"/>
  <c r="J11" i="36"/>
  <c r="K11" i="36"/>
  <c r="L11" i="36"/>
  <c r="M11" i="36"/>
  <c r="N11" i="36"/>
  <c r="O11" i="36"/>
  <c r="P11" i="36"/>
  <c r="Q11" i="36"/>
  <c r="R11" i="36"/>
  <c r="S11" i="36"/>
  <c r="T11" i="36"/>
  <c r="U11" i="36"/>
  <c r="W11" i="36"/>
  <c r="X11" i="36"/>
  <c r="Y11" i="36"/>
  <c r="Z11" i="36"/>
  <c r="AA11" i="36"/>
  <c r="AB11" i="36"/>
  <c r="AC11" i="36"/>
  <c r="AD11" i="36"/>
  <c r="AE11" i="36"/>
  <c r="B12" i="36"/>
  <c r="C12" i="36"/>
  <c r="D12" i="36"/>
  <c r="E12" i="36"/>
  <c r="F12" i="36"/>
  <c r="F13" i="36" s="1"/>
  <c r="G12" i="36"/>
  <c r="G13" i="36" s="1"/>
  <c r="H12" i="36"/>
  <c r="H13" i="36" s="1"/>
  <c r="I12" i="36"/>
  <c r="J12" i="36"/>
  <c r="J13" i="36" s="1"/>
  <c r="K12" i="36"/>
  <c r="K13" i="36" s="1"/>
  <c r="K19" i="36" s="1"/>
  <c r="L12" i="36"/>
  <c r="M12" i="36"/>
  <c r="N12" i="36"/>
  <c r="N13" i="36" s="1"/>
  <c r="N19" i="36" s="1"/>
  <c r="O12" i="36"/>
  <c r="O13" i="36" s="1"/>
  <c r="O19" i="36" s="1"/>
  <c r="P12" i="36"/>
  <c r="P13" i="36" s="1"/>
  <c r="P19" i="36" s="1"/>
  <c r="Q12" i="36"/>
  <c r="R12" i="36"/>
  <c r="S12" i="36"/>
  <c r="T12" i="36"/>
  <c r="T13" i="36" s="1"/>
  <c r="U12" i="36"/>
  <c r="W12" i="36"/>
  <c r="X12" i="36"/>
  <c r="Y12" i="36"/>
  <c r="Z12" i="36"/>
  <c r="AA12" i="36"/>
  <c r="AA13" i="36" s="1"/>
  <c r="AB12" i="36"/>
  <c r="AB13" i="36" s="1"/>
  <c r="AC12" i="36"/>
  <c r="AC13" i="36" s="1"/>
  <c r="AD12" i="36"/>
  <c r="AE12" i="36"/>
  <c r="AE13" i="36" s="1"/>
  <c r="B13" i="36"/>
  <c r="C13" i="36"/>
  <c r="D13" i="36"/>
  <c r="E13" i="36"/>
  <c r="I13" i="36"/>
  <c r="L13" i="36"/>
  <c r="M13" i="36"/>
  <c r="Q13" i="36"/>
  <c r="R13" i="36"/>
  <c r="R19" i="36" s="1"/>
  <c r="S13" i="36"/>
  <c r="S19" i="36" s="1"/>
  <c r="U13" i="36"/>
  <c r="W13" i="36"/>
  <c r="W19" i="36" s="1"/>
  <c r="X13" i="36"/>
  <c r="Y13" i="36"/>
  <c r="Z13" i="36"/>
  <c r="AD13" i="36"/>
  <c r="B17" i="36"/>
  <c r="D17" i="36"/>
  <c r="E17" i="36"/>
  <c r="E18" i="36" s="1"/>
  <c r="E19" i="36" s="1"/>
  <c r="F17" i="36"/>
  <c r="G17" i="36"/>
  <c r="H17" i="36"/>
  <c r="H18" i="36" s="1"/>
  <c r="I17" i="36"/>
  <c r="I18" i="36" s="1"/>
  <c r="I19" i="36" s="1"/>
  <c r="J17" i="36"/>
  <c r="J18" i="36" s="1"/>
  <c r="P17" i="36"/>
  <c r="Q17" i="36"/>
  <c r="T17" i="36"/>
  <c r="T18" i="36" s="1"/>
  <c r="U17" i="36"/>
  <c r="U18" i="36" s="1"/>
  <c r="U19" i="36" s="1"/>
  <c r="Z17" i="36"/>
  <c r="AA17" i="36"/>
  <c r="AB17" i="36"/>
  <c r="AB18" i="36" s="1"/>
  <c r="AC17" i="36"/>
  <c r="AC18" i="36" s="1"/>
  <c r="AD17" i="36"/>
  <c r="AE17" i="36"/>
  <c r="AE18" i="36" s="1"/>
  <c r="B18" i="36"/>
  <c r="B19" i="36" s="1"/>
  <c r="D18" i="36"/>
  <c r="D19" i="36" s="1"/>
  <c r="F18" i="36"/>
  <c r="F19" i="36" s="1"/>
  <c r="G18" i="36"/>
  <c r="G19" i="36" s="1"/>
  <c r="P18" i="36"/>
  <c r="Q18" i="36"/>
  <c r="Z18" i="36"/>
  <c r="Z19" i="36" s="1"/>
  <c r="AA18" i="36"/>
  <c r="AD18" i="36"/>
  <c r="AD19" i="36" s="1"/>
  <c r="C19" i="36"/>
  <c r="L19" i="36"/>
  <c r="M19" i="36"/>
  <c r="Q19" i="36"/>
  <c r="X19" i="36"/>
  <c r="Y19" i="36"/>
  <c r="B21" i="36"/>
  <c r="C21" i="36"/>
  <c r="D21" i="36"/>
  <c r="E21" i="36"/>
  <c r="F21" i="36"/>
  <c r="G21" i="36"/>
  <c r="H21" i="36"/>
  <c r="I21" i="36"/>
  <c r="J21" i="36"/>
  <c r="K21" i="36"/>
  <c r="L21" i="36"/>
  <c r="M21" i="36"/>
  <c r="N21" i="36"/>
  <c r="O21" i="36"/>
  <c r="P21" i="36"/>
  <c r="Q21" i="36"/>
  <c r="R21" i="36"/>
  <c r="S21" i="36"/>
  <c r="T21" i="36"/>
  <c r="U21" i="36"/>
  <c r="V21" i="36"/>
  <c r="W21" i="36"/>
  <c r="X21" i="36"/>
  <c r="Y21" i="36"/>
  <c r="Z21" i="36"/>
  <c r="AA21" i="36"/>
  <c r="AB21" i="36"/>
  <c r="AC21" i="36"/>
  <c r="AD21" i="36"/>
  <c r="AE21" i="36"/>
  <c r="B46" i="36"/>
  <c r="C46" i="36"/>
  <c r="D46" i="36"/>
  <c r="E46" i="36"/>
  <c r="F46" i="36"/>
  <c r="G46" i="36"/>
  <c r="J46" i="36"/>
  <c r="K46" i="36"/>
  <c r="L46" i="36"/>
  <c r="M46" i="36"/>
  <c r="N46" i="36"/>
  <c r="O46" i="36"/>
  <c r="R46" i="36"/>
  <c r="S46" i="36"/>
  <c r="V46" i="36"/>
  <c r="W46" i="36"/>
  <c r="X46" i="36"/>
  <c r="Y46" i="36"/>
  <c r="Z46" i="36"/>
  <c r="AD46" i="36"/>
  <c r="AE46" i="36"/>
  <c r="A11" i="35"/>
  <c r="B11" i="35"/>
  <c r="C11" i="35"/>
  <c r="D11" i="35"/>
  <c r="E11" i="35"/>
  <c r="F11" i="35"/>
  <c r="G11" i="35"/>
  <c r="H11" i="35"/>
  <c r="I11" i="35"/>
  <c r="J11" i="35"/>
  <c r="K11" i="35"/>
  <c r="L11" i="35"/>
  <c r="M11" i="35"/>
  <c r="N11" i="35"/>
  <c r="O11" i="35"/>
  <c r="P11" i="35"/>
  <c r="Q11" i="35"/>
  <c r="B12" i="35"/>
  <c r="B13" i="35" s="1"/>
  <c r="B19" i="35" s="1"/>
  <c r="C12" i="35"/>
  <c r="C13" i="35" s="1"/>
  <c r="C19" i="35" s="1"/>
  <c r="D12" i="35"/>
  <c r="D13" i="35" s="1"/>
  <c r="D19" i="35" s="1"/>
  <c r="E12" i="35"/>
  <c r="F12" i="35"/>
  <c r="G12" i="35"/>
  <c r="G13" i="35" s="1"/>
  <c r="G19" i="35" s="1"/>
  <c r="H12" i="35"/>
  <c r="I12" i="35"/>
  <c r="J12" i="35"/>
  <c r="K12" i="35"/>
  <c r="L12" i="35"/>
  <c r="L13" i="35" s="1"/>
  <c r="L19" i="35" s="1"/>
  <c r="M12" i="35"/>
  <c r="M13" i="35" s="1"/>
  <c r="M19" i="35" s="1"/>
  <c r="N12" i="35"/>
  <c r="N13" i="35" s="1"/>
  <c r="N19" i="35" s="1"/>
  <c r="O12" i="35"/>
  <c r="O13" i="35" s="1"/>
  <c r="O19" i="35" s="1"/>
  <c r="P12" i="35"/>
  <c r="P13" i="35" s="1"/>
  <c r="P19" i="35" s="1"/>
  <c r="Q12" i="35"/>
  <c r="Q13" i="35" s="1"/>
  <c r="Q19" i="35" s="1"/>
  <c r="E13" i="35"/>
  <c r="E19" i="35" s="1"/>
  <c r="F13" i="35"/>
  <c r="F19" i="35" s="1"/>
  <c r="H13" i="35"/>
  <c r="I13" i="35"/>
  <c r="J13" i="35"/>
  <c r="K13" i="35"/>
  <c r="K19" i="35" s="1"/>
  <c r="G17" i="35"/>
  <c r="H17" i="35"/>
  <c r="I17" i="35"/>
  <c r="J17" i="35"/>
  <c r="J18" i="35" s="1"/>
  <c r="J19" i="35" s="1"/>
  <c r="G18" i="35"/>
  <c r="H18" i="35"/>
  <c r="H19" i="35" s="1"/>
  <c r="I18" i="35"/>
  <c r="I19" i="35" s="1"/>
  <c r="B21" i="35"/>
  <c r="C21" i="35"/>
  <c r="D21" i="35"/>
  <c r="E21" i="35"/>
  <c r="F21" i="35"/>
  <c r="G21" i="35"/>
  <c r="H21" i="35"/>
  <c r="I21" i="35"/>
  <c r="J21" i="35"/>
  <c r="K21" i="35"/>
  <c r="L21" i="35"/>
  <c r="M21" i="35"/>
  <c r="N21" i="35"/>
  <c r="P21" i="35"/>
  <c r="Q21" i="35"/>
  <c r="B41" i="35"/>
  <c r="C41" i="35"/>
  <c r="D41" i="35"/>
  <c r="E41" i="35"/>
  <c r="F41" i="35"/>
  <c r="G41" i="35"/>
  <c r="H41" i="35"/>
  <c r="I41" i="35"/>
  <c r="J41" i="35"/>
  <c r="K41" i="35"/>
  <c r="L41" i="35"/>
  <c r="M41" i="35"/>
  <c r="N41" i="35"/>
  <c r="O41" i="35"/>
  <c r="P41" i="35"/>
  <c r="Q41" i="35"/>
  <c r="A11" i="34"/>
  <c r="B11" i="34"/>
  <c r="C11" i="34"/>
  <c r="B12" i="34"/>
  <c r="B13" i="34" s="1"/>
  <c r="C12" i="34"/>
  <c r="C13" i="34"/>
  <c r="B17" i="34"/>
  <c r="B18" i="34" s="1"/>
  <c r="B19" i="34" s="1"/>
  <c r="C17" i="34"/>
  <c r="C18" i="34" s="1"/>
  <c r="C19" i="34" s="1"/>
  <c r="B21" i="34"/>
  <c r="C21" i="34"/>
  <c r="B55" i="34"/>
  <c r="C55" i="34"/>
  <c r="A11" i="33"/>
  <c r="B11" i="33"/>
  <c r="C11" i="33"/>
  <c r="D11" i="33"/>
  <c r="E11" i="33"/>
  <c r="F11" i="33"/>
  <c r="G11" i="33"/>
  <c r="H11" i="33"/>
  <c r="I11" i="33"/>
  <c r="J11" i="33"/>
  <c r="K11" i="33"/>
  <c r="L11" i="33"/>
  <c r="B12" i="33"/>
  <c r="C12" i="33"/>
  <c r="D12" i="33"/>
  <c r="E12" i="33"/>
  <c r="F12" i="33"/>
  <c r="G12" i="33"/>
  <c r="H12" i="33"/>
  <c r="H13" i="33" s="1"/>
  <c r="I12" i="33"/>
  <c r="I13" i="33" s="1"/>
  <c r="J12" i="33"/>
  <c r="J13" i="33" s="1"/>
  <c r="K12" i="33"/>
  <c r="K13" i="33" s="1"/>
  <c r="L12" i="33"/>
  <c r="B13" i="33"/>
  <c r="C13" i="33"/>
  <c r="D13" i="33"/>
  <c r="E13" i="33"/>
  <c r="E19" i="33" s="1"/>
  <c r="F13" i="33"/>
  <c r="G13" i="33"/>
  <c r="G19" i="33" s="1"/>
  <c r="L13" i="33"/>
  <c r="B17" i="33"/>
  <c r="C17" i="33"/>
  <c r="C18" i="33" s="1"/>
  <c r="C19" i="33" s="1"/>
  <c r="F17" i="33"/>
  <c r="H17" i="33"/>
  <c r="I17" i="33"/>
  <c r="I18" i="33" s="1"/>
  <c r="J17" i="33"/>
  <c r="J18" i="33" s="1"/>
  <c r="J19" i="33" s="1"/>
  <c r="K17" i="33"/>
  <c r="B18" i="33"/>
  <c r="F18" i="33"/>
  <c r="F19" i="33" s="1"/>
  <c r="H18" i="33"/>
  <c r="H19" i="33" s="1"/>
  <c r="K18" i="33"/>
  <c r="B19" i="33"/>
  <c r="D19" i="33"/>
  <c r="L19" i="33"/>
  <c r="B21" i="33"/>
  <c r="C21" i="33"/>
  <c r="D21" i="33"/>
  <c r="E21" i="33"/>
  <c r="F21" i="33"/>
  <c r="G21" i="33"/>
  <c r="H21" i="33"/>
  <c r="I21" i="33"/>
  <c r="J21" i="33"/>
  <c r="K21" i="33"/>
  <c r="L21" i="33"/>
  <c r="B46" i="33"/>
  <c r="C46" i="33"/>
  <c r="D46" i="33"/>
  <c r="E46" i="33"/>
  <c r="F46" i="33"/>
  <c r="G46" i="33"/>
  <c r="H46" i="33"/>
  <c r="L46" i="33"/>
  <c r="A11" i="32"/>
  <c r="B11" i="32"/>
  <c r="C11" i="32"/>
  <c r="D11" i="32"/>
  <c r="E11" i="32"/>
  <c r="F11" i="32"/>
  <c r="G11" i="32"/>
  <c r="B12" i="32"/>
  <c r="B13" i="32" s="1"/>
  <c r="C12" i="32"/>
  <c r="C13" i="32" s="1"/>
  <c r="D12" i="32"/>
  <c r="D13" i="32" s="1"/>
  <c r="D19" i="32" s="1"/>
  <c r="E12" i="32"/>
  <c r="F12" i="32"/>
  <c r="G12" i="32"/>
  <c r="E13" i="32"/>
  <c r="F13" i="32"/>
  <c r="G13" i="32"/>
  <c r="B17" i="32"/>
  <c r="B18" i="32" s="1"/>
  <c r="B19" i="32" s="1"/>
  <c r="C17" i="32"/>
  <c r="E17" i="32"/>
  <c r="F17" i="32"/>
  <c r="G17" i="32"/>
  <c r="G18" i="32" s="1"/>
  <c r="G19" i="32" s="1"/>
  <c r="C18" i="32"/>
  <c r="E18" i="32"/>
  <c r="E19" i="32" s="1"/>
  <c r="F18" i="32"/>
  <c r="F19" i="32" s="1"/>
  <c r="H19" i="32"/>
  <c r="B21" i="32"/>
  <c r="C21" i="32"/>
  <c r="D21" i="32"/>
  <c r="E21" i="32"/>
  <c r="F21" i="32"/>
  <c r="G21" i="32"/>
  <c r="H21" i="32"/>
  <c r="B47" i="32"/>
  <c r="C47" i="32"/>
  <c r="D47" i="32"/>
  <c r="E47" i="32"/>
  <c r="H47" i="32"/>
  <c r="A11" i="31"/>
  <c r="B11" i="31"/>
  <c r="C11" i="31"/>
  <c r="D11" i="31"/>
  <c r="B12" i="31"/>
  <c r="B13" i="31" s="1"/>
  <c r="B19" i="31" s="1"/>
  <c r="C12" i="31"/>
  <c r="D12" i="31"/>
  <c r="C13" i="31"/>
  <c r="C19" i="31" s="1"/>
  <c r="D13" i="31"/>
  <c r="B17" i="31"/>
  <c r="D17" i="31"/>
  <c r="B18" i="31"/>
  <c r="D18" i="31"/>
  <c r="D19" i="31" s="1"/>
  <c r="B21" i="31"/>
  <c r="C21" i="31"/>
  <c r="D21" i="31"/>
  <c r="B96" i="31"/>
  <c r="C96" i="31"/>
  <c r="D96" i="31"/>
  <c r="A11" i="30"/>
  <c r="B11" i="30"/>
  <c r="C11" i="30"/>
  <c r="D11" i="30"/>
  <c r="E11" i="30"/>
  <c r="F11" i="30"/>
  <c r="G11" i="30"/>
  <c r="H11" i="30"/>
  <c r="I11" i="30"/>
  <c r="J11" i="30"/>
  <c r="B12" i="30"/>
  <c r="C12" i="30"/>
  <c r="D12" i="30"/>
  <c r="E12" i="30"/>
  <c r="E13" i="30" s="1"/>
  <c r="F12" i="30"/>
  <c r="G12" i="30"/>
  <c r="H12" i="30"/>
  <c r="I12" i="30"/>
  <c r="J12" i="30"/>
  <c r="J13" i="30" s="1"/>
  <c r="J19" i="30" s="1"/>
  <c r="B13" i="30"/>
  <c r="C13" i="30"/>
  <c r="D13" i="30"/>
  <c r="F13" i="30"/>
  <c r="G13" i="30"/>
  <c r="H13" i="30"/>
  <c r="I13" i="30"/>
  <c r="B17" i="30"/>
  <c r="B18" i="30" s="1"/>
  <c r="B19" i="30" s="1"/>
  <c r="D17" i="30"/>
  <c r="D18" i="30" s="1"/>
  <c r="D19" i="30" s="1"/>
  <c r="E17" i="30"/>
  <c r="E18" i="30" s="1"/>
  <c r="F17" i="30"/>
  <c r="J17" i="30"/>
  <c r="F18" i="30"/>
  <c r="F19" i="30" s="1"/>
  <c r="J18" i="30"/>
  <c r="C19" i="30"/>
  <c r="G19" i="30"/>
  <c r="H19" i="30"/>
  <c r="I19" i="30"/>
  <c r="B21" i="30"/>
  <c r="C21" i="30"/>
  <c r="D21" i="30"/>
  <c r="E21" i="30"/>
  <c r="F21" i="30"/>
  <c r="G21" i="30"/>
  <c r="H21" i="30"/>
  <c r="I21" i="30"/>
  <c r="J21" i="30"/>
  <c r="B65" i="30"/>
  <c r="C65" i="30"/>
  <c r="D65" i="30"/>
  <c r="E65" i="30"/>
  <c r="F65" i="30"/>
  <c r="G65" i="30"/>
  <c r="H65" i="30"/>
  <c r="I65" i="30"/>
  <c r="J65" i="30"/>
  <c r="B7" i="29"/>
  <c r="C7" i="29"/>
  <c r="D7" i="29"/>
  <c r="H7" i="29"/>
  <c r="I7" i="29"/>
  <c r="J7" i="29"/>
  <c r="K7" i="29"/>
  <c r="L7" i="29"/>
  <c r="M7" i="29"/>
  <c r="N7" i="29"/>
  <c r="O7" i="29"/>
  <c r="P7" i="29"/>
  <c r="Q7" i="29"/>
  <c r="R7" i="29"/>
  <c r="S7" i="29"/>
  <c r="T7" i="29"/>
  <c r="U7" i="29"/>
  <c r="V7" i="29"/>
  <c r="W7" i="29"/>
  <c r="X7" i="29"/>
  <c r="Y7" i="29"/>
  <c r="Z7" i="29"/>
  <c r="AA7" i="29"/>
  <c r="AB7" i="29"/>
  <c r="B30" i="29"/>
  <c r="C30" i="29"/>
  <c r="D30" i="29"/>
  <c r="E30" i="29"/>
  <c r="F30" i="29"/>
  <c r="G30" i="29"/>
  <c r="H30" i="29"/>
  <c r="I30" i="29"/>
  <c r="J30" i="29"/>
  <c r="K30" i="29"/>
  <c r="L30" i="29"/>
  <c r="M30" i="29"/>
  <c r="N30" i="29"/>
  <c r="O30" i="29"/>
  <c r="P30" i="29"/>
  <c r="Q30" i="29"/>
  <c r="R30" i="29"/>
  <c r="S30" i="29"/>
  <c r="T30" i="29"/>
  <c r="U30" i="29"/>
  <c r="V30" i="29"/>
  <c r="W30" i="29"/>
  <c r="X30" i="29"/>
  <c r="Y30" i="29"/>
  <c r="Z30" i="29"/>
  <c r="AA30" i="29"/>
  <c r="AB30" i="29"/>
  <c r="B7" i="28"/>
  <c r="C7" i="28"/>
  <c r="D7" i="28"/>
  <c r="E7" i="28"/>
  <c r="F7" i="28"/>
  <c r="G7" i="28"/>
  <c r="H7" i="28"/>
  <c r="J7" i="28"/>
  <c r="K7" i="28"/>
  <c r="N7" i="28"/>
  <c r="O7" i="28"/>
  <c r="B26" i="28"/>
  <c r="C26" i="28"/>
  <c r="D26" i="28"/>
  <c r="E26" i="28"/>
  <c r="F26" i="28"/>
  <c r="G26" i="28"/>
  <c r="H26" i="28"/>
  <c r="I26" i="28"/>
  <c r="J26" i="28"/>
  <c r="K26" i="28"/>
  <c r="L26" i="28"/>
  <c r="M26" i="28"/>
  <c r="N26" i="28"/>
  <c r="O26" i="28"/>
  <c r="B7" i="27"/>
  <c r="C7" i="27"/>
  <c r="D7" i="27"/>
  <c r="E7" i="27"/>
  <c r="B38" i="27"/>
  <c r="C38" i="27"/>
  <c r="D38" i="27"/>
  <c r="E38" i="27"/>
  <c r="B7" i="26"/>
  <c r="C7" i="26"/>
  <c r="D7" i="26"/>
  <c r="E7" i="26"/>
  <c r="F7" i="26"/>
  <c r="G7" i="26"/>
  <c r="H7" i="26"/>
  <c r="I7" i="26"/>
  <c r="J7" i="26"/>
  <c r="K7" i="26"/>
  <c r="B38" i="26"/>
  <c r="C38" i="26"/>
  <c r="D38" i="26"/>
  <c r="E38" i="26"/>
  <c r="F38" i="26"/>
  <c r="G38" i="26"/>
  <c r="H38" i="26"/>
  <c r="I38" i="26"/>
  <c r="J38" i="26"/>
  <c r="K38" i="26"/>
  <c r="A11" i="25"/>
  <c r="B11" i="25"/>
  <c r="C11" i="25"/>
  <c r="D11" i="25"/>
  <c r="E11" i="25"/>
  <c r="F11" i="25"/>
  <c r="G11" i="25"/>
  <c r="H11" i="25"/>
  <c r="I11" i="25"/>
  <c r="B12" i="25"/>
  <c r="C12" i="25"/>
  <c r="D12" i="25"/>
  <c r="E12" i="25"/>
  <c r="E13" i="25" s="1"/>
  <c r="F12" i="25"/>
  <c r="F13" i="25" s="1"/>
  <c r="F19" i="25" s="1"/>
  <c r="G12" i="25"/>
  <c r="G13" i="25" s="1"/>
  <c r="G19" i="25" s="1"/>
  <c r="H12" i="25"/>
  <c r="H13" i="25" s="1"/>
  <c r="H19" i="25" s="1"/>
  <c r="I12" i="25"/>
  <c r="I13" i="25" s="1"/>
  <c r="B13" i="25"/>
  <c r="B19" i="25" s="1"/>
  <c r="C13" i="25"/>
  <c r="D13" i="25"/>
  <c r="D17" i="25"/>
  <c r="E17" i="25"/>
  <c r="E18" i="25" s="1"/>
  <c r="G17" i="25"/>
  <c r="I17" i="25"/>
  <c r="D18" i="25"/>
  <c r="G18" i="25"/>
  <c r="I18" i="25"/>
  <c r="C19" i="25"/>
  <c r="D19" i="25"/>
  <c r="B21" i="25"/>
  <c r="C21" i="25"/>
  <c r="D21" i="25"/>
  <c r="E21" i="25"/>
  <c r="F21" i="25"/>
  <c r="G21" i="25"/>
  <c r="H21" i="25"/>
  <c r="I21" i="25"/>
  <c r="B39" i="25"/>
  <c r="C39" i="25"/>
  <c r="D39" i="25"/>
  <c r="E39" i="25"/>
  <c r="H39" i="25"/>
  <c r="I39" i="25"/>
  <c r="A11" i="24"/>
  <c r="B11" i="24"/>
  <c r="C11" i="24"/>
  <c r="D11" i="24"/>
  <c r="E11" i="24"/>
  <c r="F11" i="24"/>
  <c r="G11" i="24"/>
  <c r="H11" i="24"/>
  <c r="I11" i="24"/>
  <c r="J11" i="24"/>
  <c r="K11" i="24"/>
  <c r="L11" i="24"/>
  <c r="M11" i="24"/>
  <c r="N11" i="24"/>
  <c r="O11" i="24"/>
  <c r="P11" i="24"/>
  <c r="Q11" i="24"/>
  <c r="R11" i="24"/>
  <c r="S11" i="24"/>
  <c r="T11" i="24"/>
  <c r="U11" i="24"/>
  <c r="V11" i="24"/>
  <c r="W11" i="24"/>
  <c r="X11" i="24"/>
  <c r="Y11" i="24"/>
  <c r="Z11" i="24"/>
  <c r="AA11" i="24"/>
  <c r="AB11" i="24"/>
  <c r="AC11" i="24"/>
  <c r="B12" i="24"/>
  <c r="C12" i="24"/>
  <c r="D12" i="24"/>
  <c r="E12" i="24"/>
  <c r="F12" i="24"/>
  <c r="G12" i="24"/>
  <c r="G13" i="24" s="1"/>
  <c r="H12" i="24"/>
  <c r="H13" i="24" s="1"/>
  <c r="I12" i="24"/>
  <c r="I13" i="24" s="1"/>
  <c r="J12" i="24"/>
  <c r="J13" i="24" s="1"/>
  <c r="J19" i="24" s="1"/>
  <c r="K12" i="24"/>
  <c r="K13" i="24" s="1"/>
  <c r="K19" i="24" s="1"/>
  <c r="L12" i="24"/>
  <c r="L13" i="24" s="1"/>
  <c r="L19" i="24" s="1"/>
  <c r="M12" i="24"/>
  <c r="N12" i="24"/>
  <c r="O12" i="24"/>
  <c r="O13" i="24" s="1"/>
  <c r="O19" i="24" s="1"/>
  <c r="P12" i="24"/>
  <c r="P13" i="24" s="1"/>
  <c r="Q12" i="24"/>
  <c r="R12" i="24"/>
  <c r="S12" i="24"/>
  <c r="T12" i="24"/>
  <c r="U12" i="24"/>
  <c r="U13" i="24" s="1"/>
  <c r="V12" i="24"/>
  <c r="W12" i="24"/>
  <c r="X12" i="24"/>
  <c r="Y12" i="24"/>
  <c r="Z12" i="24"/>
  <c r="AA12" i="24"/>
  <c r="AA13" i="24" s="1"/>
  <c r="AA19" i="24" s="1"/>
  <c r="AB12" i="24"/>
  <c r="AB13" i="24" s="1"/>
  <c r="AB19" i="24" s="1"/>
  <c r="AC12" i="24"/>
  <c r="AC13" i="24" s="1"/>
  <c r="AC19" i="24" s="1"/>
  <c r="B13" i="24"/>
  <c r="B19" i="24" s="1"/>
  <c r="C13" i="24"/>
  <c r="C19" i="24" s="1"/>
  <c r="D13" i="24"/>
  <c r="D19" i="24" s="1"/>
  <c r="E13" i="24"/>
  <c r="F13" i="24"/>
  <c r="M13" i="24"/>
  <c r="N13" i="24"/>
  <c r="Q13" i="24"/>
  <c r="R13" i="24"/>
  <c r="S13" i="24"/>
  <c r="T13" i="24"/>
  <c r="V13" i="24"/>
  <c r="V19" i="24" s="1"/>
  <c r="W13" i="24"/>
  <c r="W19" i="24" s="1"/>
  <c r="X13" i="24"/>
  <c r="Y13" i="24"/>
  <c r="Y19" i="24" s="1"/>
  <c r="Z13" i="24"/>
  <c r="Z19" i="24" s="1"/>
  <c r="B17" i="24"/>
  <c r="C17" i="24"/>
  <c r="E17" i="24"/>
  <c r="F17" i="24"/>
  <c r="G17" i="24"/>
  <c r="G18" i="24" s="1"/>
  <c r="H17" i="24"/>
  <c r="I17" i="24"/>
  <c r="I18" i="24" s="1"/>
  <c r="K17" i="24"/>
  <c r="L17" i="24"/>
  <c r="M17" i="24"/>
  <c r="P17" i="24"/>
  <c r="P18" i="24" s="1"/>
  <c r="P19" i="24" s="1"/>
  <c r="Q17" i="24"/>
  <c r="R17" i="24"/>
  <c r="S17" i="24"/>
  <c r="T17" i="24"/>
  <c r="T18" i="24" s="1"/>
  <c r="T19" i="24" s="1"/>
  <c r="U17" i="24"/>
  <c r="V17" i="24"/>
  <c r="W17" i="24"/>
  <c r="X17" i="24"/>
  <c r="X18" i="24" s="1"/>
  <c r="X19" i="24" s="1"/>
  <c r="Z17" i="24"/>
  <c r="AA17" i="24"/>
  <c r="B18" i="24"/>
  <c r="C18" i="24"/>
  <c r="E18" i="24"/>
  <c r="E19" i="24" s="1"/>
  <c r="F18" i="24"/>
  <c r="F19" i="24" s="1"/>
  <c r="H18" i="24"/>
  <c r="K18" i="24"/>
  <c r="L18" i="24"/>
  <c r="M18" i="24"/>
  <c r="Q18" i="24"/>
  <c r="Q19" i="24" s="1"/>
  <c r="R18" i="24"/>
  <c r="R19" i="24" s="1"/>
  <c r="S18" i="24"/>
  <c r="S19" i="24" s="1"/>
  <c r="U18" i="24"/>
  <c r="V18" i="24"/>
  <c r="W18" i="24"/>
  <c r="Z18" i="24"/>
  <c r="AA18" i="24"/>
  <c r="M19" i="24"/>
  <c r="N19" i="24"/>
  <c r="B21" i="24"/>
  <c r="C21" i="24"/>
  <c r="D21" i="24"/>
  <c r="E21" i="24"/>
  <c r="F21" i="24"/>
  <c r="G21" i="24"/>
  <c r="H21" i="24"/>
  <c r="I21" i="24"/>
  <c r="J21" i="24"/>
  <c r="K21" i="24"/>
  <c r="L21" i="24"/>
  <c r="M21" i="24"/>
  <c r="N21" i="24"/>
  <c r="O21" i="24"/>
  <c r="P21" i="24"/>
  <c r="Q21" i="24"/>
  <c r="R21" i="24"/>
  <c r="S21" i="24"/>
  <c r="T21" i="24"/>
  <c r="U21" i="24"/>
  <c r="V21" i="24"/>
  <c r="W21" i="24"/>
  <c r="X21" i="24"/>
  <c r="Y21" i="24"/>
  <c r="Z21" i="24"/>
  <c r="AA21" i="24"/>
  <c r="AB21" i="24"/>
  <c r="AC21" i="24"/>
  <c r="E49" i="24"/>
  <c r="F49" i="24"/>
  <c r="G49" i="24"/>
  <c r="H49" i="24"/>
  <c r="I49" i="24"/>
  <c r="K49" i="24"/>
  <c r="N49" i="24"/>
  <c r="O49" i="24"/>
  <c r="U49" i="24"/>
  <c r="Y49" i="24"/>
  <c r="AA49" i="24"/>
  <c r="AB49" i="24"/>
  <c r="AC49" i="24"/>
  <c r="A11" i="23"/>
  <c r="B11" i="23"/>
  <c r="C11" i="23"/>
  <c r="D11" i="23"/>
  <c r="E11" i="23"/>
  <c r="F11" i="23"/>
  <c r="G11" i="23"/>
  <c r="H11" i="23"/>
  <c r="B12" i="23"/>
  <c r="B13" i="23" s="1"/>
  <c r="C12" i="23"/>
  <c r="C13" i="23" s="1"/>
  <c r="D12" i="23"/>
  <c r="E12" i="23"/>
  <c r="F12" i="23"/>
  <c r="G12" i="23"/>
  <c r="G13" i="23" s="1"/>
  <c r="G19" i="23" s="1"/>
  <c r="H12" i="23"/>
  <c r="H13" i="23" s="1"/>
  <c r="H19" i="23" s="1"/>
  <c r="D13" i="23"/>
  <c r="E13" i="23"/>
  <c r="F13" i="23"/>
  <c r="B17" i="23"/>
  <c r="C17" i="23"/>
  <c r="D17" i="23"/>
  <c r="D18" i="23" s="1"/>
  <c r="D19" i="23" s="1"/>
  <c r="E17" i="23"/>
  <c r="F17" i="23"/>
  <c r="G17" i="23"/>
  <c r="B18" i="23"/>
  <c r="C18" i="23"/>
  <c r="E18" i="23"/>
  <c r="F18" i="23"/>
  <c r="F19" i="23" s="1"/>
  <c r="G18" i="23"/>
  <c r="E19" i="23"/>
  <c r="B21" i="23"/>
  <c r="C21" i="23"/>
  <c r="D21" i="23"/>
  <c r="E21" i="23"/>
  <c r="F21" i="23"/>
  <c r="G21" i="23"/>
  <c r="H21" i="23"/>
  <c r="B47" i="23"/>
  <c r="C47" i="23"/>
  <c r="D47" i="23"/>
  <c r="E47" i="23"/>
  <c r="F47" i="23"/>
  <c r="G47" i="23"/>
  <c r="H47" i="23"/>
  <c r="A11" i="22"/>
  <c r="B11" i="22"/>
  <c r="C11" i="22"/>
  <c r="D11" i="22"/>
  <c r="E11" i="22"/>
  <c r="F11" i="22"/>
  <c r="G11" i="22"/>
  <c r="H11" i="22"/>
  <c r="I11" i="22"/>
  <c r="J11" i="22"/>
  <c r="K11" i="22"/>
  <c r="L11" i="22"/>
  <c r="M11" i="22"/>
  <c r="N11" i="22"/>
  <c r="O11" i="22"/>
  <c r="P11" i="22"/>
  <c r="Q11" i="22"/>
  <c r="R11" i="22"/>
  <c r="S11" i="22"/>
  <c r="T11" i="22"/>
  <c r="U11" i="22"/>
  <c r="V11" i="22"/>
  <c r="W11" i="22"/>
  <c r="X11" i="22"/>
  <c r="Y11" i="22"/>
  <c r="Z11" i="22"/>
  <c r="AA11" i="22"/>
  <c r="AB11" i="22"/>
  <c r="AC11" i="22"/>
  <c r="AD11" i="22"/>
  <c r="AE11" i="22"/>
  <c r="AF11" i="22"/>
  <c r="AG11" i="22"/>
  <c r="B12" i="22"/>
  <c r="B13" i="22" s="1"/>
  <c r="B19" i="22" s="1"/>
  <c r="C12" i="22"/>
  <c r="C13" i="22" s="1"/>
  <c r="C19" i="22" s="1"/>
  <c r="D12" i="22"/>
  <c r="D13" i="22" s="1"/>
  <c r="E12" i="22"/>
  <c r="F12" i="22"/>
  <c r="F13" i="22" s="1"/>
  <c r="G12" i="22"/>
  <c r="H12" i="22"/>
  <c r="H13" i="22" s="1"/>
  <c r="H19" i="22" s="1"/>
  <c r="I12" i="22"/>
  <c r="I13" i="22" s="1"/>
  <c r="I19" i="22" s="1"/>
  <c r="J12" i="22"/>
  <c r="K12" i="22"/>
  <c r="L12" i="22"/>
  <c r="M12" i="22"/>
  <c r="M13" i="22" s="1"/>
  <c r="M19" i="22" s="1"/>
  <c r="N12" i="22"/>
  <c r="O12" i="22"/>
  <c r="O13" i="22" s="1"/>
  <c r="O19" i="22" s="1"/>
  <c r="P12" i="22"/>
  <c r="Q12" i="22"/>
  <c r="R12" i="22"/>
  <c r="R13" i="22" s="1"/>
  <c r="S12" i="22"/>
  <c r="S13" i="22" s="1"/>
  <c r="T12" i="22"/>
  <c r="U12" i="22"/>
  <c r="V12" i="22"/>
  <c r="V13" i="22" s="1"/>
  <c r="V19" i="22" s="1"/>
  <c r="W12" i="22"/>
  <c r="W13" i="22" s="1"/>
  <c r="W19" i="22" s="1"/>
  <c r="X12" i="22"/>
  <c r="X13" i="22" s="1"/>
  <c r="X19" i="22" s="1"/>
  <c r="Y12" i="22"/>
  <c r="Z12" i="22"/>
  <c r="Z13" i="22" s="1"/>
  <c r="AA12" i="22"/>
  <c r="AB12" i="22"/>
  <c r="AB13" i="22" s="1"/>
  <c r="AB19" i="22" s="1"/>
  <c r="AC12" i="22"/>
  <c r="AC13" i="22" s="1"/>
  <c r="AD12" i="22"/>
  <c r="AE12" i="22"/>
  <c r="AF12" i="22"/>
  <c r="AG12" i="22"/>
  <c r="AG13" i="22" s="1"/>
  <c r="AG19" i="22" s="1"/>
  <c r="E13" i="22"/>
  <c r="G13" i="22"/>
  <c r="G19" i="22" s="1"/>
  <c r="J13" i="22"/>
  <c r="K13" i="22"/>
  <c r="L13" i="22"/>
  <c r="N13" i="22"/>
  <c r="N19" i="22" s="1"/>
  <c r="P13" i="22"/>
  <c r="P19" i="22" s="1"/>
  <c r="Q13" i="22"/>
  <c r="T13" i="22"/>
  <c r="U13" i="22"/>
  <c r="Y13" i="22"/>
  <c r="AA13" i="22"/>
  <c r="AA19" i="22" s="1"/>
  <c r="AD13" i="22"/>
  <c r="AE13" i="22"/>
  <c r="AF13" i="22"/>
  <c r="AF19" i="22" s="1"/>
  <c r="D17" i="22"/>
  <c r="D18" i="22" s="1"/>
  <c r="E17" i="22"/>
  <c r="F17" i="22"/>
  <c r="F18" i="22" s="1"/>
  <c r="L17" i="22"/>
  <c r="L18" i="22" s="1"/>
  <c r="L19" i="22" s="1"/>
  <c r="O17" i="22"/>
  <c r="P17" i="22"/>
  <c r="Q17" i="22"/>
  <c r="R17" i="22"/>
  <c r="R18" i="22" s="1"/>
  <c r="S17" i="22"/>
  <c r="Z17" i="22"/>
  <c r="Z18" i="22" s="1"/>
  <c r="AC17" i="22"/>
  <c r="AD17" i="22"/>
  <c r="E18" i="22"/>
  <c r="O18" i="22"/>
  <c r="P18" i="22"/>
  <c r="Q18" i="22"/>
  <c r="Q19" i="22" s="1"/>
  <c r="S18" i="22"/>
  <c r="S19" i="22" s="1"/>
  <c r="AC18" i="22"/>
  <c r="AC19" i="22" s="1"/>
  <c r="AD18" i="22"/>
  <c r="AD19" i="22" s="1"/>
  <c r="E19" i="22"/>
  <c r="J19" i="22"/>
  <c r="K19" i="22"/>
  <c r="T19" i="22"/>
  <c r="U19" i="22"/>
  <c r="Y19" i="22"/>
  <c r="AE19" i="22"/>
  <c r="B21" i="22"/>
  <c r="C21"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AG21" i="22"/>
  <c r="B49" i="22"/>
  <c r="C49" i="22"/>
  <c r="D49" i="22"/>
  <c r="E49" i="22"/>
  <c r="F49" i="22"/>
  <c r="G49" i="22"/>
  <c r="H49" i="22"/>
  <c r="I49" i="22"/>
  <c r="J49" i="22"/>
  <c r="K49" i="22"/>
  <c r="L49" i="22"/>
  <c r="M49" i="22"/>
  <c r="N49" i="22"/>
  <c r="O49" i="22"/>
  <c r="P49" i="22"/>
  <c r="Q49" i="22"/>
  <c r="R49" i="22"/>
  <c r="S49" i="22"/>
  <c r="T49" i="22"/>
  <c r="U49" i="22"/>
  <c r="V49" i="22"/>
  <c r="W49" i="22"/>
  <c r="X49" i="22"/>
  <c r="Y49" i="22"/>
  <c r="Z49" i="22"/>
  <c r="AA49" i="22"/>
  <c r="AB49" i="22"/>
  <c r="AC49" i="22"/>
  <c r="AD49" i="22"/>
  <c r="AE49" i="22"/>
  <c r="AF49" i="22"/>
  <c r="AG49" i="22"/>
  <c r="A11" i="21"/>
  <c r="B11" i="21"/>
  <c r="C11" i="21"/>
  <c r="B12" i="21"/>
  <c r="B13" i="21" s="1"/>
  <c r="B19" i="21" s="1"/>
  <c r="C12" i="21"/>
  <c r="C13" i="21" s="1"/>
  <c r="C17" i="21"/>
  <c r="C18" i="21" s="1"/>
  <c r="C19" i="21" s="1"/>
  <c r="B21" i="21"/>
  <c r="C21" i="21"/>
  <c r="B50" i="21"/>
  <c r="C50" i="21"/>
  <c r="A11" i="20"/>
  <c r="B11" i="20"/>
  <c r="C11" i="20"/>
  <c r="D11" i="20"/>
  <c r="E11" i="20"/>
  <c r="F11" i="20"/>
  <c r="G11" i="20"/>
  <c r="H11" i="20"/>
  <c r="I11" i="20"/>
  <c r="J11" i="20"/>
  <c r="K11" i="20"/>
  <c r="L11" i="20"/>
  <c r="M11" i="20"/>
  <c r="N11" i="20"/>
  <c r="B12" i="20"/>
  <c r="C12" i="20"/>
  <c r="C13" i="20" s="1"/>
  <c r="C19" i="20" s="1"/>
  <c r="D12" i="20"/>
  <c r="D13" i="20" s="1"/>
  <c r="D19" i="20" s="1"/>
  <c r="E12" i="20"/>
  <c r="F12" i="20"/>
  <c r="F13" i="20" s="1"/>
  <c r="G12" i="20"/>
  <c r="G13" i="20" s="1"/>
  <c r="G19" i="20" s="1"/>
  <c r="H12" i="20"/>
  <c r="H13" i="20" s="1"/>
  <c r="H19" i="20" s="1"/>
  <c r="I12" i="20"/>
  <c r="I13" i="20" s="1"/>
  <c r="J12" i="20"/>
  <c r="J13" i="20" s="1"/>
  <c r="J19" i="20" s="1"/>
  <c r="K12" i="20"/>
  <c r="L12" i="20"/>
  <c r="M12" i="20"/>
  <c r="N12" i="20"/>
  <c r="B13" i="20"/>
  <c r="B19" i="20" s="1"/>
  <c r="E13" i="20"/>
  <c r="K13" i="20"/>
  <c r="K19" i="20" s="1"/>
  <c r="L13" i="20"/>
  <c r="L19" i="20" s="1"/>
  <c r="M13" i="20"/>
  <c r="N13" i="20"/>
  <c r="D17" i="20"/>
  <c r="E17" i="20"/>
  <c r="E18" i="20" s="1"/>
  <c r="E19" i="20" s="1"/>
  <c r="F17" i="20"/>
  <c r="F18" i="20" s="1"/>
  <c r="I17" i="20"/>
  <c r="J17" i="20"/>
  <c r="M17" i="20"/>
  <c r="N17" i="20"/>
  <c r="N18" i="20" s="1"/>
  <c r="N19" i="20" s="1"/>
  <c r="D18" i="20"/>
  <c r="I18" i="20"/>
  <c r="I19" i="20" s="1"/>
  <c r="J18" i="20"/>
  <c r="M18" i="20"/>
  <c r="M19" i="20" s="1"/>
  <c r="B21" i="20"/>
  <c r="C21" i="20"/>
  <c r="D21" i="20"/>
  <c r="E21" i="20"/>
  <c r="F21" i="20"/>
  <c r="G21" i="20"/>
  <c r="H21" i="20"/>
  <c r="I21" i="20"/>
  <c r="J21" i="20"/>
  <c r="K21" i="20"/>
  <c r="L21" i="20"/>
  <c r="M21" i="20"/>
  <c r="N21" i="20"/>
  <c r="B55" i="20"/>
  <c r="C55" i="20"/>
  <c r="D55" i="20"/>
  <c r="E55" i="20"/>
  <c r="F55" i="20"/>
  <c r="G55" i="20"/>
  <c r="H55" i="20"/>
  <c r="I55" i="20"/>
  <c r="J55" i="20"/>
  <c r="K55" i="20"/>
  <c r="L55" i="20"/>
  <c r="M55" i="20"/>
  <c r="N55" i="20"/>
  <c r="A11" i="19"/>
  <c r="B11" i="19"/>
  <c r="C11" i="19"/>
  <c r="D11" i="19"/>
  <c r="E11" i="19"/>
  <c r="F11" i="19"/>
  <c r="G11" i="19"/>
  <c r="H11" i="19"/>
  <c r="I11" i="19"/>
  <c r="J11" i="19"/>
  <c r="K11" i="19"/>
  <c r="L11" i="19"/>
  <c r="M11" i="19"/>
  <c r="N11" i="19"/>
  <c r="O11" i="19"/>
  <c r="B12" i="19"/>
  <c r="C12" i="19"/>
  <c r="C13" i="19" s="1"/>
  <c r="D12" i="19"/>
  <c r="D13" i="19" s="1"/>
  <c r="E12" i="19"/>
  <c r="E13" i="19" s="1"/>
  <c r="F12" i="19"/>
  <c r="F13" i="19" s="1"/>
  <c r="F19" i="19" s="1"/>
  <c r="G12" i="19"/>
  <c r="H12" i="19"/>
  <c r="I12" i="19"/>
  <c r="I13" i="19" s="1"/>
  <c r="I19" i="19" s="1"/>
  <c r="J12" i="19"/>
  <c r="J13" i="19" s="1"/>
  <c r="J19" i="19" s="1"/>
  <c r="K12" i="19"/>
  <c r="L12" i="19"/>
  <c r="M12" i="19"/>
  <c r="M13" i="19" s="1"/>
  <c r="M19" i="19" s="1"/>
  <c r="N12" i="19"/>
  <c r="N13" i="19" s="1"/>
  <c r="O12" i="19"/>
  <c r="O13" i="19" s="1"/>
  <c r="B13" i="19"/>
  <c r="G13" i="19"/>
  <c r="H13" i="19"/>
  <c r="K13" i="19"/>
  <c r="K19" i="19" s="1"/>
  <c r="L13" i="19"/>
  <c r="L19" i="19" s="1"/>
  <c r="B17" i="19"/>
  <c r="B18" i="19" s="1"/>
  <c r="B19" i="19" s="1"/>
  <c r="C17" i="19"/>
  <c r="C18" i="19" s="1"/>
  <c r="D17" i="19"/>
  <c r="D18" i="19" s="1"/>
  <c r="E17" i="19"/>
  <c r="E18" i="19" s="1"/>
  <c r="G17" i="19"/>
  <c r="G18" i="19" s="1"/>
  <c r="G19" i="19" s="1"/>
  <c r="H17" i="19"/>
  <c r="H18" i="19" s="1"/>
  <c r="H19" i="19" s="1"/>
  <c r="N17" i="19"/>
  <c r="N18" i="19" s="1"/>
  <c r="O17" i="19"/>
  <c r="O18" i="19"/>
  <c r="B21" i="19"/>
  <c r="C21" i="19"/>
  <c r="D21" i="19"/>
  <c r="E21" i="19"/>
  <c r="F21" i="19"/>
  <c r="G21" i="19"/>
  <c r="H21" i="19"/>
  <c r="I21" i="19"/>
  <c r="J21" i="19"/>
  <c r="K21" i="19"/>
  <c r="L21" i="19"/>
  <c r="M21" i="19"/>
  <c r="N21" i="19"/>
  <c r="O21" i="19"/>
  <c r="B55" i="19"/>
  <c r="C55" i="19"/>
  <c r="D55" i="19"/>
  <c r="E55" i="19"/>
  <c r="F55" i="19"/>
  <c r="G55" i="19"/>
  <c r="H55" i="19"/>
  <c r="I55" i="19"/>
  <c r="J55" i="19"/>
  <c r="K55" i="19"/>
  <c r="L55" i="19"/>
  <c r="M55" i="19"/>
  <c r="N55" i="19"/>
  <c r="O55" i="19"/>
  <c r="A11" i="18"/>
  <c r="B11" i="18"/>
  <c r="C11" i="18"/>
  <c r="D11" i="18"/>
  <c r="B12" i="18"/>
  <c r="B13" i="18" s="1"/>
  <c r="C12" i="18"/>
  <c r="C13" i="18" s="1"/>
  <c r="C19" i="18" s="1"/>
  <c r="D12" i="18"/>
  <c r="D13" i="18"/>
  <c r="B17" i="18"/>
  <c r="D17" i="18"/>
  <c r="B18" i="18"/>
  <c r="B19" i="18" s="1"/>
  <c r="D18" i="18"/>
  <c r="D19" i="18" s="1"/>
  <c r="B21" i="18"/>
  <c r="C21" i="18"/>
  <c r="D21" i="18"/>
  <c r="E21" i="18"/>
  <c r="B46" i="18"/>
  <c r="C46" i="18"/>
  <c r="A11" i="17"/>
  <c r="B11" i="17"/>
  <c r="C11" i="17"/>
  <c r="D11" i="17"/>
  <c r="E11" i="17"/>
  <c r="F11" i="17"/>
  <c r="G11" i="17"/>
  <c r="H11" i="17"/>
  <c r="I11" i="17"/>
  <c r="J11" i="17"/>
  <c r="K11" i="17"/>
  <c r="L11" i="17"/>
  <c r="M11" i="17"/>
  <c r="N11" i="17"/>
  <c r="O11" i="17"/>
  <c r="P11" i="17"/>
  <c r="Q11" i="17"/>
  <c r="R11" i="17"/>
  <c r="B12" i="17"/>
  <c r="B13" i="17" s="1"/>
  <c r="C12" i="17"/>
  <c r="C13" i="17" s="1"/>
  <c r="C19" i="17" s="1"/>
  <c r="D12" i="17"/>
  <c r="E12" i="17"/>
  <c r="F12" i="17"/>
  <c r="G12" i="17"/>
  <c r="G13" i="17" s="1"/>
  <c r="G19" i="17" s="1"/>
  <c r="H12" i="17"/>
  <c r="H13" i="17" s="1"/>
  <c r="H19" i="17" s="1"/>
  <c r="I12" i="17"/>
  <c r="J12" i="17"/>
  <c r="K12" i="17"/>
  <c r="K13" i="17" s="1"/>
  <c r="K19" i="17" s="1"/>
  <c r="L12" i="17"/>
  <c r="M12" i="17"/>
  <c r="N12" i="17"/>
  <c r="O12" i="17"/>
  <c r="P12" i="17"/>
  <c r="Q12" i="17"/>
  <c r="R12" i="17"/>
  <c r="D13" i="17"/>
  <c r="E13" i="17"/>
  <c r="E19" i="17" s="1"/>
  <c r="F13" i="17"/>
  <c r="F19" i="17" s="1"/>
  <c r="I13" i="17"/>
  <c r="J13" i="17"/>
  <c r="L13" i="17"/>
  <c r="M13" i="17"/>
  <c r="N13" i="17"/>
  <c r="O13" i="17"/>
  <c r="P13" i="17"/>
  <c r="Q13" i="17"/>
  <c r="R13" i="17"/>
  <c r="B17" i="17"/>
  <c r="F17" i="17"/>
  <c r="G17" i="17"/>
  <c r="I17" i="17"/>
  <c r="J17" i="17"/>
  <c r="K17" i="17"/>
  <c r="L17" i="17"/>
  <c r="L18" i="17" s="1"/>
  <c r="L19" i="17" s="1"/>
  <c r="N17" i="17"/>
  <c r="N18" i="17" s="1"/>
  <c r="N19" i="17" s="1"/>
  <c r="O17" i="17"/>
  <c r="O18" i="17" s="1"/>
  <c r="O19" i="17" s="1"/>
  <c r="P17" i="17"/>
  <c r="P18" i="17" s="1"/>
  <c r="P19" i="17" s="1"/>
  <c r="R17" i="17"/>
  <c r="R18" i="17" s="1"/>
  <c r="R19" i="17" s="1"/>
  <c r="B18" i="17"/>
  <c r="F18" i="17"/>
  <c r="G18" i="17"/>
  <c r="I18" i="17"/>
  <c r="I19" i="17" s="1"/>
  <c r="J18" i="17"/>
  <c r="K18" i="17"/>
  <c r="D19" i="17"/>
  <c r="J19" i="17"/>
  <c r="M19" i="17"/>
  <c r="Q19" i="17"/>
  <c r="B21" i="17"/>
  <c r="C21" i="17"/>
  <c r="D21" i="17"/>
  <c r="E21" i="17"/>
  <c r="F21" i="17"/>
  <c r="G21" i="17"/>
  <c r="H21" i="17"/>
  <c r="I21" i="17"/>
  <c r="J21" i="17"/>
  <c r="K21" i="17"/>
  <c r="L21" i="17"/>
  <c r="M21" i="17"/>
  <c r="N21" i="17"/>
  <c r="O21" i="17"/>
  <c r="P21" i="17"/>
  <c r="Q21" i="17"/>
  <c r="R21" i="17"/>
  <c r="B78" i="17"/>
  <c r="C78" i="17"/>
  <c r="D78" i="17"/>
  <c r="E78" i="17"/>
  <c r="F78" i="17"/>
  <c r="G78" i="17"/>
  <c r="H78" i="17"/>
  <c r="I78" i="17"/>
  <c r="J78" i="17"/>
  <c r="K78" i="17"/>
  <c r="L78" i="17"/>
  <c r="M78" i="17"/>
  <c r="N78" i="17"/>
  <c r="O78" i="17"/>
  <c r="P78" i="17"/>
  <c r="Q78" i="17"/>
  <c r="R78" i="17"/>
  <c r="K98" i="17"/>
  <c r="A11" i="16"/>
  <c r="B11" i="16"/>
  <c r="C11" i="16"/>
  <c r="D11" i="16"/>
  <c r="E11" i="16"/>
  <c r="F11" i="16"/>
  <c r="G11" i="16"/>
  <c r="H11" i="16"/>
  <c r="I11" i="16"/>
  <c r="J11" i="16"/>
  <c r="K11" i="16"/>
  <c r="L11" i="16"/>
  <c r="M11" i="16"/>
  <c r="N11" i="16"/>
  <c r="O11" i="16"/>
  <c r="P11" i="16"/>
  <c r="Q11" i="16"/>
  <c r="R11" i="16"/>
  <c r="S11" i="16"/>
  <c r="T11" i="16"/>
  <c r="U11" i="16"/>
  <c r="V11" i="16"/>
  <c r="W11" i="16"/>
  <c r="X11" i="16"/>
  <c r="Y11" i="16"/>
  <c r="Z11" i="16"/>
  <c r="AA11" i="16"/>
  <c r="AB11" i="16"/>
  <c r="AC11" i="16"/>
  <c r="AD11" i="16"/>
  <c r="AE11" i="16"/>
  <c r="AF11" i="16"/>
  <c r="B12" i="16"/>
  <c r="B13" i="16" s="1"/>
  <c r="B19" i="16" s="1"/>
  <c r="C12" i="16"/>
  <c r="C13" i="16" s="1"/>
  <c r="C19" i="16" s="1"/>
  <c r="D12" i="16"/>
  <c r="D13" i="16" s="1"/>
  <c r="D19" i="16" s="1"/>
  <c r="E12" i="16"/>
  <c r="F12" i="16"/>
  <c r="F13" i="16" s="1"/>
  <c r="G12" i="16"/>
  <c r="H12" i="16"/>
  <c r="H13" i="16" s="1"/>
  <c r="I12" i="16"/>
  <c r="I13" i="16" s="1"/>
  <c r="J12" i="16"/>
  <c r="J13" i="16" s="1"/>
  <c r="K12" i="16"/>
  <c r="K13" i="16" s="1"/>
  <c r="L12" i="16"/>
  <c r="M12" i="16"/>
  <c r="N12" i="16"/>
  <c r="O12" i="16"/>
  <c r="P12" i="16"/>
  <c r="P13" i="16" s="1"/>
  <c r="P19" i="16" s="1"/>
  <c r="Q12" i="16"/>
  <c r="R12" i="16"/>
  <c r="S12" i="16"/>
  <c r="T12" i="16"/>
  <c r="U12" i="16"/>
  <c r="V12" i="16"/>
  <c r="V13" i="16" s="1"/>
  <c r="V19" i="16" s="1"/>
  <c r="W12" i="16"/>
  <c r="W13" i="16" s="1"/>
  <c r="W19" i="16" s="1"/>
  <c r="X12" i="16"/>
  <c r="X13" i="16" s="1"/>
  <c r="X19" i="16" s="1"/>
  <c r="Y12" i="16"/>
  <c r="Z12" i="16"/>
  <c r="Z13" i="16" s="1"/>
  <c r="Z19" i="16" s="1"/>
  <c r="AA12" i="16"/>
  <c r="AB12" i="16"/>
  <c r="AB13" i="16" s="1"/>
  <c r="AB19" i="16" s="1"/>
  <c r="AC12" i="16"/>
  <c r="AC13" i="16" s="1"/>
  <c r="AD12" i="16"/>
  <c r="AD13" i="16" s="1"/>
  <c r="AE12" i="16"/>
  <c r="AE13" i="16" s="1"/>
  <c r="AF12" i="16"/>
  <c r="E13" i="16"/>
  <c r="G13" i="16"/>
  <c r="L13" i="16"/>
  <c r="L19" i="16" s="1"/>
  <c r="M13" i="16"/>
  <c r="M19" i="16" s="1"/>
  <c r="N13" i="16"/>
  <c r="O13" i="16"/>
  <c r="Q13" i="16"/>
  <c r="R13" i="16"/>
  <c r="R19" i="16" s="1"/>
  <c r="S13" i="16"/>
  <c r="S19" i="16" s="1"/>
  <c r="T13" i="16"/>
  <c r="U13" i="16"/>
  <c r="Y13" i="16"/>
  <c r="AA13" i="16"/>
  <c r="AA19" i="16" s="1"/>
  <c r="AF13" i="16"/>
  <c r="F17" i="16"/>
  <c r="F18" i="16" s="1"/>
  <c r="G17" i="16"/>
  <c r="G18" i="16" s="1"/>
  <c r="G19" i="16" s="1"/>
  <c r="H17" i="16"/>
  <c r="H18" i="16" s="1"/>
  <c r="H19" i="16" s="1"/>
  <c r="I17" i="16"/>
  <c r="I18" i="16" s="1"/>
  <c r="J17" i="16"/>
  <c r="J18" i="16" s="1"/>
  <c r="J19" i="16" s="1"/>
  <c r="K17" i="16"/>
  <c r="K18" i="16" s="1"/>
  <c r="K19" i="16" s="1"/>
  <c r="O17" i="16"/>
  <c r="O18" i="16" s="1"/>
  <c r="O19" i="16" s="1"/>
  <c r="P17" i="16"/>
  <c r="T17" i="16"/>
  <c r="T18" i="16" s="1"/>
  <c r="T19" i="16" s="1"/>
  <c r="U17" i="16"/>
  <c r="Y17" i="16"/>
  <c r="AC17" i="16"/>
  <c r="AD17" i="16"/>
  <c r="AD18" i="16" s="1"/>
  <c r="AD19" i="16" s="1"/>
  <c r="AE17" i="16"/>
  <c r="AE18" i="16" s="1"/>
  <c r="AE19" i="16" s="1"/>
  <c r="AF17" i="16"/>
  <c r="AF18" i="16" s="1"/>
  <c r="AF19" i="16" s="1"/>
  <c r="P18" i="16"/>
  <c r="U18" i="16"/>
  <c r="U19" i="16" s="1"/>
  <c r="Y18" i="16"/>
  <c r="Y19" i="16" s="1"/>
  <c r="AC18" i="16"/>
  <c r="E19" i="16"/>
  <c r="N19" i="16"/>
  <c r="Q19" i="16"/>
  <c r="B21" i="16"/>
  <c r="C21" i="16"/>
  <c r="D21" i="16"/>
  <c r="E21" i="16"/>
  <c r="F21" i="16"/>
  <c r="G21" i="16"/>
  <c r="H21" i="16"/>
  <c r="I21" i="16"/>
  <c r="J21" i="16"/>
  <c r="K21" i="16"/>
  <c r="L21" i="16"/>
  <c r="M21" i="16"/>
  <c r="N21" i="16"/>
  <c r="O21" i="16"/>
  <c r="P21" i="16"/>
  <c r="Q21" i="16"/>
  <c r="R21" i="16"/>
  <c r="S21" i="16"/>
  <c r="T21" i="16"/>
  <c r="U21" i="16"/>
  <c r="V21" i="16"/>
  <c r="W21" i="16"/>
  <c r="X21" i="16"/>
  <c r="Y21" i="16"/>
  <c r="Z21" i="16"/>
  <c r="AA21" i="16"/>
  <c r="AB21" i="16"/>
  <c r="AC21" i="16"/>
  <c r="AD21" i="16"/>
  <c r="AE21" i="16"/>
  <c r="AF21" i="16"/>
  <c r="B77" i="16"/>
  <c r="C77" i="16"/>
  <c r="D77" i="16"/>
  <c r="E77" i="16"/>
  <c r="F77" i="16"/>
  <c r="G77" i="16"/>
  <c r="H77" i="16"/>
  <c r="I77" i="16"/>
  <c r="J77" i="16"/>
  <c r="K77" i="16"/>
  <c r="L77" i="16"/>
  <c r="M77" i="16"/>
  <c r="N77" i="16"/>
  <c r="O77" i="16"/>
  <c r="P77" i="16"/>
  <c r="Q77" i="16"/>
  <c r="R77" i="16"/>
  <c r="S77" i="16"/>
  <c r="T77" i="16"/>
  <c r="U77" i="16"/>
  <c r="V77" i="16"/>
  <c r="W77" i="16"/>
  <c r="X77" i="16"/>
  <c r="Y77" i="16"/>
  <c r="Z77" i="16"/>
  <c r="AA77" i="16"/>
  <c r="AB77" i="16"/>
  <c r="AC77" i="16"/>
  <c r="AD77" i="16"/>
  <c r="AE77" i="16"/>
  <c r="AF77" i="16"/>
  <c r="A11" i="15"/>
  <c r="B11" i="15"/>
  <c r="C11" i="15"/>
  <c r="D11" i="15"/>
  <c r="E11" i="15"/>
  <c r="F11" i="15"/>
  <c r="G11" i="15"/>
  <c r="B12" i="15"/>
  <c r="C12" i="15"/>
  <c r="D12" i="15"/>
  <c r="E12" i="15"/>
  <c r="F12" i="15"/>
  <c r="G12" i="15"/>
  <c r="B13" i="15"/>
  <c r="C13" i="15"/>
  <c r="D13" i="15"/>
  <c r="E13" i="15"/>
  <c r="F13" i="15"/>
  <c r="F19" i="15" s="1"/>
  <c r="G13" i="15"/>
  <c r="G19" i="15" s="1"/>
  <c r="B17" i="15"/>
  <c r="B18" i="15" s="1"/>
  <c r="B19" i="15" s="1"/>
  <c r="C17" i="15"/>
  <c r="C18" i="15" s="1"/>
  <c r="C19" i="15" s="1"/>
  <c r="D17" i="15"/>
  <c r="D18" i="15" s="1"/>
  <c r="D19" i="15" s="1"/>
  <c r="E17" i="15"/>
  <c r="F17" i="15"/>
  <c r="G17" i="15"/>
  <c r="E18" i="15"/>
  <c r="F18" i="15"/>
  <c r="G18" i="15"/>
  <c r="E19" i="15"/>
  <c r="B21" i="15"/>
  <c r="C21" i="15"/>
  <c r="D21" i="15"/>
  <c r="E21" i="15"/>
  <c r="F21" i="15"/>
  <c r="G21" i="15"/>
  <c r="B60" i="15"/>
  <c r="C60" i="15"/>
  <c r="D60" i="15"/>
  <c r="E60" i="15"/>
  <c r="F60" i="15"/>
  <c r="G60" i="15"/>
  <c r="A11" i="14"/>
  <c r="B11" i="14"/>
  <c r="C11" i="14"/>
  <c r="D11" i="14"/>
  <c r="E11" i="14"/>
  <c r="F11" i="14"/>
  <c r="G11" i="14"/>
  <c r="H11" i="14"/>
  <c r="I11" i="14"/>
  <c r="J11" i="14"/>
  <c r="K11" i="14"/>
  <c r="L11" i="14"/>
  <c r="M11" i="14"/>
  <c r="N11" i="14"/>
  <c r="O11" i="14"/>
  <c r="P11" i="14"/>
  <c r="Q11" i="14"/>
  <c r="R11" i="14"/>
  <c r="S11" i="14"/>
  <c r="T11" i="14"/>
  <c r="U11" i="14"/>
  <c r="V11" i="14"/>
  <c r="W11" i="14"/>
  <c r="X11" i="14"/>
  <c r="Y11" i="14"/>
  <c r="Z11" i="14"/>
  <c r="AA11" i="14"/>
  <c r="B12" i="14"/>
  <c r="B13" i="14" s="1"/>
  <c r="B19" i="14" s="1"/>
  <c r="C12" i="14"/>
  <c r="D12" i="14"/>
  <c r="D13" i="14" s="1"/>
  <c r="D19" i="14" s="1"/>
  <c r="E12" i="14"/>
  <c r="F12" i="14"/>
  <c r="G12" i="14"/>
  <c r="H12" i="14"/>
  <c r="I12" i="14"/>
  <c r="I13" i="14" s="1"/>
  <c r="I19" i="14" s="1"/>
  <c r="J12" i="14"/>
  <c r="J13" i="14" s="1"/>
  <c r="J19" i="14" s="1"/>
  <c r="K12" i="14"/>
  <c r="L12" i="14"/>
  <c r="L13" i="14" s="1"/>
  <c r="M12" i="14"/>
  <c r="M13" i="14" s="1"/>
  <c r="N12" i="14"/>
  <c r="N13" i="14" s="1"/>
  <c r="O12" i="14"/>
  <c r="P12" i="14"/>
  <c r="Q12" i="14"/>
  <c r="R12" i="14"/>
  <c r="S12" i="14"/>
  <c r="S13" i="14" s="1"/>
  <c r="S19" i="14" s="1"/>
  <c r="T12" i="14"/>
  <c r="T13" i="14" s="1"/>
  <c r="T19" i="14" s="1"/>
  <c r="U12" i="14"/>
  <c r="U13" i="14" s="1"/>
  <c r="U19" i="14" s="1"/>
  <c r="V12" i="14"/>
  <c r="V13" i="14" s="1"/>
  <c r="V19" i="14" s="1"/>
  <c r="W12" i="14"/>
  <c r="X12" i="14"/>
  <c r="Y12" i="14"/>
  <c r="Z12" i="14"/>
  <c r="AA12" i="14"/>
  <c r="C13" i="14"/>
  <c r="C19" i="14" s="1"/>
  <c r="E13" i="14"/>
  <c r="F13" i="14"/>
  <c r="F19" i="14" s="1"/>
  <c r="G13" i="14"/>
  <c r="G19" i="14" s="1"/>
  <c r="H13" i="14"/>
  <c r="H19" i="14" s="1"/>
  <c r="K13" i="14"/>
  <c r="O13" i="14"/>
  <c r="O19" i="14" s="1"/>
  <c r="P13" i="14"/>
  <c r="Q13" i="14"/>
  <c r="R13" i="14"/>
  <c r="W13" i="14"/>
  <c r="W19" i="14" s="1"/>
  <c r="X13" i="14"/>
  <c r="X19" i="14" s="1"/>
  <c r="Y13" i="14"/>
  <c r="Z13" i="14"/>
  <c r="Z19" i="14" s="1"/>
  <c r="AA13" i="14"/>
  <c r="AA19" i="14" s="1"/>
  <c r="K17" i="14"/>
  <c r="K18" i="14" s="1"/>
  <c r="K19" i="14" s="1"/>
  <c r="L17" i="14"/>
  <c r="M17" i="14"/>
  <c r="N17" i="14"/>
  <c r="Q17" i="14"/>
  <c r="R17" i="14"/>
  <c r="R18" i="14" s="1"/>
  <c r="R19" i="14" s="1"/>
  <c r="L18" i="14"/>
  <c r="M18" i="14"/>
  <c r="N18" i="14"/>
  <c r="Q18" i="14"/>
  <c r="E19" i="14"/>
  <c r="P19" i="14"/>
  <c r="Q19" i="14"/>
  <c r="Y19" i="14"/>
  <c r="B21" i="14"/>
  <c r="C21" i="14"/>
  <c r="D21" i="14"/>
  <c r="E21" i="14"/>
  <c r="F21" i="14"/>
  <c r="G21" i="14"/>
  <c r="H21" i="14"/>
  <c r="I21" i="14"/>
  <c r="J21" i="14"/>
  <c r="K21" i="14"/>
  <c r="L21" i="14"/>
  <c r="M21" i="14"/>
  <c r="N21" i="14"/>
  <c r="O21" i="14"/>
  <c r="P21" i="14"/>
  <c r="Q21" i="14"/>
  <c r="R21" i="14"/>
  <c r="S21" i="14"/>
  <c r="T21" i="14"/>
  <c r="U21" i="14"/>
  <c r="V21" i="14"/>
  <c r="W21" i="14"/>
  <c r="X21" i="14"/>
  <c r="Y21" i="14"/>
  <c r="Z21" i="14"/>
  <c r="AA21" i="14"/>
  <c r="B62" i="14"/>
  <c r="C62" i="14"/>
  <c r="D62" i="14"/>
  <c r="E62" i="14"/>
  <c r="F62" i="14"/>
  <c r="G62" i="14"/>
  <c r="H62" i="14"/>
  <c r="I62" i="14"/>
  <c r="J62" i="14"/>
  <c r="K62" i="14"/>
  <c r="L62" i="14"/>
  <c r="M62" i="14"/>
  <c r="N62" i="14"/>
  <c r="O62" i="14"/>
  <c r="P62" i="14"/>
  <c r="Q62" i="14"/>
  <c r="R62" i="14"/>
  <c r="S62" i="14"/>
  <c r="T62" i="14"/>
  <c r="U62" i="14"/>
  <c r="V62" i="14"/>
  <c r="W62" i="14"/>
  <c r="X62" i="14"/>
  <c r="Y62" i="14"/>
  <c r="Z62" i="14"/>
  <c r="AA62" i="14"/>
  <c r="W77" i="14"/>
  <c r="X77" i="14"/>
  <c r="A11" i="13"/>
  <c r="B11" i="13"/>
  <c r="C11" i="13"/>
  <c r="D11" i="13"/>
  <c r="E11" i="13"/>
  <c r="F11" i="13"/>
  <c r="G11" i="13"/>
  <c r="H11" i="13"/>
  <c r="I11" i="13"/>
  <c r="J11" i="13"/>
  <c r="K11" i="13"/>
  <c r="L11" i="13"/>
  <c r="M11" i="13"/>
  <c r="N11" i="13"/>
  <c r="O11" i="13"/>
  <c r="P11" i="13"/>
  <c r="Q11" i="13"/>
  <c r="R11" i="13"/>
  <c r="S11" i="13"/>
  <c r="T11" i="13"/>
  <c r="U11" i="13"/>
  <c r="V11" i="13"/>
  <c r="W11" i="13"/>
  <c r="X11" i="13"/>
  <c r="Y11" i="13"/>
  <c r="Z11" i="13"/>
  <c r="AA11" i="13"/>
  <c r="AB11" i="13"/>
  <c r="AC11" i="13"/>
  <c r="B12" i="13"/>
  <c r="C12" i="13"/>
  <c r="C13" i="13" s="1"/>
  <c r="C19" i="13" s="1"/>
  <c r="D12" i="13"/>
  <c r="E12" i="13"/>
  <c r="E13" i="13" s="1"/>
  <c r="E19" i="13" s="1"/>
  <c r="F12" i="13"/>
  <c r="F13" i="13" s="1"/>
  <c r="F19" i="13" s="1"/>
  <c r="G12" i="13"/>
  <c r="G13" i="13" s="1"/>
  <c r="G19" i="13" s="1"/>
  <c r="H12" i="13"/>
  <c r="H13" i="13" s="1"/>
  <c r="H19" i="13" s="1"/>
  <c r="I12" i="13"/>
  <c r="J12" i="13"/>
  <c r="J13" i="13" s="1"/>
  <c r="J19" i="13" s="1"/>
  <c r="K12" i="13"/>
  <c r="K13" i="13" s="1"/>
  <c r="K19" i="13" s="1"/>
  <c r="L12" i="13"/>
  <c r="L13" i="13" s="1"/>
  <c r="L19" i="13" s="1"/>
  <c r="M12" i="13"/>
  <c r="N12" i="13"/>
  <c r="O12" i="13"/>
  <c r="P12" i="13"/>
  <c r="Q12" i="13"/>
  <c r="Q13" i="13" s="1"/>
  <c r="Q19" i="13" s="1"/>
  <c r="R12" i="13"/>
  <c r="S12" i="13"/>
  <c r="T12" i="13"/>
  <c r="T13" i="13" s="1"/>
  <c r="T19" i="13" s="1"/>
  <c r="U12" i="13"/>
  <c r="U13" i="13" s="1"/>
  <c r="U19" i="13" s="1"/>
  <c r="V12" i="13"/>
  <c r="W12" i="13"/>
  <c r="W13" i="13" s="1"/>
  <c r="W19" i="13" s="1"/>
  <c r="X12" i="13"/>
  <c r="Y12" i="13"/>
  <c r="Y13" i="13" s="1"/>
  <c r="Y19" i="13" s="1"/>
  <c r="Z12" i="13"/>
  <c r="Z13" i="13" s="1"/>
  <c r="Z19" i="13" s="1"/>
  <c r="AA12" i="13"/>
  <c r="AA13" i="13" s="1"/>
  <c r="AA19" i="13" s="1"/>
  <c r="AB12" i="13"/>
  <c r="AB13" i="13" s="1"/>
  <c r="AB19" i="13" s="1"/>
  <c r="AC12" i="13"/>
  <c r="B13" i="13"/>
  <c r="D13" i="13"/>
  <c r="D19" i="13" s="1"/>
  <c r="I13" i="13"/>
  <c r="I19" i="13" s="1"/>
  <c r="M13" i="13"/>
  <c r="M19" i="13" s="1"/>
  <c r="N13" i="13"/>
  <c r="O13" i="13"/>
  <c r="O19" i="13" s="1"/>
  <c r="P13" i="13"/>
  <c r="P19" i="13" s="1"/>
  <c r="R13" i="13"/>
  <c r="S13" i="13"/>
  <c r="V13" i="13"/>
  <c r="X13" i="13"/>
  <c r="X19" i="13" s="1"/>
  <c r="AC13" i="13"/>
  <c r="AC19" i="13" s="1"/>
  <c r="R17" i="13"/>
  <c r="R18" i="13"/>
  <c r="R19" i="13" s="1"/>
  <c r="B19" i="13"/>
  <c r="N19" i="13"/>
  <c r="S19" i="13"/>
  <c r="V19" i="13"/>
  <c r="B21" i="13"/>
  <c r="C21" i="13"/>
  <c r="D21" i="13"/>
  <c r="E21" i="13"/>
  <c r="F21" i="13"/>
  <c r="G21" i="13"/>
  <c r="H21" i="13"/>
  <c r="I21" i="13"/>
  <c r="J21" i="13"/>
  <c r="K21" i="13"/>
  <c r="L21" i="13"/>
  <c r="M21" i="13"/>
  <c r="N21" i="13"/>
  <c r="O21" i="13"/>
  <c r="P21" i="13"/>
  <c r="Q21" i="13"/>
  <c r="R21" i="13"/>
  <c r="S21" i="13"/>
  <c r="T21" i="13"/>
  <c r="U21" i="13"/>
  <c r="V21" i="13"/>
  <c r="W21" i="13"/>
  <c r="X21" i="13"/>
  <c r="Y21" i="13"/>
  <c r="Z21" i="13"/>
  <c r="AA21" i="13"/>
  <c r="AB21" i="13"/>
  <c r="AC21" i="13"/>
  <c r="B54" i="13"/>
  <c r="C54" i="13"/>
  <c r="D54" i="13"/>
  <c r="E54" i="13"/>
  <c r="F54" i="13"/>
  <c r="G54" i="13"/>
  <c r="H54" i="13"/>
  <c r="I54" i="13"/>
  <c r="J54" i="13"/>
  <c r="K54" i="13"/>
  <c r="L54" i="13"/>
  <c r="M54" i="13"/>
  <c r="N54" i="13"/>
  <c r="O54" i="13"/>
  <c r="P54" i="13"/>
  <c r="Q54" i="13"/>
  <c r="R54" i="13"/>
  <c r="S54" i="13"/>
  <c r="T54" i="13"/>
  <c r="U54" i="13"/>
  <c r="V54" i="13"/>
  <c r="W54" i="13"/>
  <c r="X54" i="13"/>
  <c r="Y54" i="13"/>
  <c r="Z54" i="13"/>
  <c r="AA54" i="13"/>
  <c r="AB54" i="13"/>
  <c r="AC68" i="13"/>
  <c r="N91" i="11"/>
  <c r="R72" i="11"/>
  <c r="Q72" i="11"/>
  <c r="P72" i="11"/>
  <c r="O72" i="11"/>
  <c r="N72" i="11"/>
  <c r="M72" i="11"/>
  <c r="L72" i="11"/>
  <c r="K72" i="11"/>
  <c r="J72" i="11"/>
  <c r="I72" i="11"/>
  <c r="H72" i="11"/>
  <c r="G72" i="11"/>
  <c r="F72" i="11"/>
  <c r="E72" i="11"/>
  <c r="D72" i="11"/>
  <c r="C72" i="11"/>
  <c r="B72" i="11"/>
  <c r="R21" i="11"/>
  <c r="Q21" i="11"/>
  <c r="P21" i="11"/>
  <c r="O21" i="11"/>
  <c r="N21" i="11"/>
  <c r="M21" i="11"/>
  <c r="L21" i="11"/>
  <c r="K21" i="11"/>
  <c r="J21" i="11"/>
  <c r="I21" i="11"/>
  <c r="H21" i="11"/>
  <c r="G21" i="11"/>
  <c r="F21" i="11"/>
  <c r="E21" i="11"/>
  <c r="D21" i="11"/>
  <c r="C21" i="11"/>
  <c r="B21" i="11"/>
  <c r="R18" i="11"/>
  <c r="R19" i="11" s="1"/>
  <c r="O18" i="11"/>
  <c r="O19" i="11" s="1"/>
  <c r="L18" i="11"/>
  <c r="L19" i="11" s="1"/>
  <c r="G18" i="11"/>
  <c r="G19" i="11" s="1"/>
  <c r="E18" i="11"/>
  <c r="E19" i="11" s="1"/>
  <c r="R17" i="11"/>
  <c r="Q17" i="11"/>
  <c r="Q18" i="11" s="1"/>
  <c r="P17" i="11"/>
  <c r="P18" i="11" s="1"/>
  <c r="O17" i="11"/>
  <c r="N17" i="11"/>
  <c r="N18" i="11" s="1"/>
  <c r="N19" i="11" s="1"/>
  <c r="M17" i="11"/>
  <c r="M18" i="11" s="1"/>
  <c r="M19" i="11" s="1"/>
  <c r="L17" i="11"/>
  <c r="J17" i="11"/>
  <c r="J18" i="11" s="1"/>
  <c r="J19" i="11" s="1"/>
  <c r="G17" i="11"/>
  <c r="F17" i="11"/>
  <c r="F18" i="11" s="1"/>
  <c r="E17" i="11"/>
  <c r="O13" i="11"/>
  <c r="N13" i="11"/>
  <c r="L13" i="11"/>
  <c r="J13" i="11"/>
  <c r="D13" i="11"/>
  <c r="D19" i="11" s="1"/>
  <c r="B13" i="11"/>
  <c r="B19" i="11" s="1"/>
  <c r="R12" i="11"/>
  <c r="R13" i="11" s="1"/>
  <c r="Q12" i="11"/>
  <c r="Q13" i="11" s="1"/>
  <c r="P12" i="11"/>
  <c r="P13" i="11" s="1"/>
  <c r="O12" i="11"/>
  <c r="N12" i="11"/>
  <c r="M12" i="11"/>
  <c r="M13" i="11" s="1"/>
  <c r="L12" i="11"/>
  <c r="K12" i="11"/>
  <c r="K13" i="11" s="1"/>
  <c r="K19" i="11" s="1"/>
  <c r="J12" i="11"/>
  <c r="I12" i="11"/>
  <c r="I13" i="11" s="1"/>
  <c r="I19" i="11" s="1"/>
  <c r="H12" i="11"/>
  <c r="H13" i="11" s="1"/>
  <c r="H19" i="11" s="1"/>
  <c r="G12" i="11"/>
  <c r="G13" i="11" s="1"/>
  <c r="F12" i="11"/>
  <c r="F13" i="11" s="1"/>
  <c r="E12" i="11"/>
  <c r="E13" i="11" s="1"/>
  <c r="D12" i="11"/>
  <c r="C12" i="11"/>
  <c r="C13" i="11" s="1"/>
  <c r="C19" i="11" s="1"/>
  <c r="B12" i="11"/>
  <c r="R11" i="11"/>
  <c r="Q11" i="11"/>
  <c r="P11" i="11"/>
  <c r="O11" i="11"/>
  <c r="N11" i="11"/>
  <c r="M11" i="11"/>
  <c r="L11" i="11"/>
  <c r="K11" i="11"/>
  <c r="J11" i="11"/>
  <c r="I11" i="11"/>
  <c r="H11" i="11"/>
  <c r="G11" i="11"/>
  <c r="F11" i="11"/>
  <c r="E11" i="11"/>
  <c r="D11" i="11"/>
  <c r="C11" i="11"/>
  <c r="B11" i="11"/>
  <c r="A11" i="11"/>
  <c r="R66" i="10"/>
  <c r="AA51" i="10"/>
  <c r="Z51" i="10"/>
  <c r="Y51" i="10"/>
  <c r="X51" i="10"/>
  <c r="W51" i="10"/>
  <c r="V51" i="10"/>
  <c r="U51" i="10"/>
  <c r="T51" i="10"/>
  <c r="S51" i="10"/>
  <c r="Q51" i="10"/>
  <c r="P51" i="10"/>
  <c r="O51" i="10"/>
  <c r="N51" i="10"/>
  <c r="M51" i="10"/>
  <c r="L51" i="10"/>
  <c r="K51" i="10"/>
  <c r="J51" i="10"/>
  <c r="I51" i="10"/>
  <c r="H51" i="10"/>
  <c r="G51" i="10"/>
  <c r="F51" i="10"/>
  <c r="E51" i="10"/>
  <c r="D51" i="10"/>
  <c r="C51" i="10"/>
  <c r="B5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B21" i="10"/>
  <c r="Y19" i="10"/>
  <c r="W19" i="10"/>
  <c r="T19" i="10"/>
  <c r="M19" i="10"/>
  <c r="E19" i="10"/>
  <c r="C19" i="10"/>
  <c r="V17" i="10"/>
  <c r="V18" i="10" s="1"/>
  <c r="V19" i="10" s="1"/>
  <c r="Y13" i="10"/>
  <c r="W13" i="10"/>
  <c r="U13" i="10"/>
  <c r="U19" i="10" s="1"/>
  <c r="T13" i="10"/>
  <c r="R13" i="10"/>
  <c r="R19" i="10" s="1"/>
  <c r="P13" i="10"/>
  <c r="P19" i="10" s="1"/>
  <c r="O13" i="10"/>
  <c r="O19" i="10" s="1"/>
  <c r="M13" i="10"/>
  <c r="L13" i="10"/>
  <c r="L19" i="10" s="1"/>
  <c r="K13" i="10"/>
  <c r="K19" i="10" s="1"/>
  <c r="H13" i="10"/>
  <c r="H19" i="10" s="1"/>
  <c r="E13" i="10"/>
  <c r="C13" i="10"/>
  <c r="AA12" i="10"/>
  <c r="AA13" i="10" s="1"/>
  <c r="AA19" i="10" s="1"/>
  <c r="Z12" i="10"/>
  <c r="Z13" i="10" s="1"/>
  <c r="Z19" i="10" s="1"/>
  <c r="Y12" i="10"/>
  <c r="X12" i="10"/>
  <c r="X13" i="10" s="1"/>
  <c r="X19" i="10" s="1"/>
  <c r="W12" i="10"/>
  <c r="V12" i="10"/>
  <c r="V13" i="10" s="1"/>
  <c r="U12" i="10"/>
  <c r="T12" i="10"/>
  <c r="S12" i="10"/>
  <c r="S13" i="10" s="1"/>
  <c r="S19" i="10" s="1"/>
  <c r="R12" i="10"/>
  <c r="Q12" i="10"/>
  <c r="Q13" i="10" s="1"/>
  <c r="Q19" i="10" s="1"/>
  <c r="P12" i="10"/>
  <c r="O12" i="10"/>
  <c r="N12" i="10"/>
  <c r="N13" i="10" s="1"/>
  <c r="N19" i="10" s="1"/>
  <c r="M12" i="10"/>
  <c r="L12" i="10"/>
  <c r="K12" i="10"/>
  <c r="J12" i="10"/>
  <c r="J13" i="10" s="1"/>
  <c r="J19" i="10" s="1"/>
  <c r="I12" i="10"/>
  <c r="I13" i="10" s="1"/>
  <c r="I19" i="10" s="1"/>
  <c r="H12" i="10"/>
  <c r="G12" i="10"/>
  <c r="G13" i="10" s="1"/>
  <c r="G19" i="10" s="1"/>
  <c r="F12" i="10"/>
  <c r="F13" i="10" s="1"/>
  <c r="F19" i="10" s="1"/>
  <c r="E12" i="10"/>
  <c r="D12" i="10"/>
  <c r="D13" i="10" s="1"/>
  <c r="D19" i="10" s="1"/>
  <c r="C12" i="10"/>
  <c r="B12" i="10"/>
  <c r="B13" i="10" s="1"/>
  <c r="B19" i="10" s="1"/>
  <c r="AA11" i="10"/>
  <c r="Z11" i="10"/>
  <c r="Y11" i="10"/>
  <c r="X11" i="10"/>
  <c r="W11" i="10"/>
  <c r="V11" i="10"/>
  <c r="U11" i="10"/>
  <c r="T11" i="10"/>
  <c r="S11" i="10"/>
  <c r="R11" i="10"/>
  <c r="Q11" i="10"/>
  <c r="P11" i="10"/>
  <c r="O11" i="10"/>
  <c r="N11" i="10"/>
  <c r="M11" i="10"/>
  <c r="L11" i="10"/>
  <c r="K11" i="10"/>
  <c r="J11" i="10"/>
  <c r="I11" i="10"/>
  <c r="H11" i="10"/>
  <c r="G11" i="10"/>
  <c r="F11" i="10"/>
  <c r="E11" i="10"/>
  <c r="D11" i="10"/>
  <c r="C11" i="10"/>
  <c r="B11" i="10"/>
  <c r="A11" i="10"/>
  <c r="Z70" i="9"/>
  <c r="Y70" i="9"/>
  <c r="X70" i="9"/>
  <c r="W70" i="9"/>
  <c r="V70" i="9"/>
  <c r="U70" i="9"/>
  <c r="T70" i="9"/>
  <c r="S70" i="9"/>
  <c r="R70" i="9"/>
  <c r="Q70" i="9"/>
  <c r="P70" i="9"/>
  <c r="O70" i="9"/>
  <c r="N70" i="9"/>
  <c r="M70" i="9"/>
  <c r="L70" i="9"/>
  <c r="K70" i="9"/>
  <c r="J70" i="9"/>
  <c r="I70" i="9"/>
  <c r="H70" i="9"/>
  <c r="G70" i="9"/>
  <c r="F70" i="9"/>
  <c r="E70" i="9"/>
  <c r="D70" i="9"/>
  <c r="C70" i="9"/>
  <c r="B70" i="9"/>
  <c r="Z21" i="9"/>
  <c r="Y21" i="9"/>
  <c r="X21" i="9"/>
  <c r="W21" i="9"/>
  <c r="V21" i="9"/>
  <c r="U21" i="9"/>
  <c r="T21" i="9"/>
  <c r="S21" i="9"/>
  <c r="R21" i="9"/>
  <c r="Q21" i="9"/>
  <c r="P21" i="9"/>
  <c r="O21" i="9"/>
  <c r="N21" i="9"/>
  <c r="M21" i="9"/>
  <c r="L21" i="9"/>
  <c r="K21" i="9"/>
  <c r="J21" i="9"/>
  <c r="I21" i="9"/>
  <c r="H21" i="9"/>
  <c r="G21" i="9"/>
  <c r="F21" i="9"/>
  <c r="E21" i="9"/>
  <c r="D21" i="9"/>
  <c r="C21" i="9"/>
  <c r="B21" i="9"/>
  <c r="Q19" i="9"/>
  <c r="X18" i="9"/>
  <c r="S18" i="9"/>
  <c r="S19" i="9" s="1"/>
  <c r="P18" i="9"/>
  <c r="P19" i="9" s="1"/>
  <c r="O18" i="9"/>
  <c r="O19" i="9" s="1"/>
  <c r="F18" i="9"/>
  <c r="Y17" i="9"/>
  <c r="Y18" i="9" s="1"/>
  <c r="Y19" i="9" s="1"/>
  <c r="X17" i="9"/>
  <c r="W17" i="9"/>
  <c r="W18" i="9" s="1"/>
  <c r="W19" i="9" s="1"/>
  <c r="V17" i="9"/>
  <c r="V18" i="9" s="1"/>
  <c r="V19" i="9" s="1"/>
  <c r="S17" i="9"/>
  <c r="P17" i="9"/>
  <c r="O17" i="9"/>
  <c r="I17" i="9"/>
  <c r="I18" i="9" s="1"/>
  <c r="G17" i="9"/>
  <c r="G18" i="9" s="1"/>
  <c r="F17" i="9"/>
  <c r="Y13" i="9"/>
  <c r="X13" i="9"/>
  <c r="X19" i="9" s="1"/>
  <c r="V13" i="9"/>
  <c r="U13" i="9"/>
  <c r="U19" i="9" s="1"/>
  <c r="R13" i="9"/>
  <c r="R19" i="9" s="1"/>
  <c r="Q13" i="9"/>
  <c r="O13" i="9"/>
  <c r="N13" i="9"/>
  <c r="N19" i="9" s="1"/>
  <c r="H13" i="9"/>
  <c r="H19" i="9" s="1"/>
  <c r="E13" i="9"/>
  <c r="E19" i="9" s="1"/>
  <c r="D13" i="9"/>
  <c r="D19" i="9" s="1"/>
  <c r="B13" i="9"/>
  <c r="B19" i="9" s="1"/>
  <c r="Z12" i="9"/>
  <c r="Z13" i="9" s="1"/>
  <c r="Z19" i="9" s="1"/>
  <c r="Y12" i="9"/>
  <c r="X12" i="9"/>
  <c r="W12" i="9"/>
  <c r="W13" i="9" s="1"/>
  <c r="V12" i="9"/>
  <c r="U12" i="9"/>
  <c r="T12" i="9"/>
  <c r="T13" i="9" s="1"/>
  <c r="T19" i="9" s="1"/>
  <c r="S12" i="9"/>
  <c r="S13" i="9" s="1"/>
  <c r="R12" i="9"/>
  <c r="Q12" i="9"/>
  <c r="P12" i="9"/>
  <c r="P13" i="9" s="1"/>
  <c r="O12" i="9"/>
  <c r="N12" i="9"/>
  <c r="M12" i="9"/>
  <c r="M13" i="9" s="1"/>
  <c r="M19" i="9" s="1"/>
  <c r="L12" i="9"/>
  <c r="L13" i="9" s="1"/>
  <c r="L19" i="9" s="1"/>
  <c r="K12" i="9"/>
  <c r="K13" i="9" s="1"/>
  <c r="K19" i="9" s="1"/>
  <c r="J12" i="9"/>
  <c r="J13" i="9" s="1"/>
  <c r="J19" i="9" s="1"/>
  <c r="I12" i="9"/>
  <c r="I13" i="9" s="1"/>
  <c r="H12" i="9"/>
  <c r="G12" i="9"/>
  <c r="G13" i="9" s="1"/>
  <c r="F12" i="9"/>
  <c r="F13" i="9" s="1"/>
  <c r="F19" i="9" s="1"/>
  <c r="E12" i="9"/>
  <c r="D12" i="9"/>
  <c r="C12" i="9"/>
  <c r="C13" i="9" s="1"/>
  <c r="C19" i="9" s="1"/>
  <c r="B12" i="9"/>
  <c r="Z11" i="9"/>
  <c r="Y11" i="9"/>
  <c r="X11" i="9"/>
  <c r="W11" i="9"/>
  <c r="V11" i="9"/>
  <c r="U11" i="9"/>
  <c r="T11" i="9"/>
  <c r="S11" i="9"/>
  <c r="R11" i="9"/>
  <c r="Q11" i="9"/>
  <c r="P11" i="9"/>
  <c r="O11" i="9"/>
  <c r="N11" i="9"/>
  <c r="M11" i="9"/>
  <c r="L11" i="9"/>
  <c r="K11" i="9"/>
  <c r="J11" i="9"/>
  <c r="I11" i="9"/>
  <c r="H11" i="9"/>
  <c r="G11" i="9"/>
  <c r="F11" i="9"/>
  <c r="E11" i="9"/>
  <c r="D11" i="9"/>
  <c r="C11" i="9"/>
  <c r="B11" i="9"/>
  <c r="A11" i="9"/>
  <c r="O74" i="8"/>
  <c r="N74" i="8"/>
  <c r="Z58" i="8"/>
  <c r="Y58" i="8"/>
  <c r="X58" i="8"/>
  <c r="W58" i="8"/>
  <c r="V58" i="8"/>
  <c r="U58" i="8"/>
  <c r="T58" i="8"/>
  <c r="S58" i="8"/>
  <c r="R58" i="8"/>
  <c r="Q58" i="8"/>
  <c r="P58" i="8"/>
  <c r="O58" i="8"/>
  <c r="N58" i="8"/>
  <c r="M58" i="8"/>
  <c r="L58" i="8"/>
  <c r="K58" i="8"/>
  <c r="J58" i="8"/>
  <c r="I58" i="8"/>
  <c r="H58" i="8"/>
  <c r="G58" i="8"/>
  <c r="F58" i="8"/>
  <c r="E58" i="8"/>
  <c r="D58" i="8"/>
  <c r="C58" i="8"/>
  <c r="B58" i="8"/>
  <c r="Z21" i="8"/>
  <c r="Y21" i="8"/>
  <c r="X21" i="8"/>
  <c r="W21" i="8"/>
  <c r="V21" i="8"/>
  <c r="U21" i="8"/>
  <c r="T21" i="8"/>
  <c r="S21" i="8"/>
  <c r="R21" i="8"/>
  <c r="Q21" i="8"/>
  <c r="P21" i="8"/>
  <c r="O21" i="8"/>
  <c r="N21" i="8"/>
  <c r="M21" i="8"/>
  <c r="L21" i="8"/>
  <c r="K21" i="8"/>
  <c r="J21" i="8"/>
  <c r="I21" i="8"/>
  <c r="H21" i="8"/>
  <c r="G21" i="8"/>
  <c r="F21" i="8"/>
  <c r="E21" i="8"/>
  <c r="D21" i="8"/>
  <c r="C21" i="8"/>
  <c r="B21" i="8"/>
  <c r="V19" i="8"/>
  <c r="I19" i="8"/>
  <c r="B19" i="8"/>
  <c r="Y18" i="8"/>
  <c r="T18" i="8"/>
  <c r="T19" i="8" s="1"/>
  <c r="K18" i="8"/>
  <c r="J18" i="8"/>
  <c r="J19" i="8" s="1"/>
  <c r="Y17" i="8"/>
  <c r="X17" i="8"/>
  <c r="X18" i="8" s="1"/>
  <c r="T17" i="8"/>
  <c r="S17" i="8"/>
  <c r="S18" i="8" s="1"/>
  <c r="S19" i="8" s="1"/>
  <c r="K17" i="8"/>
  <c r="J17" i="8"/>
  <c r="Z13" i="8"/>
  <c r="Z19" i="8" s="1"/>
  <c r="W13" i="8"/>
  <c r="W19" i="8" s="1"/>
  <c r="V13" i="8"/>
  <c r="T13" i="8"/>
  <c r="S13" i="8"/>
  <c r="P13" i="8"/>
  <c r="P19" i="8" s="1"/>
  <c r="M13" i="8"/>
  <c r="M19" i="8" s="1"/>
  <c r="J13" i="8"/>
  <c r="I13" i="8"/>
  <c r="G13" i="8"/>
  <c r="G19" i="8" s="1"/>
  <c r="F13" i="8"/>
  <c r="F19" i="8" s="1"/>
  <c r="C13" i="8"/>
  <c r="C19" i="8" s="1"/>
  <c r="B13" i="8"/>
  <c r="Z12" i="8"/>
  <c r="Y12" i="8"/>
  <c r="Y13" i="8" s="1"/>
  <c r="X12" i="8"/>
  <c r="X13" i="8" s="1"/>
  <c r="W12" i="8"/>
  <c r="V12" i="8"/>
  <c r="U12" i="8"/>
  <c r="U13" i="8" s="1"/>
  <c r="U19" i="8" s="1"/>
  <c r="T12" i="8"/>
  <c r="S12" i="8"/>
  <c r="R12" i="8"/>
  <c r="R13" i="8" s="1"/>
  <c r="R19" i="8" s="1"/>
  <c r="Q12" i="8"/>
  <c r="Q13" i="8" s="1"/>
  <c r="Q19" i="8" s="1"/>
  <c r="P12" i="8"/>
  <c r="O12" i="8"/>
  <c r="O13" i="8" s="1"/>
  <c r="O19" i="8" s="1"/>
  <c r="N12" i="8"/>
  <c r="N13" i="8" s="1"/>
  <c r="N19" i="8" s="1"/>
  <c r="M12" i="8"/>
  <c r="L12" i="8"/>
  <c r="L13" i="8" s="1"/>
  <c r="L19" i="8" s="1"/>
  <c r="K12" i="8"/>
  <c r="K13" i="8" s="1"/>
  <c r="J12" i="8"/>
  <c r="I12" i="8"/>
  <c r="H12" i="8"/>
  <c r="H13" i="8" s="1"/>
  <c r="H19" i="8" s="1"/>
  <c r="G12" i="8"/>
  <c r="F12" i="8"/>
  <c r="E12" i="8"/>
  <c r="E13" i="8" s="1"/>
  <c r="E19" i="8" s="1"/>
  <c r="D12" i="8"/>
  <c r="D13" i="8" s="1"/>
  <c r="D19" i="8" s="1"/>
  <c r="C12" i="8"/>
  <c r="B12" i="8"/>
  <c r="Z11" i="8"/>
  <c r="Y11" i="8"/>
  <c r="X11" i="8"/>
  <c r="W11" i="8"/>
  <c r="V11" i="8"/>
  <c r="U11" i="8"/>
  <c r="T11" i="8"/>
  <c r="S11" i="8"/>
  <c r="R11" i="8"/>
  <c r="Q11" i="8"/>
  <c r="P11" i="8"/>
  <c r="O11" i="8"/>
  <c r="N11" i="8"/>
  <c r="M11" i="8"/>
  <c r="L11" i="8"/>
  <c r="K11" i="8"/>
  <c r="J11" i="8"/>
  <c r="I11" i="8"/>
  <c r="H11" i="8"/>
  <c r="G11" i="8"/>
  <c r="F11" i="8"/>
  <c r="E11" i="8"/>
  <c r="D11" i="8"/>
  <c r="C11" i="8"/>
  <c r="B11" i="8"/>
  <c r="A11" i="8"/>
  <c r="E234" i="4"/>
  <c r="C234" i="4"/>
  <c r="E233" i="4"/>
  <c r="C233" i="4"/>
  <c r="E232" i="4"/>
  <c r="C232" i="4"/>
  <c r="E231" i="4"/>
  <c r="C231" i="4"/>
  <c r="E230" i="4"/>
  <c r="C230" i="4"/>
  <c r="E229" i="4"/>
  <c r="C229" i="4"/>
  <c r="E228" i="4"/>
  <c r="C228" i="4"/>
  <c r="E227" i="4"/>
  <c r="C227" i="4"/>
  <c r="E226" i="4"/>
  <c r="C226" i="4"/>
  <c r="E225" i="4"/>
  <c r="C225" i="4"/>
  <c r="E224" i="4"/>
  <c r="C224" i="4"/>
  <c r="E223" i="4"/>
  <c r="C223" i="4"/>
  <c r="E222" i="4"/>
  <c r="C222" i="4"/>
  <c r="E221" i="4"/>
  <c r="C221" i="4"/>
  <c r="E220" i="4"/>
  <c r="C220" i="4"/>
  <c r="E219" i="4"/>
  <c r="C219" i="4"/>
  <c r="E218" i="4"/>
  <c r="C218" i="4"/>
  <c r="E217" i="4"/>
  <c r="C217" i="4"/>
  <c r="E216" i="4"/>
  <c r="C216" i="4"/>
  <c r="E215" i="4"/>
  <c r="C215" i="4"/>
  <c r="E214" i="4"/>
  <c r="C214" i="4"/>
  <c r="E213" i="4"/>
  <c r="C213" i="4"/>
  <c r="E212" i="4"/>
  <c r="C212" i="4"/>
  <c r="E211" i="4"/>
  <c r="C211" i="4"/>
  <c r="E210" i="4"/>
  <c r="C210" i="4"/>
  <c r="E209" i="4"/>
  <c r="C209" i="4"/>
  <c r="E208" i="4"/>
  <c r="C208" i="4"/>
  <c r="E207" i="4"/>
  <c r="C207" i="4"/>
  <c r="E206" i="4"/>
  <c r="C206" i="4"/>
  <c r="E205" i="4"/>
  <c r="C205" i="4"/>
  <c r="E204" i="4"/>
  <c r="C204" i="4"/>
  <c r="E203" i="4"/>
  <c r="C203" i="4"/>
  <c r="E202" i="4"/>
  <c r="C202" i="4"/>
  <c r="E201" i="4"/>
  <c r="C201" i="4"/>
  <c r="E200" i="4"/>
  <c r="C200" i="4"/>
  <c r="E199" i="4"/>
  <c r="C199" i="4"/>
  <c r="E198" i="4"/>
  <c r="C198" i="4"/>
  <c r="E197" i="4"/>
  <c r="C197" i="4"/>
  <c r="E196" i="4"/>
  <c r="C196" i="4"/>
  <c r="E195" i="4"/>
  <c r="C195" i="4"/>
  <c r="E194" i="4"/>
  <c r="C194" i="4"/>
  <c r="E193" i="4"/>
  <c r="C193" i="4"/>
  <c r="E192" i="4"/>
  <c r="C192" i="4"/>
  <c r="E191" i="4"/>
  <c r="C191" i="4"/>
  <c r="E190" i="4"/>
  <c r="C190" i="4"/>
  <c r="E189" i="4"/>
  <c r="C189" i="4"/>
  <c r="E188" i="4"/>
  <c r="C188" i="4"/>
  <c r="E187" i="4"/>
  <c r="C187" i="4"/>
  <c r="E186" i="4"/>
  <c r="C186" i="4"/>
  <c r="E185" i="4"/>
  <c r="C185" i="4"/>
  <c r="E184" i="4"/>
  <c r="C184" i="4"/>
  <c r="E183" i="4"/>
  <c r="C183" i="4"/>
  <c r="E182" i="4"/>
  <c r="C182" i="4"/>
  <c r="E181" i="4"/>
  <c r="C181" i="4"/>
  <c r="E180" i="4"/>
  <c r="C180" i="4"/>
  <c r="E179" i="4"/>
  <c r="C179" i="4"/>
  <c r="E178" i="4"/>
  <c r="C178" i="4"/>
  <c r="E177" i="4"/>
  <c r="C177" i="4"/>
  <c r="E176" i="4"/>
  <c r="C176" i="4"/>
  <c r="E175" i="4"/>
  <c r="C175" i="4"/>
  <c r="E174" i="4"/>
  <c r="C174" i="4"/>
  <c r="E173" i="4"/>
  <c r="C173" i="4"/>
  <c r="E172" i="4"/>
  <c r="C172" i="4"/>
  <c r="E171" i="4"/>
  <c r="C171" i="4"/>
  <c r="E170" i="4"/>
  <c r="C170" i="4"/>
  <c r="E169" i="4"/>
  <c r="C169" i="4"/>
  <c r="E168" i="4"/>
  <c r="C168" i="4"/>
  <c r="E167" i="4"/>
  <c r="C167" i="4"/>
  <c r="E166" i="4"/>
  <c r="C166" i="4"/>
  <c r="E165" i="4"/>
  <c r="C165" i="4"/>
  <c r="E164" i="4"/>
  <c r="C164" i="4"/>
  <c r="E163" i="4"/>
  <c r="C163" i="4"/>
  <c r="E162" i="4"/>
  <c r="C162" i="4"/>
  <c r="E161" i="4"/>
  <c r="C161" i="4"/>
  <c r="E160" i="4"/>
  <c r="C160" i="4"/>
  <c r="E159" i="4"/>
  <c r="C159" i="4"/>
  <c r="E158" i="4"/>
  <c r="C158" i="4"/>
  <c r="E157" i="4"/>
  <c r="C157" i="4"/>
  <c r="E156" i="4"/>
  <c r="C156" i="4"/>
  <c r="E155" i="4"/>
  <c r="C155" i="4"/>
  <c r="E154" i="4"/>
  <c r="C154" i="4"/>
  <c r="E153" i="4"/>
  <c r="C153" i="4"/>
  <c r="E152" i="4"/>
  <c r="C152" i="4"/>
  <c r="E151" i="4"/>
  <c r="C151" i="4"/>
  <c r="E150" i="4"/>
  <c r="C150" i="4"/>
  <c r="E149" i="4"/>
  <c r="C149" i="4"/>
  <c r="E148" i="4"/>
  <c r="C148" i="4"/>
  <c r="E147" i="4"/>
  <c r="C147" i="4"/>
  <c r="E146" i="4"/>
  <c r="C146" i="4"/>
  <c r="E145" i="4"/>
  <c r="C145" i="4"/>
  <c r="E144" i="4"/>
  <c r="C144" i="4"/>
  <c r="E143" i="4"/>
  <c r="C143" i="4"/>
  <c r="E142" i="4"/>
  <c r="C142" i="4"/>
  <c r="E141" i="4"/>
  <c r="C141" i="4"/>
  <c r="E140" i="4"/>
  <c r="C140" i="4"/>
  <c r="E139" i="4"/>
  <c r="C139" i="4"/>
  <c r="E138" i="4"/>
  <c r="C138" i="4"/>
  <c r="E137" i="4"/>
  <c r="C137" i="4"/>
  <c r="E136" i="4"/>
  <c r="C136" i="4"/>
  <c r="E135" i="4"/>
  <c r="C135" i="4"/>
  <c r="E134" i="4"/>
  <c r="C134" i="4"/>
  <c r="E133" i="4"/>
  <c r="C133" i="4"/>
  <c r="E132" i="4"/>
  <c r="C132" i="4"/>
  <c r="E131" i="4"/>
  <c r="C131" i="4"/>
  <c r="E130" i="4"/>
  <c r="C130" i="4"/>
  <c r="E129" i="4"/>
  <c r="C129" i="4"/>
  <c r="E128" i="4"/>
  <c r="C128" i="4"/>
  <c r="E127" i="4"/>
  <c r="C127" i="4"/>
  <c r="E126" i="4"/>
  <c r="C126" i="4"/>
  <c r="E125" i="4"/>
  <c r="C125" i="4"/>
  <c r="E124" i="4"/>
  <c r="C124" i="4"/>
  <c r="E123" i="4"/>
  <c r="C123" i="4"/>
  <c r="E122" i="4"/>
  <c r="C122" i="4"/>
  <c r="E121" i="4"/>
  <c r="C121" i="4"/>
  <c r="E120" i="4"/>
  <c r="C120" i="4"/>
  <c r="E119" i="4"/>
  <c r="C119" i="4"/>
  <c r="E118" i="4"/>
  <c r="C118" i="4"/>
  <c r="E117" i="4"/>
  <c r="C117" i="4"/>
  <c r="E116" i="4"/>
  <c r="C116" i="4"/>
  <c r="E115" i="4"/>
  <c r="C115" i="4"/>
  <c r="E114" i="4"/>
  <c r="C114" i="4"/>
  <c r="E113" i="4"/>
  <c r="C113" i="4"/>
  <c r="E112" i="4"/>
  <c r="C112" i="4"/>
  <c r="E111" i="4"/>
  <c r="C111" i="4"/>
  <c r="E110" i="4"/>
  <c r="C110" i="4"/>
  <c r="E109" i="4"/>
  <c r="C109" i="4"/>
  <c r="E108" i="4"/>
  <c r="C108" i="4"/>
  <c r="E107" i="4"/>
  <c r="C107" i="4"/>
  <c r="E106" i="4"/>
  <c r="C106" i="4"/>
  <c r="E105" i="4"/>
  <c r="C105" i="4"/>
  <c r="E104" i="4"/>
  <c r="C104" i="4"/>
  <c r="E103" i="4"/>
  <c r="C103" i="4"/>
  <c r="E102" i="4"/>
  <c r="C102" i="4"/>
  <c r="E100" i="4"/>
  <c r="C100" i="4"/>
  <c r="E99" i="4"/>
  <c r="C99" i="4"/>
  <c r="E98" i="4"/>
  <c r="C98" i="4"/>
  <c r="E97" i="4"/>
  <c r="C97" i="4"/>
  <c r="E96" i="4"/>
  <c r="C96" i="4"/>
  <c r="E95" i="4"/>
  <c r="C95" i="4"/>
  <c r="E94" i="4"/>
  <c r="C94" i="4"/>
  <c r="E93" i="4"/>
  <c r="C93" i="4"/>
  <c r="E92" i="4"/>
  <c r="C92" i="4"/>
  <c r="E91" i="4"/>
  <c r="C91" i="4"/>
  <c r="E89" i="4"/>
  <c r="C89" i="4"/>
  <c r="E88" i="4"/>
  <c r="C88" i="4"/>
  <c r="E87" i="4"/>
  <c r="C87" i="4"/>
  <c r="E86" i="4"/>
  <c r="C86" i="4"/>
  <c r="E84" i="4"/>
  <c r="C84" i="4"/>
  <c r="E83" i="4"/>
  <c r="C83" i="4"/>
  <c r="E82" i="4"/>
  <c r="C82" i="4"/>
  <c r="E81" i="4"/>
  <c r="C81" i="4"/>
  <c r="E80" i="4"/>
  <c r="C80" i="4"/>
  <c r="E79" i="4"/>
  <c r="C79" i="4"/>
  <c r="E78" i="4"/>
  <c r="C78" i="4"/>
  <c r="E77" i="4"/>
  <c r="C77" i="4"/>
  <c r="E76" i="4"/>
  <c r="C76" i="4"/>
  <c r="E75" i="4"/>
  <c r="C75" i="4"/>
  <c r="E74" i="4"/>
  <c r="C74" i="4"/>
  <c r="E73" i="4"/>
  <c r="C73" i="4"/>
  <c r="E72" i="4"/>
  <c r="C72" i="4"/>
  <c r="E71" i="4"/>
  <c r="C71" i="4"/>
  <c r="E70" i="4"/>
  <c r="C70" i="4"/>
  <c r="E69" i="4"/>
  <c r="C69" i="4"/>
  <c r="E68" i="4"/>
  <c r="C68" i="4"/>
  <c r="E67" i="4"/>
  <c r="C67" i="4"/>
  <c r="E66" i="4"/>
  <c r="C66" i="4"/>
  <c r="E65" i="4"/>
  <c r="C65" i="4"/>
  <c r="E64" i="4"/>
  <c r="C64" i="4"/>
  <c r="E63" i="4"/>
  <c r="C63" i="4"/>
  <c r="E62" i="4"/>
  <c r="C62" i="4"/>
  <c r="E61" i="4"/>
  <c r="C61" i="4"/>
  <c r="E60" i="4"/>
  <c r="C60" i="4"/>
  <c r="E59" i="4"/>
  <c r="C59" i="4"/>
  <c r="E58" i="4"/>
  <c r="C58" i="4"/>
  <c r="E57" i="4"/>
  <c r="C57" i="4"/>
  <c r="E56" i="4"/>
  <c r="C56" i="4"/>
  <c r="E55" i="4"/>
  <c r="C55" i="4"/>
  <c r="E54" i="4"/>
  <c r="C54" i="4"/>
  <c r="E53" i="4"/>
  <c r="C53" i="4"/>
  <c r="E52" i="4"/>
  <c r="C52" i="4"/>
  <c r="E51" i="4"/>
  <c r="C51" i="4"/>
  <c r="E50" i="4"/>
  <c r="C50" i="4"/>
  <c r="E49" i="4"/>
  <c r="C49" i="4"/>
  <c r="E48" i="4"/>
  <c r="C48" i="4"/>
  <c r="E47" i="4"/>
  <c r="C47" i="4"/>
  <c r="E46" i="4"/>
  <c r="C46" i="4"/>
  <c r="E45" i="4"/>
  <c r="C45" i="4"/>
  <c r="E44" i="4"/>
  <c r="C44" i="4"/>
  <c r="E43" i="4"/>
  <c r="C43" i="4"/>
  <c r="E42" i="4"/>
  <c r="C42" i="4"/>
  <c r="E41" i="4"/>
  <c r="C41" i="4"/>
  <c r="E40" i="4"/>
  <c r="C40" i="4"/>
  <c r="E39" i="4"/>
  <c r="C39" i="4"/>
  <c r="E38" i="4"/>
  <c r="C38" i="4"/>
  <c r="E37" i="4"/>
  <c r="C37" i="4"/>
  <c r="E36" i="4"/>
  <c r="C36" i="4"/>
  <c r="E35" i="4"/>
  <c r="C35" i="4"/>
  <c r="E34" i="4"/>
  <c r="C34" i="4"/>
  <c r="E33" i="4"/>
  <c r="C33" i="4"/>
  <c r="E32" i="4"/>
  <c r="C32" i="4"/>
  <c r="E31" i="4"/>
  <c r="C31" i="4"/>
  <c r="E30" i="4"/>
  <c r="C30" i="4"/>
  <c r="N29" i="4"/>
  <c r="K29" i="4"/>
  <c r="J29" i="4"/>
  <c r="E29" i="4"/>
  <c r="C29" i="4"/>
  <c r="N28" i="4"/>
  <c r="K28" i="4"/>
  <c r="J28" i="4"/>
  <c r="E28" i="4"/>
  <c r="C28" i="4"/>
  <c r="N27" i="4"/>
  <c r="K27" i="4"/>
  <c r="J27" i="4"/>
  <c r="E27" i="4"/>
  <c r="C27" i="4"/>
  <c r="N26" i="4"/>
  <c r="K26" i="4"/>
  <c r="J26" i="4"/>
  <c r="E26" i="4"/>
  <c r="C26" i="4"/>
  <c r="N25" i="4"/>
  <c r="K25" i="4"/>
  <c r="J25" i="4"/>
  <c r="E25" i="4"/>
  <c r="C25" i="4"/>
  <c r="N24" i="4"/>
  <c r="K24" i="4"/>
  <c r="J24" i="4"/>
  <c r="E24" i="4"/>
  <c r="C24" i="4"/>
  <c r="N23" i="4"/>
  <c r="K23" i="4"/>
  <c r="J23" i="4"/>
  <c r="E23" i="4"/>
  <c r="C23" i="4"/>
  <c r="N22" i="4"/>
  <c r="K22" i="4"/>
  <c r="J22" i="4"/>
  <c r="E22" i="4"/>
  <c r="C22" i="4"/>
  <c r="N21" i="4"/>
  <c r="K21" i="4"/>
  <c r="J21" i="4"/>
  <c r="E21" i="4"/>
  <c r="C21" i="4"/>
  <c r="N20" i="4"/>
  <c r="K20" i="4"/>
  <c r="J20" i="4"/>
  <c r="E20" i="4"/>
  <c r="C20" i="4"/>
  <c r="N19" i="4"/>
  <c r="K19" i="4"/>
  <c r="J19" i="4"/>
  <c r="E19" i="4"/>
  <c r="C19" i="4"/>
  <c r="N18" i="4"/>
  <c r="K18" i="4"/>
  <c r="J18" i="4"/>
  <c r="E18" i="4"/>
  <c r="C18" i="4"/>
  <c r="N17" i="4"/>
  <c r="K17" i="4"/>
  <c r="J17" i="4"/>
  <c r="E17" i="4"/>
  <c r="C17" i="4"/>
  <c r="N16" i="4"/>
  <c r="K16" i="4"/>
  <c r="J16" i="4"/>
  <c r="E16" i="4"/>
  <c r="C16" i="4"/>
  <c r="N15" i="4"/>
  <c r="K15" i="4"/>
  <c r="J15" i="4"/>
  <c r="E15" i="4"/>
  <c r="C15" i="4"/>
  <c r="N14" i="4"/>
  <c r="K14" i="4"/>
  <c r="J14" i="4"/>
  <c r="E14" i="4"/>
  <c r="C14" i="4"/>
  <c r="N13" i="4"/>
  <c r="K13" i="4"/>
  <c r="J13" i="4"/>
  <c r="E13" i="4"/>
  <c r="C13" i="4"/>
  <c r="N12" i="4"/>
  <c r="K12" i="4"/>
  <c r="J12" i="4"/>
  <c r="E12" i="4"/>
  <c r="C12" i="4"/>
  <c r="N11" i="4"/>
  <c r="K11" i="4"/>
  <c r="J11" i="4"/>
  <c r="E11" i="4"/>
  <c r="C11" i="4"/>
  <c r="N10" i="4"/>
  <c r="K10" i="4"/>
  <c r="J10" i="4"/>
  <c r="E10" i="4"/>
  <c r="C10" i="4"/>
  <c r="E9" i="4"/>
  <c r="C9" i="4"/>
  <c r="E8" i="4"/>
  <c r="C8" i="4"/>
  <c r="E7" i="4"/>
  <c r="C7" i="4"/>
  <c r="E6" i="4"/>
  <c r="C6" i="4"/>
  <c r="E5" i="4"/>
  <c r="C5" i="4"/>
  <c r="E4" i="4"/>
  <c r="C4" i="4"/>
  <c r="E3" i="4"/>
  <c r="C3" i="4"/>
  <c r="L84" i="2"/>
  <c r="K84" i="2"/>
  <c r="G84" i="2"/>
  <c r="M84" i="2" s="1"/>
  <c r="F84" i="2"/>
  <c r="L83" i="2"/>
  <c r="M83" i="2" s="1"/>
  <c r="K83" i="2"/>
  <c r="G83" i="2"/>
  <c r="F83" i="2"/>
  <c r="K82" i="2"/>
  <c r="L82" i="2" s="1"/>
  <c r="G82" i="2"/>
  <c r="M82" i="2" s="1"/>
  <c r="F82" i="2"/>
  <c r="L81" i="2"/>
  <c r="K81" i="2"/>
  <c r="F81" i="2"/>
  <c r="G81" i="2" s="1"/>
  <c r="M81" i="2" s="1"/>
  <c r="L80" i="2"/>
  <c r="K80" i="2"/>
  <c r="G80" i="2"/>
  <c r="M80" i="2" s="1"/>
  <c r="F80" i="2"/>
  <c r="L79" i="2"/>
  <c r="M79" i="2" s="1"/>
  <c r="K79" i="2"/>
  <c r="G79" i="2"/>
  <c r="F79" i="2"/>
  <c r="F78" i="2"/>
  <c r="G78" i="2" s="1"/>
  <c r="M78" i="2" s="1"/>
  <c r="M77" i="2"/>
  <c r="G77" i="2"/>
  <c r="F77" i="2"/>
  <c r="K76" i="2"/>
  <c r="L76" i="2" s="1"/>
  <c r="M76" i="2" s="1"/>
  <c r="G76" i="2"/>
  <c r="F76" i="2"/>
  <c r="K75" i="2"/>
  <c r="L75" i="2" s="1"/>
  <c r="F75" i="2"/>
  <c r="G75" i="2" s="1"/>
  <c r="F74" i="2"/>
  <c r="G74" i="2" s="1"/>
  <c r="M74" i="2" s="1"/>
  <c r="F73" i="2"/>
  <c r="G73" i="2" s="1"/>
  <c r="M73" i="2" s="1"/>
  <c r="G69" i="2"/>
  <c r="M69" i="2" s="1"/>
  <c r="F69" i="2"/>
  <c r="L68" i="2"/>
  <c r="K68" i="2"/>
  <c r="F68" i="2"/>
  <c r="G68" i="2" s="1"/>
  <c r="M68" i="2" s="1"/>
  <c r="L67" i="2"/>
  <c r="K67" i="2"/>
  <c r="G67" i="2"/>
  <c r="M67" i="2" s="1"/>
  <c r="F67" i="2"/>
  <c r="G66" i="2"/>
  <c r="M66" i="2" s="1"/>
  <c r="F66" i="2"/>
  <c r="L65" i="2"/>
  <c r="K65" i="2"/>
  <c r="F65" i="2"/>
  <c r="G65" i="2" s="1"/>
  <c r="M65" i="2" s="1"/>
  <c r="L64" i="2"/>
  <c r="K64" i="2"/>
  <c r="G64" i="2"/>
  <c r="M64" i="2" s="1"/>
  <c r="F64" i="2"/>
  <c r="G63" i="2"/>
  <c r="M63" i="2" s="1"/>
  <c r="F63" i="2"/>
  <c r="F62" i="2"/>
  <c r="G62" i="2" s="1"/>
  <c r="M62" i="2" s="1"/>
  <c r="F61" i="2"/>
  <c r="G61" i="2" s="1"/>
  <c r="M61" i="2" s="1"/>
  <c r="G60" i="2"/>
  <c r="M60" i="2" s="1"/>
  <c r="F60" i="2"/>
  <c r="F59" i="2"/>
  <c r="G59" i="2" s="1"/>
  <c r="M59" i="2" s="1"/>
  <c r="L58" i="2"/>
  <c r="K58" i="2"/>
  <c r="G58" i="2"/>
  <c r="M58" i="2" s="1"/>
  <c r="F58" i="2"/>
  <c r="G57" i="2"/>
  <c r="M57" i="2" s="1"/>
  <c r="F57" i="2"/>
  <c r="F56" i="2"/>
  <c r="G56" i="2" s="1"/>
  <c r="M56" i="2" s="1"/>
  <c r="F55" i="2"/>
  <c r="G55" i="2" s="1"/>
  <c r="M55" i="2" s="1"/>
  <c r="G54" i="2"/>
  <c r="M54" i="2" s="1"/>
  <c r="F54" i="2"/>
  <c r="F53" i="2"/>
  <c r="G53" i="2" s="1"/>
  <c r="M53" i="2" s="1"/>
  <c r="M52" i="2"/>
  <c r="G52" i="2"/>
  <c r="F52" i="2"/>
  <c r="F51" i="2"/>
  <c r="G51" i="2" s="1"/>
  <c r="M51" i="2" s="1"/>
  <c r="F50" i="2"/>
  <c r="G50" i="2" s="1"/>
  <c r="M50" i="2" s="1"/>
  <c r="G49" i="2"/>
  <c r="M49" i="2" s="1"/>
  <c r="F49" i="2"/>
  <c r="G48" i="2"/>
  <c r="M48" i="2" s="1"/>
  <c r="F48" i="2"/>
  <c r="M47" i="2"/>
  <c r="G47" i="2"/>
  <c r="F47" i="2"/>
  <c r="K46" i="2"/>
  <c r="L46" i="2" s="1"/>
  <c r="M46" i="2" s="1"/>
  <c r="G46" i="2"/>
  <c r="F46" i="2"/>
  <c r="F45" i="2"/>
  <c r="G45" i="2" s="1"/>
  <c r="M45" i="2" s="1"/>
  <c r="F44" i="2"/>
  <c r="G44" i="2" s="1"/>
  <c r="M44" i="2" s="1"/>
  <c r="G43" i="2"/>
  <c r="M43" i="2" s="1"/>
  <c r="F43" i="2"/>
  <c r="G42" i="2"/>
  <c r="M42" i="2" s="1"/>
  <c r="F42" i="2"/>
  <c r="M41" i="2"/>
  <c r="G41" i="2"/>
  <c r="F41" i="2"/>
  <c r="F40" i="2"/>
  <c r="G40" i="2" s="1"/>
  <c r="M40" i="2" s="1"/>
  <c r="F39" i="2"/>
  <c r="G39" i="2" s="1"/>
  <c r="M39" i="2" s="1"/>
  <c r="F38" i="2"/>
  <c r="G38" i="2" s="1"/>
  <c r="M38" i="2" s="1"/>
  <c r="G37" i="2"/>
  <c r="M37" i="2" s="1"/>
  <c r="F37" i="2"/>
  <c r="F36" i="2"/>
  <c r="G36" i="2" s="1"/>
  <c r="M36" i="2" s="1"/>
  <c r="F35" i="2"/>
  <c r="G35" i="2" s="1"/>
  <c r="M35" i="2" s="1"/>
  <c r="F34" i="2"/>
  <c r="G34" i="2" s="1"/>
  <c r="M34" i="2" s="1"/>
  <c r="G33" i="2"/>
  <c r="M33" i="2" s="1"/>
  <c r="F33" i="2"/>
  <c r="G32" i="2"/>
  <c r="M32" i="2" s="1"/>
  <c r="F32" i="2"/>
  <c r="G31" i="2"/>
  <c r="M31" i="2" s="1"/>
  <c r="F31" i="2"/>
  <c r="F30" i="2"/>
  <c r="G30" i="2" s="1"/>
  <c r="M30" i="2" s="1"/>
  <c r="F29" i="2"/>
  <c r="G29" i="2" s="1"/>
  <c r="M29" i="2" s="1"/>
  <c r="G25" i="2"/>
  <c r="M25" i="2" s="1"/>
  <c r="F25" i="2"/>
  <c r="K24" i="2"/>
  <c r="L24" i="2" s="1"/>
  <c r="G24" i="2"/>
  <c r="F24" i="2"/>
  <c r="L23" i="2"/>
  <c r="K23" i="2"/>
  <c r="F23" i="2"/>
  <c r="G23" i="2" s="1"/>
  <c r="M23" i="2" s="1"/>
  <c r="L22" i="2"/>
  <c r="K22" i="2"/>
  <c r="G22" i="2"/>
  <c r="M22" i="2" s="1"/>
  <c r="F22" i="2"/>
  <c r="L21" i="2"/>
  <c r="M21" i="2" s="1"/>
  <c r="K21" i="2"/>
  <c r="G21" i="2"/>
  <c r="F21" i="2"/>
  <c r="F20" i="2"/>
  <c r="G20" i="2" s="1"/>
  <c r="M20" i="2" s="1"/>
  <c r="L19" i="2"/>
  <c r="K19" i="2"/>
  <c r="G19" i="2"/>
  <c r="M19" i="2" s="1"/>
  <c r="F19" i="2"/>
  <c r="G18" i="2"/>
  <c r="M18" i="2" s="1"/>
  <c r="F18" i="2"/>
  <c r="F17" i="2"/>
  <c r="G17" i="2" s="1"/>
  <c r="M17" i="2" s="1"/>
  <c r="K16" i="2"/>
  <c r="L16" i="2" s="1"/>
  <c r="F16" i="2"/>
  <c r="G16" i="2" s="1"/>
  <c r="F15" i="2"/>
  <c r="G15" i="2" s="1"/>
  <c r="M15" i="2" s="1"/>
  <c r="G14" i="2"/>
  <c r="M14" i="2" s="1"/>
  <c r="F14" i="2"/>
  <c r="G13" i="2"/>
  <c r="M13" i="2" s="1"/>
  <c r="F13" i="2"/>
  <c r="G12" i="2"/>
  <c r="M12" i="2" s="1"/>
  <c r="F12" i="2"/>
  <c r="F11" i="2"/>
  <c r="G11" i="2" s="1"/>
  <c r="M11" i="2" s="1"/>
  <c r="K10" i="2"/>
  <c r="L10" i="2" s="1"/>
  <c r="F10" i="2"/>
  <c r="G10" i="2" s="1"/>
  <c r="F9" i="2"/>
  <c r="G9" i="2" s="1"/>
  <c r="M9" i="2" s="1"/>
  <c r="L8" i="2"/>
  <c r="K8" i="2"/>
  <c r="F8" i="2"/>
  <c r="G8" i="2" s="1"/>
  <c r="M8" i="2" s="1"/>
  <c r="K7" i="2"/>
  <c r="L7" i="2" s="1"/>
  <c r="F7" i="2"/>
  <c r="G7" i="2" s="1"/>
  <c r="G6" i="2"/>
  <c r="M6" i="2" s="1"/>
  <c r="F6" i="2"/>
  <c r="G5" i="2"/>
  <c r="M5" i="2" s="1"/>
  <c r="F5" i="2"/>
  <c r="M4" i="2"/>
  <c r="G4" i="2"/>
  <c r="F4" i="2"/>
  <c r="F3" i="2"/>
  <c r="G3" i="2" s="1"/>
  <c r="M3" i="2" s="1"/>
  <c r="K2" i="2"/>
  <c r="F2" i="2"/>
  <c r="AA256" i="1"/>
  <c r="Y256" i="1"/>
  <c r="X256" i="1"/>
  <c r="P256" i="1"/>
  <c r="O256" i="1"/>
  <c r="Z256" i="1" s="1"/>
  <c r="N256" i="1"/>
  <c r="M256" i="1"/>
  <c r="AA255" i="1"/>
  <c r="Z255" i="1"/>
  <c r="Q255" i="1"/>
  <c r="AB255" i="1" s="1"/>
  <c r="P255" i="1"/>
  <c r="O255" i="1"/>
  <c r="N255" i="1"/>
  <c r="Y255" i="1" s="1"/>
  <c r="Z254" i="1"/>
  <c r="Y254" i="1"/>
  <c r="X254" i="1"/>
  <c r="P254" i="1"/>
  <c r="AA254" i="1" s="1"/>
  <c r="O254" i="1"/>
  <c r="N254" i="1"/>
  <c r="M254" i="1"/>
  <c r="Y253" i="1"/>
  <c r="O253" i="1"/>
  <c r="Z253" i="1" s="1"/>
  <c r="N253" i="1"/>
  <c r="M253" i="1"/>
  <c r="X253" i="1" s="1"/>
  <c r="AB252" i="1"/>
  <c r="Q252" i="1"/>
  <c r="P252" i="1"/>
  <c r="AA252" i="1" s="1"/>
  <c r="O252" i="1"/>
  <c r="Z252" i="1" s="1"/>
  <c r="N252" i="1"/>
  <c r="Y252" i="1" s="1"/>
  <c r="M252" i="1"/>
  <c r="X252" i="1" s="1"/>
  <c r="AA251" i="1"/>
  <c r="Y251" i="1"/>
  <c r="X251" i="1"/>
  <c r="P251" i="1"/>
  <c r="O251" i="1"/>
  <c r="Z251" i="1" s="1"/>
  <c r="N251" i="1"/>
  <c r="M251" i="1"/>
  <c r="AA250" i="1"/>
  <c r="Z250" i="1"/>
  <c r="Q250" i="1"/>
  <c r="AB250" i="1" s="1"/>
  <c r="P250" i="1"/>
  <c r="O250" i="1"/>
  <c r="N250" i="1"/>
  <c r="Y250" i="1" s="1"/>
  <c r="M250" i="1"/>
  <c r="X250" i="1" s="1"/>
  <c r="AA249" i="1"/>
  <c r="Z249" i="1"/>
  <c r="Y249" i="1"/>
  <c r="P249" i="1"/>
  <c r="O249" i="1"/>
  <c r="N249" i="1"/>
  <c r="M249" i="1"/>
  <c r="X249" i="1" s="1"/>
  <c r="AC248" i="1"/>
  <c r="AB248" i="1"/>
  <c r="Z248" i="1"/>
  <c r="Y248" i="1"/>
  <c r="R248" i="1"/>
  <c r="Q248" i="1"/>
  <c r="P248" i="1"/>
  <c r="AA248" i="1" s="1"/>
  <c r="O248" i="1"/>
  <c r="N248" i="1"/>
  <c r="AA247" i="1"/>
  <c r="Z247" i="1"/>
  <c r="Y247" i="1"/>
  <c r="Q247" i="1"/>
  <c r="AB247" i="1" s="1"/>
  <c r="P247" i="1"/>
  <c r="O247" i="1"/>
  <c r="N247" i="1"/>
  <c r="AA246" i="1"/>
  <c r="X246" i="1"/>
  <c r="P246" i="1"/>
  <c r="O246" i="1"/>
  <c r="Z246" i="1" s="1"/>
  <c r="N246" i="1"/>
  <c r="Y246" i="1" s="1"/>
  <c r="M246" i="1"/>
  <c r="X245" i="1"/>
  <c r="Q245" i="1"/>
  <c r="AB245" i="1" s="1"/>
  <c r="P245" i="1"/>
  <c r="AA245" i="1" s="1"/>
  <c r="O245" i="1"/>
  <c r="Z245" i="1" s="1"/>
  <c r="N245" i="1"/>
  <c r="Y245" i="1" s="1"/>
  <c r="M245" i="1"/>
  <c r="AA244" i="1"/>
  <c r="X244" i="1"/>
  <c r="Q244" i="1"/>
  <c r="AB244" i="1" s="1"/>
  <c r="P244" i="1"/>
  <c r="O244" i="1"/>
  <c r="Z244" i="1" s="1"/>
  <c r="N244" i="1"/>
  <c r="Y244" i="1" s="1"/>
  <c r="M244" i="1"/>
  <c r="X243" i="1"/>
  <c r="Q243" i="1"/>
  <c r="AB243" i="1" s="1"/>
  <c r="P243" i="1"/>
  <c r="AA243" i="1" s="1"/>
  <c r="O243" i="1"/>
  <c r="Z243" i="1" s="1"/>
  <c r="N243" i="1"/>
  <c r="Y243" i="1" s="1"/>
  <c r="M243" i="1"/>
  <c r="AC242" i="1"/>
  <c r="AB242" i="1"/>
  <c r="Z242" i="1"/>
  <c r="X242" i="1"/>
  <c r="R242" i="1"/>
  <c r="Q242" i="1"/>
  <c r="P242" i="1"/>
  <c r="AA242" i="1" s="1"/>
  <c r="O242" i="1"/>
  <c r="N242" i="1"/>
  <c r="Y242" i="1" s="1"/>
  <c r="M242" i="1"/>
  <c r="O241" i="1"/>
  <c r="Z241" i="1" s="1"/>
  <c r="N241" i="1"/>
  <c r="Y241" i="1" s="1"/>
  <c r="M241" i="1"/>
  <c r="X241" i="1" s="1"/>
  <c r="AB240" i="1"/>
  <c r="Y240" i="1"/>
  <c r="Q240" i="1"/>
  <c r="P240" i="1"/>
  <c r="AA240" i="1" s="1"/>
  <c r="O240" i="1"/>
  <c r="Z240" i="1" s="1"/>
  <c r="N240" i="1"/>
  <c r="M240" i="1"/>
  <c r="X240" i="1" s="1"/>
  <c r="AC239" i="1"/>
  <c r="X239" i="1"/>
  <c r="R239" i="1"/>
  <c r="Q239" i="1"/>
  <c r="AB239" i="1" s="1"/>
  <c r="P239" i="1"/>
  <c r="AA239" i="1" s="1"/>
  <c r="O239" i="1"/>
  <c r="Z239" i="1" s="1"/>
  <c r="N239" i="1"/>
  <c r="Y239" i="1" s="1"/>
  <c r="M239" i="1"/>
  <c r="AC238" i="1"/>
  <c r="AB238" i="1"/>
  <c r="Z238" i="1"/>
  <c r="X238" i="1"/>
  <c r="R238" i="1"/>
  <c r="Q238" i="1"/>
  <c r="P238" i="1"/>
  <c r="AA238" i="1" s="1"/>
  <c r="O238" i="1"/>
  <c r="N238" i="1"/>
  <c r="Y238" i="1" s="1"/>
  <c r="M238" i="1"/>
  <c r="Z237" i="1"/>
  <c r="Y237" i="1"/>
  <c r="X237" i="1"/>
  <c r="Q237" i="1"/>
  <c r="AB237" i="1" s="1"/>
  <c r="P237" i="1"/>
  <c r="AA237" i="1" s="1"/>
  <c r="O237" i="1"/>
  <c r="N237" i="1"/>
  <c r="M237" i="1"/>
  <c r="Z236" i="1"/>
  <c r="Y236" i="1"/>
  <c r="Q236" i="1"/>
  <c r="AB236" i="1" s="1"/>
  <c r="P236" i="1"/>
  <c r="AA236" i="1" s="1"/>
  <c r="O236" i="1"/>
  <c r="N236" i="1"/>
  <c r="M236" i="1"/>
  <c r="X236" i="1" s="1"/>
  <c r="AB235" i="1"/>
  <c r="AA235" i="1"/>
  <c r="Y235" i="1"/>
  <c r="X235" i="1"/>
  <c r="R235" i="1"/>
  <c r="AC235" i="1" s="1"/>
  <c r="Q235" i="1"/>
  <c r="P235" i="1"/>
  <c r="O235" i="1"/>
  <c r="Z235" i="1" s="1"/>
  <c r="N235" i="1"/>
  <c r="M235" i="1"/>
  <c r="AB234" i="1"/>
  <c r="AA234" i="1"/>
  <c r="Y234" i="1"/>
  <c r="X234" i="1"/>
  <c r="Q234" i="1"/>
  <c r="P234" i="1"/>
  <c r="O234" i="1"/>
  <c r="Z234" i="1" s="1"/>
  <c r="N234" i="1"/>
  <c r="M234" i="1"/>
  <c r="AC233" i="1"/>
  <c r="AA233" i="1"/>
  <c r="Z233" i="1"/>
  <c r="Y233" i="1"/>
  <c r="R233" i="1"/>
  <c r="Q233" i="1"/>
  <c r="AB233" i="1" s="1"/>
  <c r="P233" i="1"/>
  <c r="O233" i="1"/>
  <c r="N233" i="1"/>
  <c r="M233" i="1"/>
  <c r="X233" i="1" s="1"/>
  <c r="AB232" i="1"/>
  <c r="AA232" i="1"/>
  <c r="R232" i="1"/>
  <c r="AC232" i="1" s="1"/>
  <c r="Q232" i="1"/>
  <c r="P232" i="1"/>
  <c r="O232" i="1"/>
  <c r="Z232" i="1" s="1"/>
  <c r="N232" i="1"/>
  <c r="Y232" i="1" s="1"/>
  <c r="M232" i="1"/>
  <c r="X232" i="1" s="1"/>
  <c r="AD231" i="1"/>
  <c r="AB231" i="1"/>
  <c r="AA231" i="1"/>
  <c r="Y231" i="1"/>
  <c r="R231" i="1"/>
  <c r="AC231" i="1" s="1"/>
  <c r="Q231" i="1"/>
  <c r="P231" i="1"/>
  <c r="O231" i="1"/>
  <c r="Z231" i="1" s="1"/>
  <c r="N231" i="1"/>
  <c r="M231" i="1"/>
  <c r="X231" i="1" s="1"/>
  <c r="Z230" i="1"/>
  <c r="Y230" i="1"/>
  <c r="R230" i="1"/>
  <c r="AC230" i="1" s="1"/>
  <c r="Q230" i="1"/>
  <c r="AB230" i="1" s="1"/>
  <c r="P230" i="1"/>
  <c r="AA230" i="1" s="1"/>
  <c r="O230" i="1"/>
  <c r="N230" i="1"/>
  <c r="AC229" i="1"/>
  <c r="Z229" i="1"/>
  <c r="Y229" i="1"/>
  <c r="R229" i="1"/>
  <c r="Q229" i="1"/>
  <c r="AB229" i="1" s="1"/>
  <c r="P229" i="1"/>
  <c r="AA229" i="1" s="1"/>
  <c r="O229" i="1"/>
  <c r="N229" i="1"/>
  <c r="AA228" i="1"/>
  <c r="Z228" i="1"/>
  <c r="X228" i="1"/>
  <c r="R228" i="1"/>
  <c r="AC228" i="1" s="1"/>
  <c r="Q228" i="1"/>
  <c r="AB228" i="1" s="1"/>
  <c r="P228" i="1"/>
  <c r="O228" i="1"/>
  <c r="N228" i="1"/>
  <c r="Y228" i="1" s="1"/>
  <c r="M228" i="1"/>
  <c r="AA227" i="1"/>
  <c r="Z227" i="1"/>
  <c r="X227" i="1"/>
  <c r="Q227" i="1"/>
  <c r="AB227" i="1" s="1"/>
  <c r="P227" i="1"/>
  <c r="O227" i="1"/>
  <c r="N227" i="1"/>
  <c r="Y227" i="1" s="1"/>
  <c r="M227" i="1"/>
  <c r="AA226" i="1"/>
  <c r="Z226" i="1"/>
  <c r="Y226" i="1"/>
  <c r="X226" i="1"/>
  <c r="Q226" i="1"/>
  <c r="AB226" i="1" s="1"/>
  <c r="P226" i="1"/>
  <c r="O226" i="1"/>
  <c r="N226" i="1"/>
  <c r="M226" i="1"/>
  <c r="AB225" i="1"/>
  <c r="AA225" i="1"/>
  <c r="Y225" i="1"/>
  <c r="R225" i="1"/>
  <c r="AC225" i="1" s="1"/>
  <c r="Q225" i="1"/>
  <c r="P225" i="1"/>
  <c r="O225" i="1"/>
  <c r="Z225" i="1" s="1"/>
  <c r="N225" i="1"/>
  <c r="AC224" i="1"/>
  <c r="AB224" i="1"/>
  <c r="Z224" i="1"/>
  <c r="Y224" i="1"/>
  <c r="X224" i="1"/>
  <c r="R224" i="1"/>
  <c r="Q224" i="1"/>
  <c r="P224" i="1"/>
  <c r="AA224" i="1" s="1"/>
  <c r="O224" i="1"/>
  <c r="N224" i="1"/>
  <c r="M224" i="1"/>
  <c r="AC223" i="1"/>
  <c r="AA223" i="1"/>
  <c r="Z223" i="1"/>
  <c r="R223" i="1"/>
  <c r="Q223" i="1"/>
  <c r="AB223" i="1" s="1"/>
  <c r="P223" i="1"/>
  <c r="O223" i="1"/>
  <c r="N223" i="1"/>
  <c r="Y223" i="1" s="1"/>
  <c r="AC222" i="1"/>
  <c r="AB222" i="1"/>
  <c r="AA222" i="1"/>
  <c r="Z222" i="1"/>
  <c r="R222" i="1"/>
  <c r="Q222" i="1"/>
  <c r="P222" i="1"/>
  <c r="O222" i="1"/>
  <c r="N222" i="1"/>
  <c r="Y222" i="1" s="1"/>
  <c r="AD221" i="1"/>
  <c r="AB221" i="1"/>
  <c r="AA221" i="1"/>
  <c r="S221" i="1"/>
  <c r="R221" i="1"/>
  <c r="AC221" i="1" s="1"/>
  <c r="Q221" i="1"/>
  <c r="P221" i="1"/>
  <c r="O221" i="1"/>
  <c r="AA220" i="1"/>
  <c r="Z220" i="1"/>
  <c r="Y220" i="1"/>
  <c r="Q220" i="1"/>
  <c r="AB220" i="1" s="1"/>
  <c r="P220" i="1"/>
  <c r="O220" i="1"/>
  <c r="N220" i="1"/>
  <c r="AB219" i="1"/>
  <c r="R219" i="1"/>
  <c r="AC219" i="1" s="1"/>
  <c r="Q219" i="1"/>
  <c r="P219" i="1"/>
  <c r="AA219" i="1" s="1"/>
  <c r="O219" i="1"/>
  <c r="S218" i="1"/>
  <c r="AD218" i="1" s="1"/>
  <c r="R218" i="1"/>
  <c r="AC218" i="1" s="1"/>
  <c r="Q218" i="1"/>
  <c r="AB218" i="1" s="1"/>
  <c r="P218" i="1"/>
  <c r="AA218" i="1" s="1"/>
  <c r="O218" i="1"/>
  <c r="AD216" i="1"/>
  <c r="AC216" i="1"/>
  <c r="Y216" i="1"/>
  <c r="S216" i="1"/>
  <c r="R216" i="1"/>
  <c r="Q216" i="1"/>
  <c r="AB216" i="1" s="1"/>
  <c r="P216" i="1"/>
  <c r="AA216" i="1" s="1"/>
  <c r="O216" i="1"/>
  <c r="Z216" i="1" s="1"/>
  <c r="N216" i="1"/>
  <c r="M216" i="1"/>
  <c r="X216" i="1" s="1"/>
  <c r="AA215" i="1"/>
  <c r="S215" i="1"/>
  <c r="AD215" i="1" s="1"/>
  <c r="R215" i="1"/>
  <c r="AC215" i="1" s="1"/>
  <c r="Q215" i="1"/>
  <c r="AB215" i="1" s="1"/>
  <c r="P215" i="1"/>
  <c r="O215" i="1"/>
  <c r="AC214" i="1"/>
  <c r="Z214" i="1"/>
  <c r="Y214" i="1"/>
  <c r="R214" i="1"/>
  <c r="Q214" i="1"/>
  <c r="AB214" i="1" s="1"/>
  <c r="P214" i="1"/>
  <c r="AA214" i="1" s="1"/>
  <c r="O214" i="1"/>
  <c r="N214" i="1"/>
  <c r="AB213" i="1"/>
  <c r="Z213" i="1"/>
  <c r="Y213" i="1"/>
  <c r="X213" i="1"/>
  <c r="S213" i="1"/>
  <c r="AD213" i="1" s="1"/>
  <c r="R213" i="1"/>
  <c r="AC213" i="1" s="1"/>
  <c r="Q213" i="1"/>
  <c r="P213" i="1"/>
  <c r="AA213" i="1" s="1"/>
  <c r="O213" i="1"/>
  <c r="N213" i="1"/>
  <c r="M213" i="1"/>
  <c r="AC212" i="1"/>
  <c r="AA212" i="1"/>
  <c r="Z212" i="1"/>
  <c r="R212" i="1"/>
  <c r="Q212" i="1"/>
  <c r="AB212" i="1" s="1"/>
  <c r="P212" i="1"/>
  <c r="O212" i="1"/>
  <c r="N212" i="1"/>
  <c r="Y212" i="1" s="1"/>
  <c r="AD210" i="1"/>
  <c r="AC210" i="1"/>
  <c r="AB210" i="1"/>
  <c r="AA210" i="1"/>
  <c r="S210" i="1"/>
  <c r="R210" i="1"/>
  <c r="Q210" i="1"/>
  <c r="P210" i="1"/>
  <c r="O210" i="1"/>
  <c r="AC209" i="1"/>
  <c r="AA209" i="1"/>
  <c r="S209" i="1"/>
  <c r="AD209" i="1" s="1"/>
  <c r="R209" i="1"/>
  <c r="Q209" i="1"/>
  <c r="AB209" i="1" s="1"/>
  <c r="P209" i="1"/>
  <c r="O209" i="1"/>
  <c r="Z207" i="1"/>
  <c r="Y207" i="1"/>
  <c r="Q207" i="1"/>
  <c r="AB207" i="1" s="1"/>
  <c r="P207" i="1"/>
  <c r="AA207" i="1" s="1"/>
  <c r="O207" i="1"/>
  <c r="N207" i="1"/>
  <c r="AB206" i="1"/>
  <c r="Q206" i="1"/>
  <c r="P206" i="1"/>
  <c r="AA206" i="1" s="1"/>
  <c r="O206" i="1"/>
  <c r="Z206" i="1" s="1"/>
  <c r="N206" i="1"/>
  <c r="Y206" i="1" s="1"/>
  <c r="Z204" i="1"/>
  <c r="Y204" i="1"/>
  <c r="S204" i="1"/>
  <c r="AD204" i="1" s="1"/>
  <c r="R204" i="1"/>
  <c r="AC204" i="1" s="1"/>
  <c r="Q204" i="1"/>
  <c r="AB204" i="1" s="1"/>
  <c r="P204" i="1"/>
  <c r="AA204" i="1" s="1"/>
  <c r="O204" i="1"/>
  <c r="N204" i="1"/>
  <c r="AC203" i="1"/>
  <c r="AA203" i="1"/>
  <c r="Y203" i="1"/>
  <c r="R203" i="1"/>
  <c r="Q203" i="1"/>
  <c r="AB203" i="1" s="1"/>
  <c r="P203" i="1"/>
  <c r="O203" i="1"/>
  <c r="Z203" i="1" s="1"/>
  <c r="N203" i="1"/>
  <c r="M203" i="1"/>
  <c r="X203" i="1" s="1"/>
  <c r="AC202" i="1"/>
  <c r="AB202" i="1"/>
  <c r="Z202" i="1"/>
  <c r="Y202" i="1"/>
  <c r="X202" i="1"/>
  <c r="R202" i="1"/>
  <c r="Q202" i="1"/>
  <c r="P202" i="1"/>
  <c r="AA202" i="1" s="1"/>
  <c r="O202" i="1"/>
  <c r="N202" i="1"/>
  <c r="M202" i="1"/>
  <c r="AD201" i="1"/>
  <c r="AB201" i="1"/>
  <c r="AA201" i="1"/>
  <c r="S201" i="1"/>
  <c r="R201" i="1"/>
  <c r="AC201" i="1" s="1"/>
  <c r="Q201" i="1"/>
  <c r="P201" i="1"/>
  <c r="O201" i="1"/>
  <c r="AC200" i="1"/>
  <c r="AB200" i="1"/>
  <c r="AA200" i="1"/>
  <c r="S200" i="1"/>
  <c r="AD200" i="1" s="1"/>
  <c r="R200" i="1"/>
  <c r="Q200" i="1"/>
  <c r="P200" i="1"/>
  <c r="O200" i="1"/>
  <c r="AD199" i="1"/>
  <c r="AB199" i="1"/>
  <c r="Z199" i="1"/>
  <c r="Y199" i="1"/>
  <c r="S199" i="1"/>
  <c r="R199" i="1"/>
  <c r="AC199" i="1" s="1"/>
  <c r="Q199" i="1"/>
  <c r="P199" i="1"/>
  <c r="AA199" i="1" s="1"/>
  <c r="O199" i="1"/>
  <c r="N199" i="1"/>
  <c r="M199" i="1"/>
  <c r="X199" i="1" s="1"/>
  <c r="AD198" i="1"/>
  <c r="AC198" i="1"/>
  <c r="AB198" i="1"/>
  <c r="Y198" i="1"/>
  <c r="X198" i="1"/>
  <c r="S198" i="1"/>
  <c r="R198" i="1"/>
  <c r="Q198" i="1"/>
  <c r="P198" i="1"/>
  <c r="AA198" i="1" s="1"/>
  <c r="O198" i="1"/>
  <c r="Z198" i="1" s="1"/>
  <c r="N198" i="1"/>
  <c r="M198" i="1"/>
  <c r="S197" i="1"/>
  <c r="AD197" i="1" s="1"/>
  <c r="R197" i="1"/>
  <c r="AC197" i="1" s="1"/>
  <c r="Q197" i="1"/>
  <c r="AB197" i="1" s="1"/>
  <c r="P197" i="1"/>
  <c r="AA197" i="1" s="1"/>
  <c r="O197" i="1"/>
  <c r="AD196" i="1"/>
  <c r="AC196" i="1"/>
  <c r="AA196" i="1"/>
  <c r="Y196" i="1"/>
  <c r="S196" i="1"/>
  <c r="R196" i="1"/>
  <c r="Q196" i="1"/>
  <c r="AB196" i="1" s="1"/>
  <c r="P196" i="1"/>
  <c r="O196" i="1"/>
  <c r="Z196" i="1" s="1"/>
  <c r="N196" i="1"/>
  <c r="AA195" i="1"/>
  <c r="S195" i="1"/>
  <c r="AD195" i="1" s="1"/>
  <c r="R195" i="1"/>
  <c r="AC195" i="1" s="1"/>
  <c r="Q195" i="1"/>
  <c r="AB195" i="1" s="1"/>
  <c r="P195" i="1"/>
  <c r="O195" i="1"/>
  <c r="AD193" i="1"/>
  <c r="S193" i="1"/>
  <c r="R193" i="1"/>
  <c r="AC193" i="1" s="1"/>
  <c r="Q193" i="1"/>
  <c r="AB193" i="1" s="1"/>
  <c r="P193" i="1"/>
  <c r="AA193" i="1" s="1"/>
  <c r="O193" i="1"/>
  <c r="Y192" i="1"/>
  <c r="X192" i="1"/>
  <c r="S192" i="1"/>
  <c r="AD192" i="1" s="1"/>
  <c r="R192" i="1"/>
  <c r="AC192" i="1" s="1"/>
  <c r="Q192" i="1"/>
  <c r="AB192" i="1" s="1"/>
  <c r="P192" i="1"/>
  <c r="AA192" i="1" s="1"/>
  <c r="O192" i="1"/>
  <c r="Z192" i="1" s="1"/>
  <c r="N192" i="1"/>
  <c r="M192" i="1"/>
  <c r="AC191" i="1"/>
  <c r="AA191" i="1"/>
  <c r="Z191" i="1"/>
  <c r="S191" i="1"/>
  <c r="AD191" i="1" s="1"/>
  <c r="R191" i="1"/>
  <c r="Q191" i="1"/>
  <c r="AB191" i="1" s="1"/>
  <c r="P191" i="1"/>
  <c r="O191" i="1"/>
  <c r="N191" i="1"/>
  <c r="Y191" i="1" s="1"/>
  <c r="AD190" i="1"/>
  <c r="AC190" i="1"/>
  <c r="AB190" i="1"/>
  <c r="S190" i="1"/>
  <c r="R190" i="1"/>
  <c r="Q190" i="1"/>
  <c r="P190" i="1"/>
  <c r="AA190" i="1" s="1"/>
  <c r="O190" i="1"/>
  <c r="AD189" i="1"/>
  <c r="AB189" i="1"/>
  <c r="AA189" i="1"/>
  <c r="S189" i="1"/>
  <c r="R189" i="1"/>
  <c r="AC189" i="1" s="1"/>
  <c r="Q189" i="1"/>
  <c r="P189" i="1"/>
  <c r="O189" i="1"/>
  <c r="AC188" i="1"/>
  <c r="AB188" i="1"/>
  <c r="AA188" i="1"/>
  <c r="S188" i="1"/>
  <c r="AD188" i="1" s="1"/>
  <c r="R188" i="1"/>
  <c r="Q188" i="1"/>
  <c r="P188" i="1"/>
  <c r="O188" i="1"/>
  <c r="AB187" i="1"/>
  <c r="S187" i="1"/>
  <c r="AD187" i="1" s="1"/>
  <c r="R187" i="1"/>
  <c r="AC187" i="1" s="1"/>
  <c r="Q187" i="1"/>
  <c r="P187" i="1"/>
  <c r="AA187" i="1" s="1"/>
  <c r="O187" i="1"/>
  <c r="AA186" i="1"/>
  <c r="S186" i="1"/>
  <c r="AD186" i="1" s="1"/>
  <c r="R186" i="1"/>
  <c r="AC186" i="1" s="1"/>
  <c r="Q186" i="1"/>
  <c r="AB186" i="1" s="1"/>
  <c r="P186" i="1"/>
  <c r="O186" i="1"/>
  <c r="AD185" i="1"/>
  <c r="AC185" i="1"/>
  <c r="S185" i="1"/>
  <c r="R185" i="1"/>
  <c r="Q185" i="1"/>
  <c r="AB185" i="1" s="1"/>
  <c r="P185" i="1"/>
  <c r="AA185" i="1" s="1"/>
  <c r="O185" i="1"/>
  <c r="AA184" i="1"/>
  <c r="Z184" i="1"/>
  <c r="S184" i="1"/>
  <c r="AD184" i="1" s="1"/>
  <c r="R184" i="1"/>
  <c r="AC184" i="1" s="1"/>
  <c r="Q184" i="1"/>
  <c r="AB184" i="1" s="1"/>
  <c r="P184" i="1"/>
  <c r="O184" i="1"/>
  <c r="N184" i="1"/>
  <c r="Y184" i="1" s="1"/>
  <c r="AD183" i="1"/>
  <c r="AA183" i="1"/>
  <c r="S183" i="1"/>
  <c r="R183" i="1"/>
  <c r="AC183" i="1" s="1"/>
  <c r="Q183" i="1"/>
  <c r="AB183" i="1" s="1"/>
  <c r="P183" i="1"/>
  <c r="O183" i="1"/>
  <c r="S182" i="1"/>
  <c r="AD182" i="1" s="1"/>
  <c r="R182" i="1"/>
  <c r="AC182" i="1" s="1"/>
  <c r="Q182" i="1"/>
  <c r="AB182" i="1" s="1"/>
  <c r="P182" i="1"/>
  <c r="AA182" i="1" s="1"/>
  <c r="O182" i="1"/>
  <c r="AA181" i="1"/>
  <c r="Y181" i="1"/>
  <c r="S181" i="1"/>
  <c r="AD181" i="1" s="1"/>
  <c r="R181" i="1"/>
  <c r="AC181" i="1" s="1"/>
  <c r="Q181" i="1"/>
  <c r="AB181" i="1" s="1"/>
  <c r="P181" i="1"/>
  <c r="O181" i="1"/>
  <c r="Z181" i="1" s="1"/>
  <c r="N181" i="1"/>
  <c r="M181" i="1"/>
  <c r="X181" i="1" s="1"/>
  <c r="AC180" i="1"/>
  <c r="AB180" i="1"/>
  <c r="AA180" i="1"/>
  <c r="S180" i="1"/>
  <c r="AD180" i="1" s="1"/>
  <c r="R180" i="1"/>
  <c r="Q180" i="1"/>
  <c r="P180" i="1"/>
  <c r="O180" i="1"/>
  <c r="AD179" i="1"/>
  <c r="AB179" i="1"/>
  <c r="Z179" i="1"/>
  <c r="Y179" i="1"/>
  <c r="S179" i="1"/>
  <c r="R179" i="1"/>
  <c r="AC179" i="1" s="1"/>
  <c r="Q179" i="1"/>
  <c r="P179" i="1"/>
  <c r="AA179" i="1" s="1"/>
  <c r="O179" i="1"/>
  <c r="N179" i="1"/>
  <c r="M179" i="1"/>
  <c r="X179" i="1" s="1"/>
  <c r="AD178" i="1"/>
  <c r="AC178" i="1"/>
  <c r="AA178" i="1"/>
  <c r="S178" i="1"/>
  <c r="R178" i="1"/>
  <c r="Q178" i="1"/>
  <c r="AB178" i="1" s="1"/>
  <c r="P178" i="1"/>
  <c r="O178" i="1"/>
  <c r="AC177" i="1"/>
  <c r="AB177" i="1"/>
  <c r="S177" i="1"/>
  <c r="AD177" i="1" s="1"/>
  <c r="R177" i="1"/>
  <c r="Q177" i="1"/>
  <c r="P177" i="1"/>
  <c r="AA177" i="1" s="1"/>
  <c r="O177" i="1"/>
  <c r="AD176" i="1"/>
  <c r="AC176" i="1"/>
  <c r="AB176" i="1"/>
  <c r="AA176" i="1"/>
  <c r="S176" i="1"/>
  <c r="R176" i="1"/>
  <c r="Q176" i="1"/>
  <c r="P176" i="1"/>
  <c r="O176" i="1"/>
  <c r="AC175" i="1"/>
  <c r="AA175" i="1"/>
  <c r="S175" i="1"/>
  <c r="AD175" i="1" s="1"/>
  <c r="R175" i="1"/>
  <c r="Q175" i="1"/>
  <c r="AB175" i="1" s="1"/>
  <c r="P175" i="1"/>
  <c r="O175" i="1"/>
  <c r="AB174" i="1"/>
  <c r="AA174" i="1"/>
  <c r="S174" i="1"/>
  <c r="AD174" i="1" s="1"/>
  <c r="R174" i="1"/>
  <c r="AC174" i="1" s="1"/>
  <c r="Q174" i="1"/>
  <c r="P174" i="1"/>
  <c r="O174" i="1"/>
  <c r="AD173" i="1"/>
  <c r="AC173" i="1"/>
  <c r="AA173" i="1"/>
  <c r="Y173" i="1"/>
  <c r="X173" i="1"/>
  <c r="S173" i="1"/>
  <c r="R173" i="1"/>
  <c r="Q173" i="1"/>
  <c r="AB173" i="1" s="1"/>
  <c r="P173" i="1"/>
  <c r="O173" i="1"/>
  <c r="Z173" i="1" s="1"/>
  <c r="N173" i="1"/>
  <c r="M173" i="1"/>
  <c r="AD172" i="1"/>
  <c r="AC172" i="1"/>
  <c r="AB172" i="1"/>
  <c r="AA172" i="1"/>
  <c r="S172" i="1"/>
  <c r="R172" i="1"/>
  <c r="Q172" i="1"/>
  <c r="P172" i="1"/>
  <c r="O172" i="1"/>
  <c r="Z172" i="1" s="1"/>
  <c r="N172" i="1"/>
  <c r="Y172" i="1" s="1"/>
  <c r="M172" i="1"/>
  <c r="X172" i="1" s="1"/>
  <c r="AA170" i="1"/>
  <c r="Z170" i="1"/>
  <c r="S170" i="1"/>
  <c r="AD170" i="1" s="1"/>
  <c r="R170" i="1"/>
  <c r="AC170" i="1" s="1"/>
  <c r="Q170" i="1"/>
  <c r="AB170" i="1" s="1"/>
  <c r="P170" i="1"/>
  <c r="O170" i="1"/>
  <c r="N170" i="1"/>
  <c r="Y170" i="1" s="1"/>
  <c r="AA169" i="1"/>
  <c r="S169" i="1"/>
  <c r="AD169" i="1" s="1"/>
  <c r="R169" i="1"/>
  <c r="AC169" i="1" s="1"/>
  <c r="Q169" i="1"/>
  <c r="AB169" i="1" s="1"/>
  <c r="P169" i="1"/>
  <c r="O169" i="1"/>
  <c r="S168" i="1"/>
  <c r="AD168" i="1" s="1"/>
  <c r="R168" i="1"/>
  <c r="AC168" i="1" s="1"/>
  <c r="Q168" i="1"/>
  <c r="AB168" i="1" s="1"/>
  <c r="P168" i="1"/>
  <c r="AA168" i="1" s="1"/>
  <c r="O168" i="1"/>
  <c r="AD167" i="1"/>
  <c r="AC167" i="1"/>
  <c r="AA167" i="1"/>
  <c r="Y167" i="1"/>
  <c r="S167" i="1"/>
  <c r="R167" i="1"/>
  <c r="Q167" i="1"/>
  <c r="AB167" i="1" s="1"/>
  <c r="P167" i="1"/>
  <c r="O167" i="1"/>
  <c r="Z167" i="1" s="1"/>
  <c r="N167" i="1"/>
  <c r="AA166" i="1"/>
  <c r="Z166" i="1"/>
  <c r="Y166" i="1"/>
  <c r="X166" i="1"/>
  <c r="S166" i="1"/>
  <c r="AD166" i="1" s="1"/>
  <c r="R166" i="1"/>
  <c r="AC166" i="1" s="1"/>
  <c r="Q166" i="1"/>
  <c r="AB166" i="1" s="1"/>
  <c r="P166" i="1"/>
  <c r="O166" i="1"/>
  <c r="N166" i="1"/>
  <c r="M166" i="1"/>
  <c r="AC164" i="1"/>
  <c r="AB164" i="1"/>
  <c r="S164" i="1"/>
  <c r="AD164" i="1" s="1"/>
  <c r="R164" i="1"/>
  <c r="Q164" i="1"/>
  <c r="P164" i="1"/>
  <c r="AA164" i="1" s="1"/>
  <c r="O164" i="1"/>
  <c r="Z164" i="1" s="1"/>
  <c r="N164" i="1"/>
  <c r="Y164" i="1" s="1"/>
  <c r="M164" i="1"/>
  <c r="X164" i="1" s="1"/>
  <c r="AD163" i="1"/>
  <c r="AC163" i="1"/>
  <c r="S163" i="1"/>
  <c r="R163" i="1"/>
  <c r="Q163" i="1"/>
  <c r="AB163" i="1" s="1"/>
  <c r="P163" i="1"/>
  <c r="AA163" i="1" s="1"/>
  <c r="O163" i="1"/>
  <c r="S161" i="1"/>
  <c r="AD161" i="1" s="1"/>
  <c r="R161" i="1"/>
  <c r="AC161" i="1" s="1"/>
  <c r="Q161" i="1"/>
  <c r="AB161" i="1" s="1"/>
  <c r="P161" i="1"/>
  <c r="AA161" i="1" s="1"/>
  <c r="O161" i="1"/>
  <c r="AD160" i="1"/>
  <c r="AC160" i="1"/>
  <c r="Y160" i="1"/>
  <c r="S160" i="1"/>
  <c r="R160" i="1"/>
  <c r="Q160" i="1"/>
  <c r="AB160" i="1" s="1"/>
  <c r="P160" i="1"/>
  <c r="AA160" i="1" s="1"/>
  <c r="O160" i="1"/>
  <c r="Z160" i="1" s="1"/>
  <c r="N160" i="1"/>
  <c r="M160" i="1"/>
  <c r="X160" i="1" s="1"/>
  <c r="AA159" i="1"/>
  <c r="Z159" i="1"/>
  <c r="Y159" i="1"/>
  <c r="X159" i="1"/>
  <c r="S159" i="1"/>
  <c r="AD159" i="1" s="1"/>
  <c r="R159" i="1"/>
  <c r="AC159" i="1" s="1"/>
  <c r="Q159" i="1"/>
  <c r="AB159" i="1" s="1"/>
  <c r="P159" i="1"/>
  <c r="O159" i="1"/>
  <c r="N159" i="1"/>
  <c r="M159" i="1"/>
  <c r="AC158" i="1"/>
  <c r="AB158" i="1"/>
  <c r="S158" i="1"/>
  <c r="AD158" i="1" s="1"/>
  <c r="R158" i="1"/>
  <c r="Q158" i="1"/>
  <c r="P158" i="1"/>
  <c r="AA158" i="1" s="1"/>
  <c r="O158" i="1"/>
  <c r="AD157" i="1"/>
  <c r="AC157" i="1"/>
  <c r="AB157" i="1"/>
  <c r="AA157" i="1"/>
  <c r="S157" i="1"/>
  <c r="R157" i="1"/>
  <c r="Q157" i="1"/>
  <c r="P157" i="1"/>
  <c r="O157" i="1"/>
  <c r="AC155" i="1"/>
  <c r="AA155" i="1"/>
  <c r="S155" i="1"/>
  <c r="AD155" i="1" s="1"/>
  <c r="R155" i="1"/>
  <c r="Q155" i="1"/>
  <c r="AB155" i="1" s="1"/>
  <c r="P155" i="1"/>
  <c r="O155" i="1"/>
  <c r="AB151" i="1"/>
  <c r="AA151" i="1"/>
  <c r="S151" i="1"/>
  <c r="AD151" i="1" s="1"/>
  <c r="R151" i="1"/>
  <c r="AC151" i="1" s="1"/>
  <c r="Q151" i="1"/>
  <c r="P151" i="1"/>
  <c r="O151" i="1"/>
  <c r="AA150" i="1"/>
  <c r="S150" i="1"/>
  <c r="AD150" i="1" s="1"/>
  <c r="R150" i="1"/>
  <c r="AC150" i="1" s="1"/>
  <c r="Q150" i="1"/>
  <c r="AB150" i="1" s="1"/>
  <c r="P150" i="1"/>
  <c r="O150" i="1"/>
  <c r="AB149" i="1"/>
  <c r="AA149" i="1"/>
  <c r="Y149" i="1"/>
  <c r="S149" i="1"/>
  <c r="AD149" i="1" s="1"/>
  <c r="R149" i="1"/>
  <c r="AC149" i="1" s="1"/>
  <c r="Q149" i="1"/>
  <c r="P149" i="1"/>
  <c r="O149" i="1"/>
  <c r="Z149" i="1" s="1"/>
  <c r="N149" i="1"/>
  <c r="AB148" i="1"/>
  <c r="S148" i="1"/>
  <c r="AD148" i="1" s="1"/>
  <c r="R148" i="1"/>
  <c r="AC148" i="1" s="1"/>
  <c r="Q148" i="1"/>
  <c r="P148" i="1"/>
  <c r="AA148" i="1" s="1"/>
  <c r="O148" i="1"/>
  <c r="AA147" i="1"/>
  <c r="S147" i="1"/>
  <c r="AD147" i="1" s="1"/>
  <c r="R147" i="1"/>
  <c r="AC147" i="1" s="1"/>
  <c r="Q147" i="1"/>
  <c r="AB147" i="1" s="1"/>
  <c r="P147" i="1"/>
  <c r="O147" i="1"/>
  <c r="AB146" i="1"/>
  <c r="Z146" i="1"/>
  <c r="X146" i="1"/>
  <c r="S146" i="1"/>
  <c r="AD146" i="1" s="1"/>
  <c r="R146" i="1"/>
  <c r="AC146" i="1" s="1"/>
  <c r="Q146" i="1"/>
  <c r="P146" i="1"/>
  <c r="AA146" i="1" s="1"/>
  <c r="O146" i="1"/>
  <c r="N146" i="1"/>
  <c r="Y146" i="1" s="1"/>
  <c r="M146" i="1"/>
  <c r="AD145" i="1"/>
  <c r="AC145" i="1"/>
  <c r="AB145" i="1"/>
  <c r="AA145" i="1"/>
  <c r="S145" i="1"/>
  <c r="R145" i="1"/>
  <c r="Q145" i="1"/>
  <c r="P145" i="1"/>
  <c r="O145" i="1"/>
  <c r="AC144" i="1"/>
  <c r="AA144" i="1"/>
  <c r="Z144" i="1"/>
  <c r="S144" i="1"/>
  <c r="AD144" i="1" s="1"/>
  <c r="R144" i="1"/>
  <c r="Q144" i="1"/>
  <c r="AB144" i="1" s="1"/>
  <c r="P144" i="1"/>
  <c r="O144" i="1"/>
  <c r="N144" i="1"/>
  <c r="Y144" i="1" s="1"/>
  <c r="M144" i="1"/>
  <c r="X144" i="1" s="1"/>
  <c r="AD143" i="1"/>
  <c r="AC143" i="1"/>
  <c r="Y143" i="1"/>
  <c r="S143" i="1"/>
  <c r="R143" i="1"/>
  <c r="Q143" i="1"/>
  <c r="AB143" i="1" s="1"/>
  <c r="P143" i="1"/>
  <c r="AA143" i="1" s="1"/>
  <c r="O143" i="1"/>
  <c r="Z143" i="1" s="1"/>
  <c r="N143" i="1"/>
  <c r="M143" i="1"/>
  <c r="X143" i="1" s="1"/>
  <c r="AA142" i="1"/>
  <c r="S142" i="1"/>
  <c r="AD142" i="1" s="1"/>
  <c r="R142" i="1"/>
  <c r="AC142" i="1" s="1"/>
  <c r="Q142" i="1"/>
  <c r="AB142" i="1" s="1"/>
  <c r="P142" i="1"/>
  <c r="O142" i="1"/>
  <c r="AD141" i="1"/>
  <c r="S141" i="1"/>
  <c r="R141" i="1"/>
  <c r="AC141" i="1" s="1"/>
  <c r="Q141" i="1"/>
  <c r="AB141" i="1" s="1"/>
  <c r="P141" i="1"/>
  <c r="AA141" i="1" s="1"/>
  <c r="O141" i="1"/>
  <c r="S140" i="1"/>
  <c r="AD140" i="1" s="1"/>
  <c r="R140" i="1"/>
  <c r="AC140" i="1" s="1"/>
  <c r="Q140" i="1"/>
  <c r="AB140" i="1" s="1"/>
  <c r="P140" i="1"/>
  <c r="AA140" i="1" s="1"/>
  <c r="O140" i="1"/>
  <c r="AC139" i="1"/>
  <c r="AB139" i="1"/>
  <c r="S139" i="1"/>
  <c r="AD139" i="1" s="1"/>
  <c r="R139" i="1"/>
  <c r="Q139" i="1"/>
  <c r="P139" i="1"/>
  <c r="AA139" i="1" s="1"/>
  <c r="O139" i="1"/>
  <c r="AD138" i="1"/>
  <c r="S138" i="1"/>
  <c r="R138" i="1"/>
  <c r="AC138" i="1" s="1"/>
  <c r="Q138" i="1"/>
  <c r="AB138" i="1" s="1"/>
  <c r="P138" i="1"/>
  <c r="AA138" i="1" s="1"/>
  <c r="O138" i="1"/>
  <c r="Z138" i="1" s="1"/>
  <c r="N138" i="1"/>
  <c r="Y138" i="1" s="1"/>
  <c r="M138" i="1"/>
  <c r="X138" i="1" s="1"/>
  <c r="AA137" i="1"/>
  <c r="S137" i="1"/>
  <c r="AD137" i="1" s="1"/>
  <c r="R137" i="1"/>
  <c r="AC137" i="1" s="1"/>
  <c r="Q137" i="1"/>
  <c r="AB137" i="1" s="1"/>
  <c r="P137" i="1"/>
  <c r="O137" i="1"/>
  <c r="S136" i="1"/>
  <c r="AD136" i="1" s="1"/>
  <c r="R136" i="1"/>
  <c r="AC136" i="1" s="1"/>
  <c r="Q136" i="1"/>
  <c r="AB136" i="1" s="1"/>
  <c r="P136" i="1"/>
  <c r="AA136" i="1" s="1"/>
  <c r="O136" i="1"/>
  <c r="AD135" i="1"/>
  <c r="AC135" i="1"/>
  <c r="S135" i="1"/>
  <c r="R135" i="1"/>
  <c r="Q135" i="1"/>
  <c r="AB135" i="1" s="1"/>
  <c r="P135" i="1"/>
  <c r="AA135" i="1" s="1"/>
  <c r="O135" i="1"/>
  <c r="S134" i="1"/>
  <c r="AD134" i="1" s="1"/>
  <c r="R134" i="1"/>
  <c r="AC134" i="1" s="1"/>
  <c r="Q134" i="1"/>
  <c r="AB134" i="1" s="1"/>
  <c r="P134" i="1"/>
  <c r="AA134" i="1" s="1"/>
  <c r="O134" i="1"/>
  <c r="AD133" i="1"/>
  <c r="AB133" i="1"/>
  <c r="AA133" i="1"/>
  <c r="S133" i="1"/>
  <c r="R133" i="1"/>
  <c r="AC133" i="1" s="1"/>
  <c r="Q133" i="1"/>
  <c r="P133" i="1"/>
  <c r="O133" i="1"/>
  <c r="AD132" i="1"/>
  <c r="AC132" i="1"/>
  <c r="S132" i="1"/>
  <c r="R132" i="1"/>
  <c r="Q132" i="1"/>
  <c r="AB132" i="1" s="1"/>
  <c r="P132" i="1"/>
  <c r="AA132" i="1" s="1"/>
  <c r="O132" i="1"/>
  <c r="Z132" i="1" s="1"/>
  <c r="N132" i="1"/>
  <c r="Y132" i="1" s="1"/>
  <c r="M132" i="1"/>
  <c r="X132" i="1" s="1"/>
  <c r="AD131" i="1"/>
  <c r="AB131" i="1"/>
  <c r="Z131" i="1"/>
  <c r="S131" i="1"/>
  <c r="R131" i="1"/>
  <c r="AC131" i="1" s="1"/>
  <c r="Q131" i="1"/>
  <c r="P131" i="1"/>
  <c r="AA131" i="1" s="1"/>
  <c r="O131" i="1"/>
  <c r="N131" i="1"/>
  <c r="Y131" i="1" s="1"/>
  <c r="AB130" i="1"/>
  <c r="AA130" i="1"/>
  <c r="Z130" i="1"/>
  <c r="Y130" i="1"/>
  <c r="X130" i="1"/>
  <c r="S130" i="1"/>
  <c r="AD130" i="1" s="1"/>
  <c r="R130" i="1"/>
  <c r="AC130" i="1" s="1"/>
  <c r="Q130" i="1"/>
  <c r="P130" i="1"/>
  <c r="O130" i="1"/>
  <c r="N130" i="1"/>
  <c r="M130" i="1"/>
  <c r="AD128" i="1"/>
  <c r="AC128" i="1"/>
  <c r="S128" i="1"/>
  <c r="R128" i="1"/>
  <c r="Q128" i="1"/>
  <c r="AB128" i="1" s="1"/>
  <c r="P128" i="1"/>
  <c r="AA128" i="1" s="1"/>
  <c r="O128" i="1"/>
  <c r="Z128" i="1" s="1"/>
  <c r="N128" i="1"/>
  <c r="Y128" i="1" s="1"/>
  <c r="AC127" i="1"/>
  <c r="AB127" i="1"/>
  <c r="S127" i="1"/>
  <c r="AD127" i="1" s="1"/>
  <c r="R127" i="1"/>
  <c r="Q127" i="1"/>
  <c r="P127" i="1"/>
  <c r="AA127" i="1" s="1"/>
  <c r="O127" i="1"/>
  <c r="AD126" i="1"/>
  <c r="S126" i="1"/>
  <c r="R126" i="1"/>
  <c r="AC126" i="1" s="1"/>
  <c r="Q126" i="1"/>
  <c r="AB126" i="1" s="1"/>
  <c r="P126" i="1"/>
  <c r="AA126" i="1" s="1"/>
  <c r="O126" i="1"/>
  <c r="AD125" i="1"/>
  <c r="AC125" i="1"/>
  <c r="AA125" i="1"/>
  <c r="S125" i="1"/>
  <c r="R125" i="1"/>
  <c r="Q125" i="1"/>
  <c r="AB125" i="1" s="1"/>
  <c r="P125" i="1"/>
  <c r="O125" i="1"/>
  <c r="AC124" i="1"/>
  <c r="AB124" i="1"/>
  <c r="S124" i="1"/>
  <c r="AD124" i="1" s="1"/>
  <c r="R124" i="1"/>
  <c r="Q124" i="1"/>
  <c r="P124" i="1"/>
  <c r="AA124" i="1" s="1"/>
  <c r="O124" i="1"/>
  <c r="AD123" i="1"/>
  <c r="AC123" i="1"/>
  <c r="AB123" i="1"/>
  <c r="AA123" i="1"/>
  <c r="S123" i="1"/>
  <c r="R123" i="1"/>
  <c r="Q123" i="1"/>
  <c r="P123" i="1"/>
  <c r="O123" i="1"/>
  <c r="AC122" i="1"/>
  <c r="AA122" i="1"/>
  <c r="Z122" i="1"/>
  <c r="S122" i="1"/>
  <c r="AD122" i="1" s="1"/>
  <c r="R122" i="1"/>
  <c r="Q122" i="1"/>
  <c r="AB122" i="1" s="1"/>
  <c r="P122" i="1"/>
  <c r="O122" i="1"/>
  <c r="N122" i="1"/>
  <c r="Y122" i="1" s="1"/>
  <c r="M122" i="1"/>
  <c r="X122" i="1" s="1"/>
  <c r="AD121" i="1"/>
  <c r="AC121" i="1"/>
  <c r="Y121" i="1"/>
  <c r="S121" i="1"/>
  <c r="R121" i="1"/>
  <c r="Q121" i="1"/>
  <c r="AB121" i="1" s="1"/>
  <c r="P121" i="1"/>
  <c r="AA121" i="1" s="1"/>
  <c r="O121" i="1"/>
  <c r="Z121" i="1" s="1"/>
  <c r="N121" i="1"/>
  <c r="M121" i="1"/>
  <c r="X121" i="1" s="1"/>
  <c r="AA120" i="1"/>
  <c r="Z120" i="1"/>
  <c r="Y120" i="1"/>
  <c r="X120" i="1"/>
  <c r="S120" i="1"/>
  <c r="AD120" i="1" s="1"/>
  <c r="R120" i="1"/>
  <c r="AC120" i="1" s="1"/>
  <c r="Q120" i="1"/>
  <c r="AB120" i="1" s="1"/>
  <c r="P120" i="1"/>
  <c r="O120" i="1"/>
  <c r="N120" i="1"/>
  <c r="M120" i="1"/>
  <c r="AC116" i="1"/>
  <c r="AB116" i="1"/>
  <c r="S116" i="1"/>
  <c r="AD116" i="1" s="1"/>
  <c r="R116" i="1"/>
  <c r="Q116" i="1"/>
  <c r="P116" i="1"/>
  <c r="AA116" i="1" s="1"/>
  <c r="O116" i="1"/>
  <c r="AD115" i="1"/>
  <c r="AC115" i="1"/>
  <c r="AB115" i="1"/>
  <c r="AA115" i="1"/>
  <c r="Z115" i="1"/>
  <c r="S115" i="1"/>
  <c r="R115" i="1"/>
  <c r="Q115" i="1"/>
  <c r="P115" i="1"/>
  <c r="O115" i="1"/>
  <c r="N115" i="1"/>
  <c r="Y115" i="1" s="1"/>
  <c r="M115" i="1"/>
  <c r="X115" i="1" s="1"/>
  <c r="X114" i="1"/>
  <c r="S114" i="1"/>
  <c r="AD114" i="1" s="1"/>
  <c r="R114" i="1"/>
  <c r="AC114" i="1" s="1"/>
  <c r="Q114" i="1"/>
  <c r="AB114" i="1" s="1"/>
  <c r="P114" i="1"/>
  <c r="AA114" i="1" s="1"/>
  <c r="O114" i="1"/>
  <c r="Z114" i="1" s="1"/>
  <c r="N114" i="1"/>
  <c r="Y114" i="1" s="1"/>
  <c r="M114" i="1"/>
  <c r="AD113" i="1"/>
  <c r="AB113" i="1"/>
  <c r="Z113" i="1"/>
  <c r="Y113" i="1"/>
  <c r="S113" i="1"/>
  <c r="R113" i="1"/>
  <c r="AC113" i="1" s="1"/>
  <c r="Q113" i="1"/>
  <c r="P113" i="1"/>
  <c r="AA113" i="1" s="1"/>
  <c r="O113" i="1"/>
  <c r="N113" i="1"/>
  <c r="M113" i="1"/>
  <c r="X113" i="1" s="1"/>
  <c r="AD111" i="1"/>
  <c r="AC111" i="1"/>
  <c r="AB111" i="1"/>
  <c r="X111" i="1"/>
  <c r="S111" i="1"/>
  <c r="R111" i="1"/>
  <c r="Q111" i="1"/>
  <c r="P111" i="1"/>
  <c r="AA111" i="1" s="1"/>
  <c r="O111" i="1"/>
  <c r="Z111" i="1" s="1"/>
  <c r="N111" i="1"/>
  <c r="Y111" i="1" s="1"/>
  <c r="M111" i="1"/>
  <c r="S109" i="1"/>
  <c r="AD109" i="1" s="1"/>
  <c r="R109" i="1"/>
  <c r="AC109" i="1" s="1"/>
  <c r="Q109" i="1"/>
  <c r="AB109" i="1" s="1"/>
  <c r="P109" i="1"/>
  <c r="AA109" i="1" s="1"/>
  <c r="O109" i="1"/>
  <c r="AA107" i="1"/>
  <c r="X107" i="1"/>
  <c r="Q107" i="1"/>
  <c r="AB107" i="1" s="1"/>
  <c r="P107" i="1"/>
  <c r="O107" i="1"/>
  <c r="Z107" i="1" s="1"/>
  <c r="N107" i="1"/>
  <c r="Y107" i="1" s="1"/>
  <c r="M107" i="1"/>
  <c r="Y106" i="1"/>
  <c r="X106" i="1"/>
  <c r="S106" i="1"/>
  <c r="AD106" i="1" s="1"/>
  <c r="R106" i="1"/>
  <c r="AC106" i="1" s="1"/>
  <c r="Q106" i="1"/>
  <c r="AB106" i="1" s="1"/>
  <c r="P106" i="1"/>
  <c r="AA106" i="1" s="1"/>
  <c r="O106" i="1"/>
  <c r="Z106" i="1" s="1"/>
  <c r="N106" i="1"/>
  <c r="M106" i="1"/>
  <c r="AC105" i="1"/>
  <c r="AA105" i="1"/>
  <c r="S105" i="1"/>
  <c r="AD105" i="1" s="1"/>
  <c r="R105" i="1"/>
  <c r="Q105" i="1"/>
  <c r="AB105" i="1" s="1"/>
  <c r="P105" i="1"/>
  <c r="O105" i="1"/>
  <c r="AB104" i="1"/>
  <c r="AA104" i="1"/>
  <c r="Z104" i="1"/>
  <c r="Y104" i="1"/>
  <c r="X104" i="1"/>
  <c r="S104" i="1"/>
  <c r="AD104" i="1" s="1"/>
  <c r="R104" i="1"/>
  <c r="AC104" i="1" s="1"/>
  <c r="Q104" i="1"/>
  <c r="P104" i="1"/>
  <c r="O104" i="1"/>
  <c r="N104" i="1"/>
  <c r="M104" i="1"/>
  <c r="AD103" i="1"/>
  <c r="AC103" i="1"/>
  <c r="S103" i="1"/>
  <c r="R103" i="1"/>
  <c r="Q103" i="1"/>
  <c r="AB103" i="1" s="1"/>
  <c r="P103" i="1"/>
  <c r="AA103" i="1" s="1"/>
  <c r="O103" i="1"/>
  <c r="AD102" i="1"/>
  <c r="AC102" i="1"/>
  <c r="AB102" i="1"/>
  <c r="Z102" i="1"/>
  <c r="Y102" i="1"/>
  <c r="S102" i="1"/>
  <c r="R102" i="1"/>
  <c r="Q102" i="1"/>
  <c r="P102" i="1"/>
  <c r="AA102" i="1" s="1"/>
  <c r="O102" i="1"/>
  <c r="N102" i="1"/>
  <c r="AD101" i="1"/>
  <c r="Y101" i="1"/>
  <c r="S101" i="1"/>
  <c r="R101" i="1"/>
  <c r="AC101" i="1" s="1"/>
  <c r="Q101" i="1"/>
  <c r="AB101" i="1" s="1"/>
  <c r="P101" i="1"/>
  <c r="AA101" i="1" s="1"/>
  <c r="O101" i="1"/>
  <c r="Z101" i="1" s="1"/>
  <c r="N101" i="1"/>
  <c r="AD100" i="1"/>
  <c r="AC100" i="1"/>
  <c r="S100" i="1"/>
  <c r="R100" i="1"/>
  <c r="Q100" i="1"/>
  <c r="AB100" i="1" s="1"/>
  <c r="P100" i="1"/>
  <c r="AA100" i="1" s="1"/>
  <c r="O100" i="1"/>
  <c r="S99" i="1"/>
  <c r="AD99" i="1" s="1"/>
  <c r="R99" i="1"/>
  <c r="AC99" i="1" s="1"/>
  <c r="Q99" i="1"/>
  <c r="AB99" i="1" s="1"/>
  <c r="P99" i="1"/>
  <c r="AA99" i="1" s="1"/>
  <c r="O99" i="1"/>
  <c r="AD98" i="1"/>
  <c r="AB98" i="1"/>
  <c r="AA98" i="1"/>
  <c r="S98" i="1"/>
  <c r="R98" i="1"/>
  <c r="AC98" i="1" s="1"/>
  <c r="Q98" i="1"/>
  <c r="P98" i="1"/>
  <c r="O98" i="1"/>
  <c r="AD97" i="1"/>
  <c r="AC97" i="1"/>
  <c r="S97" i="1"/>
  <c r="R97" i="1"/>
  <c r="Q97" i="1"/>
  <c r="AB97" i="1" s="1"/>
  <c r="P97" i="1"/>
  <c r="AA97" i="1" s="1"/>
  <c r="O97" i="1"/>
  <c r="Z97" i="1" s="1"/>
  <c r="N97" i="1"/>
  <c r="Y97" i="1" s="1"/>
  <c r="M97" i="1"/>
  <c r="X97" i="1" s="1"/>
  <c r="AC96" i="1"/>
  <c r="AB96" i="1"/>
  <c r="Z96" i="1"/>
  <c r="X96" i="1"/>
  <c r="S96" i="1"/>
  <c r="AD96" i="1" s="1"/>
  <c r="R96" i="1"/>
  <c r="Q96" i="1"/>
  <c r="P96" i="1"/>
  <c r="AA96" i="1" s="1"/>
  <c r="O96" i="1"/>
  <c r="N96" i="1"/>
  <c r="Y96" i="1" s="1"/>
  <c r="M96" i="1"/>
  <c r="AD95" i="1"/>
  <c r="AC95" i="1"/>
  <c r="AB95" i="1"/>
  <c r="AA95" i="1"/>
  <c r="Z95" i="1"/>
  <c r="S95" i="1"/>
  <c r="R95" i="1"/>
  <c r="Q95" i="1"/>
  <c r="P95" i="1"/>
  <c r="O95" i="1"/>
  <c r="N95" i="1"/>
  <c r="Y95" i="1" s="1"/>
  <c r="M95" i="1"/>
  <c r="X95" i="1" s="1"/>
  <c r="X94" i="1"/>
  <c r="S94" i="1"/>
  <c r="AD94" i="1" s="1"/>
  <c r="R94" i="1"/>
  <c r="AC94" i="1" s="1"/>
  <c r="Q94" i="1"/>
  <c r="AB94" i="1" s="1"/>
  <c r="P94" i="1"/>
  <c r="AA94" i="1" s="1"/>
  <c r="O94" i="1"/>
  <c r="Z94" i="1" s="1"/>
  <c r="N94" i="1"/>
  <c r="Y94" i="1" s="1"/>
  <c r="M94" i="1"/>
  <c r="AB93" i="1"/>
  <c r="S93" i="1"/>
  <c r="AD93" i="1" s="1"/>
  <c r="R93" i="1"/>
  <c r="AC93" i="1" s="1"/>
  <c r="Q93" i="1"/>
  <c r="P93" i="1"/>
  <c r="AA93" i="1" s="1"/>
  <c r="O93" i="1"/>
  <c r="AA92" i="1"/>
  <c r="Z92" i="1"/>
  <c r="Y92" i="1"/>
  <c r="X92" i="1"/>
  <c r="S92" i="1"/>
  <c r="AD92" i="1" s="1"/>
  <c r="R92" i="1"/>
  <c r="AC92" i="1" s="1"/>
  <c r="Q92" i="1"/>
  <c r="AB92" i="1" s="1"/>
  <c r="P92" i="1"/>
  <c r="O92" i="1"/>
  <c r="N92" i="1"/>
  <c r="M92" i="1"/>
  <c r="AC91" i="1"/>
  <c r="AB91" i="1"/>
  <c r="S91" i="1"/>
  <c r="AD91" i="1" s="1"/>
  <c r="R91" i="1"/>
  <c r="Q91" i="1"/>
  <c r="P91" i="1"/>
  <c r="AA91" i="1" s="1"/>
  <c r="O91" i="1"/>
  <c r="Z91" i="1" s="1"/>
  <c r="N91" i="1"/>
  <c r="Y91" i="1" s="1"/>
  <c r="AD90" i="1"/>
  <c r="AB90" i="1"/>
  <c r="AA90" i="1"/>
  <c r="S90" i="1"/>
  <c r="R90" i="1"/>
  <c r="AC90" i="1" s="1"/>
  <c r="Q90" i="1"/>
  <c r="P90" i="1"/>
  <c r="O90" i="1"/>
  <c r="AA87" i="1"/>
  <c r="Z87" i="1"/>
  <c r="P87" i="1"/>
  <c r="O87" i="1"/>
  <c r="N87" i="1"/>
  <c r="Y87" i="1" s="1"/>
  <c r="M87" i="1"/>
  <c r="X87" i="1" s="1"/>
  <c r="AD86" i="1"/>
  <c r="AC86" i="1"/>
  <c r="AB86" i="1"/>
  <c r="AA86" i="1"/>
  <c r="Z86" i="1"/>
  <c r="S86" i="1"/>
  <c r="R86" i="1"/>
  <c r="Q86" i="1"/>
  <c r="P86" i="1"/>
  <c r="O86" i="1"/>
  <c r="N86" i="1"/>
  <c r="Y86" i="1" s="1"/>
  <c r="M86" i="1"/>
  <c r="X86" i="1" s="1"/>
  <c r="X85" i="1"/>
  <c r="S85" i="1"/>
  <c r="AD85" i="1" s="1"/>
  <c r="R85" i="1"/>
  <c r="AC85" i="1" s="1"/>
  <c r="Q85" i="1"/>
  <c r="AB85" i="1" s="1"/>
  <c r="P85" i="1"/>
  <c r="AA85" i="1" s="1"/>
  <c r="O85" i="1"/>
  <c r="Z85" i="1" s="1"/>
  <c r="N85" i="1"/>
  <c r="Y85" i="1" s="1"/>
  <c r="M85" i="1"/>
  <c r="AD84" i="1"/>
  <c r="AB84" i="1"/>
  <c r="Z84" i="1"/>
  <c r="Y84" i="1"/>
  <c r="S84" i="1"/>
  <c r="R84" i="1"/>
  <c r="AC84" i="1" s="1"/>
  <c r="Q84" i="1"/>
  <c r="P84" i="1"/>
  <c r="AA84" i="1" s="1"/>
  <c r="O84" i="1"/>
  <c r="N84" i="1"/>
  <c r="M84" i="1"/>
  <c r="X84" i="1" s="1"/>
  <c r="AD83" i="1"/>
  <c r="AC83" i="1"/>
  <c r="AB83" i="1"/>
  <c r="X83" i="1"/>
  <c r="S83" i="1"/>
  <c r="R83" i="1"/>
  <c r="Q83" i="1"/>
  <c r="P83" i="1"/>
  <c r="AA83" i="1" s="1"/>
  <c r="O83" i="1"/>
  <c r="Z83" i="1" s="1"/>
  <c r="N83" i="1"/>
  <c r="Y83" i="1" s="1"/>
  <c r="M83" i="1"/>
  <c r="Z82" i="1"/>
  <c r="Y82" i="1"/>
  <c r="X82" i="1"/>
  <c r="S82" i="1"/>
  <c r="AD82" i="1" s="1"/>
  <c r="R82" i="1"/>
  <c r="AC82" i="1" s="1"/>
  <c r="Q82" i="1"/>
  <c r="AB82" i="1" s="1"/>
  <c r="P82" i="1"/>
  <c r="AA82" i="1" s="1"/>
  <c r="O82" i="1"/>
  <c r="N82" i="1"/>
  <c r="M82" i="1"/>
  <c r="AD81" i="1"/>
  <c r="AB81" i="1"/>
  <c r="AA81" i="1"/>
  <c r="S81" i="1"/>
  <c r="R81" i="1"/>
  <c r="AC81" i="1" s="1"/>
  <c r="Q81" i="1"/>
  <c r="P81" i="1"/>
  <c r="O81" i="1"/>
  <c r="Z81" i="1" s="1"/>
  <c r="N81" i="1"/>
  <c r="Y81" i="1" s="1"/>
  <c r="M81" i="1"/>
  <c r="X81" i="1" s="1"/>
  <c r="AD80" i="1"/>
  <c r="Z80" i="1"/>
  <c r="X80" i="1"/>
  <c r="S80" i="1"/>
  <c r="R80" i="1"/>
  <c r="AC80" i="1" s="1"/>
  <c r="Q80" i="1"/>
  <c r="AB80" i="1" s="1"/>
  <c r="P80" i="1"/>
  <c r="AA80" i="1" s="1"/>
  <c r="O80" i="1"/>
  <c r="N80" i="1"/>
  <c r="Y80" i="1" s="1"/>
  <c r="M80" i="1"/>
  <c r="AB79" i="1"/>
  <c r="AA79" i="1"/>
  <c r="Z79" i="1"/>
  <c r="Y79" i="1"/>
  <c r="X79" i="1"/>
  <c r="S79" i="1"/>
  <c r="AD79" i="1" s="1"/>
  <c r="R79" i="1"/>
  <c r="AC79" i="1" s="1"/>
  <c r="Q79" i="1"/>
  <c r="P79" i="1"/>
  <c r="O79" i="1"/>
  <c r="N79" i="1"/>
  <c r="M79" i="1"/>
  <c r="AD78" i="1"/>
  <c r="AC78" i="1"/>
  <c r="S78" i="1"/>
  <c r="R78" i="1"/>
  <c r="Q78" i="1"/>
  <c r="AB78" i="1" s="1"/>
  <c r="P78" i="1"/>
  <c r="AA78" i="1" s="1"/>
  <c r="O78" i="1"/>
  <c r="Z78" i="1" s="1"/>
  <c r="N78" i="1"/>
  <c r="Y78" i="1" s="1"/>
  <c r="M78" i="1"/>
  <c r="X78" i="1" s="1"/>
  <c r="AB77" i="1"/>
  <c r="Z77" i="1"/>
  <c r="X77" i="1"/>
  <c r="S77" i="1"/>
  <c r="AD77" i="1" s="1"/>
  <c r="R77" i="1"/>
  <c r="AC77" i="1" s="1"/>
  <c r="Q77" i="1"/>
  <c r="P77" i="1"/>
  <c r="AA77" i="1" s="1"/>
  <c r="O77" i="1"/>
  <c r="N77" i="1"/>
  <c r="Y77" i="1" s="1"/>
  <c r="M77" i="1"/>
  <c r="AD76" i="1"/>
  <c r="AC76" i="1"/>
  <c r="AB76" i="1"/>
  <c r="AA76" i="1"/>
  <c r="Z76" i="1"/>
  <c r="S76" i="1"/>
  <c r="R76" i="1"/>
  <c r="Q76" i="1"/>
  <c r="P76" i="1"/>
  <c r="O76" i="1"/>
  <c r="N76" i="1"/>
  <c r="Y76" i="1" s="1"/>
  <c r="M76" i="1"/>
  <c r="X76" i="1" s="1"/>
  <c r="X75" i="1"/>
  <c r="S75" i="1"/>
  <c r="AD75" i="1" s="1"/>
  <c r="R75" i="1"/>
  <c r="AC75" i="1" s="1"/>
  <c r="Q75" i="1"/>
  <c r="AB75" i="1" s="1"/>
  <c r="P75" i="1"/>
  <c r="AA75" i="1" s="1"/>
  <c r="O75" i="1"/>
  <c r="Z75" i="1" s="1"/>
  <c r="N75" i="1"/>
  <c r="Y75" i="1" s="1"/>
  <c r="M75" i="1"/>
  <c r="AB74" i="1"/>
  <c r="S74" i="1"/>
  <c r="AD74" i="1" s="1"/>
  <c r="R74" i="1"/>
  <c r="AC74" i="1" s="1"/>
  <c r="Q74" i="1"/>
  <c r="P74" i="1"/>
  <c r="AA74" i="1" s="1"/>
  <c r="O74" i="1"/>
  <c r="AA73" i="1"/>
  <c r="S73" i="1"/>
  <c r="AD73" i="1" s="1"/>
  <c r="R73" i="1"/>
  <c r="AC73" i="1" s="1"/>
  <c r="Q73" i="1"/>
  <c r="AB73" i="1" s="1"/>
  <c r="P73" i="1"/>
  <c r="O73" i="1"/>
  <c r="AD72" i="1"/>
  <c r="S72" i="1"/>
  <c r="R72" i="1"/>
  <c r="AC72" i="1" s="1"/>
  <c r="Q72" i="1"/>
  <c r="AB72" i="1" s="1"/>
  <c r="P72" i="1"/>
  <c r="AA72" i="1" s="1"/>
  <c r="O72" i="1"/>
  <c r="Y69" i="1"/>
  <c r="X69" i="1"/>
  <c r="S69" i="1"/>
  <c r="AD69" i="1" s="1"/>
  <c r="R69" i="1"/>
  <c r="AC69" i="1" s="1"/>
  <c r="Q69" i="1"/>
  <c r="AB69" i="1" s="1"/>
  <c r="P69" i="1"/>
  <c r="AA69" i="1" s="1"/>
  <c r="O69" i="1"/>
  <c r="Z69" i="1" s="1"/>
  <c r="N69" i="1"/>
  <c r="M69" i="1"/>
  <c r="AC68" i="1"/>
  <c r="AA68" i="1"/>
  <c r="Z68" i="1"/>
  <c r="S68" i="1"/>
  <c r="AD68" i="1" s="1"/>
  <c r="R68" i="1"/>
  <c r="Q68" i="1"/>
  <c r="AB68" i="1" s="1"/>
  <c r="P68" i="1"/>
  <c r="O68" i="1"/>
  <c r="N68" i="1"/>
  <c r="Y68" i="1" s="1"/>
  <c r="M68" i="1"/>
  <c r="X68" i="1" s="1"/>
  <c r="AD67" i="1"/>
  <c r="AC67" i="1"/>
  <c r="Y67" i="1"/>
  <c r="S67" i="1"/>
  <c r="R67" i="1"/>
  <c r="Q67" i="1"/>
  <c r="AB67" i="1" s="1"/>
  <c r="P67" i="1"/>
  <c r="AA67" i="1" s="1"/>
  <c r="O67" i="1"/>
  <c r="Z67" i="1" s="1"/>
  <c r="N67" i="1"/>
  <c r="M67" i="1"/>
  <c r="X67" i="1" s="1"/>
  <c r="AA66" i="1"/>
  <c r="Z66" i="1"/>
  <c r="Y66" i="1"/>
  <c r="X66" i="1"/>
  <c r="S66" i="1"/>
  <c r="AD66" i="1" s="1"/>
  <c r="R66" i="1"/>
  <c r="AC66" i="1" s="1"/>
  <c r="Q66" i="1"/>
  <c r="AB66" i="1" s="1"/>
  <c r="P66" i="1"/>
  <c r="O66" i="1"/>
  <c r="N66" i="1"/>
  <c r="M66" i="1"/>
  <c r="AC65" i="1"/>
  <c r="AB65" i="1"/>
  <c r="S65" i="1"/>
  <c r="AD65" i="1" s="1"/>
  <c r="R65" i="1"/>
  <c r="Q65" i="1"/>
  <c r="P65" i="1"/>
  <c r="AA65" i="1" s="1"/>
  <c r="O65" i="1"/>
  <c r="AD64" i="1"/>
  <c r="AC64" i="1"/>
  <c r="AB64" i="1"/>
  <c r="AA64" i="1"/>
  <c r="Z64" i="1"/>
  <c r="S64" i="1"/>
  <c r="R64" i="1"/>
  <c r="Q64" i="1"/>
  <c r="P64" i="1"/>
  <c r="O64" i="1"/>
  <c r="N64" i="1"/>
  <c r="Y64" i="1" s="1"/>
  <c r="M64" i="1"/>
  <c r="X64" i="1" s="1"/>
  <c r="X63" i="1"/>
  <c r="S63" i="1"/>
  <c r="AD63" i="1" s="1"/>
  <c r="R63" i="1"/>
  <c r="AC63" i="1" s="1"/>
  <c r="Q63" i="1"/>
  <c r="AB63" i="1" s="1"/>
  <c r="P63" i="1"/>
  <c r="AA63" i="1" s="1"/>
  <c r="O63" i="1"/>
  <c r="Z63" i="1" s="1"/>
  <c r="N63" i="1"/>
  <c r="Y63" i="1" s="1"/>
  <c r="M63" i="1"/>
  <c r="AB61" i="1"/>
  <c r="S61" i="1"/>
  <c r="AD61" i="1" s="1"/>
  <c r="R61" i="1"/>
  <c r="AC61" i="1" s="1"/>
  <c r="Q61" i="1"/>
  <c r="P61" i="1"/>
  <c r="AA61" i="1" s="1"/>
  <c r="O61" i="1"/>
  <c r="AA60" i="1"/>
  <c r="Z60" i="1"/>
  <c r="Y60" i="1"/>
  <c r="X60" i="1"/>
  <c r="S60" i="1"/>
  <c r="AD60" i="1" s="1"/>
  <c r="R60" i="1"/>
  <c r="AC60" i="1" s="1"/>
  <c r="Q60" i="1"/>
  <c r="AB60" i="1" s="1"/>
  <c r="P60" i="1"/>
  <c r="O60" i="1"/>
  <c r="N60" i="1"/>
  <c r="M60" i="1"/>
  <c r="AB59" i="1"/>
  <c r="AA59" i="1"/>
  <c r="R59" i="1"/>
  <c r="AC59" i="1" s="1"/>
  <c r="Q59" i="1"/>
  <c r="P59" i="1"/>
  <c r="O59" i="1"/>
  <c r="Z59" i="1" s="1"/>
  <c r="N59" i="1"/>
  <c r="Y59" i="1" s="1"/>
  <c r="M59" i="1"/>
  <c r="X59" i="1" s="1"/>
  <c r="AC58" i="1"/>
  <c r="AA58" i="1"/>
  <c r="Z58" i="1"/>
  <c r="X58" i="1"/>
  <c r="R58" i="1"/>
  <c r="Q58" i="1"/>
  <c r="AB58" i="1" s="1"/>
  <c r="P58" i="1"/>
  <c r="O58" i="1"/>
  <c r="N58" i="1"/>
  <c r="Y58" i="1" s="1"/>
  <c r="M58" i="1"/>
  <c r="Y56" i="1"/>
  <c r="X56" i="1"/>
  <c r="S56" i="1"/>
  <c r="AD56" i="1" s="1"/>
  <c r="R56" i="1"/>
  <c r="AC56" i="1" s="1"/>
  <c r="Q56" i="1"/>
  <c r="AB56" i="1" s="1"/>
  <c r="P56" i="1"/>
  <c r="AA56" i="1" s="1"/>
  <c r="O56" i="1"/>
  <c r="Z56" i="1" s="1"/>
  <c r="N56" i="1"/>
  <c r="M56" i="1"/>
  <c r="AC55" i="1"/>
  <c r="AA55" i="1"/>
  <c r="Z55" i="1"/>
  <c r="S55" i="1"/>
  <c r="AD55" i="1" s="1"/>
  <c r="R55" i="1"/>
  <c r="Q55" i="1"/>
  <c r="AB55" i="1" s="1"/>
  <c r="P55" i="1"/>
  <c r="O55" i="1"/>
  <c r="N55" i="1"/>
  <c r="Y55" i="1" s="1"/>
  <c r="M55" i="1"/>
  <c r="X55" i="1" s="1"/>
  <c r="AD52" i="1"/>
  <c r="AB52" i="1"/>
  <c r="AA52" i="1"/>
  <c r="Y52" i="1"/>
  <c r="S52" i="1"/>
  <c r="R52" i="1"/>
  <c r="AC52" i="1" s="1"/>
  <c r="Q52" i="1"/>
  <c r="P52" i="1"/>
  <c r="O52" i="1"/>
  <c r="Z52" i="1" s="1"/>
  <c r="N52" i="1"/>
  <c r="Y51" i="1"/>
  <c r="X51" i="1"/>
  <c r="S51" i="1"/>
  <c r="AD51" i="1" s="1"/>
  <c r="R51" i="1"/>
  <c r="AC51" i="1" s="1"/>
  <c r="Q51" i="1"/>
  <c r="AB51" i="1" s="1"/>
  <c r="P51" i="1"/>
  <c r="AA51" i="1" s="1"/>
  <c r="O51" i="1"/>
  <c r="Z51" i="1" s="1"/>
  <c r="N51" i="1"/>
  <c r="M51" i="1"/>
  <c r="AB50" i="1"/>
  <c r="Z50" i="1"/>
  <c r="Y50" i="1"/>
  <c r="R50" i="1"/>
  <c r="AC50" i="1" s="1"/>
  <c r="Q50" i="1"/>
  <c r="P50" i="1"/>
  <c r="AA50" i="1" s="1"/>
  <c r="O50" i="1"/>
  <c r="N50" i="1"/>
  <c r="M50" i="1"/>
  <c r="X50" i="1" s="1"/>
  <c r="AD49" i="1"/>
  <c r="AC49" i="1"/>
  <c r="AB49" i="1"/>
  <c r="AA49" i="1"/>
  <c r="S49" i="1"/>
  <c r="R49" i="1"/>
  <c r="Q49" i="1"/>
  <c r="P49" i="1"/>
  <c r="O49" i="1"/>
  <c r="Z49" i="1" s="1"/>
  <c r="N49" i="1"/>
  <c r="Y49" i="1" s="1"/>
  <c r="M49" i="1"/>
  <c r="X49" i="1" s="1"/>
  <c r="AA48" i="1"/>
  <c r="Z48" i="1"/>
  <c r="Y48" i="1"/>
  <c r="S48" i="1"/>
  <c r="AD48" i="1" s="1"/>
  <c r="R48" i="1"/>
  <c r="AC48" i="1" s="1"/>
  <c r="Q48" i="1"/>
  <c r="AB48" i="1" s="1"/>
  <c r="P48" i="1"/>
  <c r="O48" i="1"/>
  <c r="N48" i="1"/>
  <c r="AC47" i="1"/>
  <c r="AA47" i="1"/>
  <c r="Y47" i="1"/>
  <c r="X47" i="1"/>
  <c r="S47" i="1"/>
  <c r="AD47" i="1" s="1"/>
  <c r="R47" i="1"/>
  <c r="Q47" i="1"/>
  <c r="AB47" i="1" s="1"/>
  <c r="P47" i="1"/>
  <c r="O47" i="1"/>
  <c r="Z47" i="1" s="1"/>
  <c r="N47" i="1"/>
  <c r="M47" i="1"/>
  <c r="AD46" i="1"/>
  <c r="AC46" i="1"/>
  <c r="AB46" i="1"/>
  <c r="Z46" i="1"/>
  <c r="Y46" i="1"/>
  <c r="S46" i="1"/>
  <c r="R46" i="1"/>
  <c r="Q46" i="1"/>
  <c r="P46" i="1"/>
  <c r="AA46" i="1" s="1"/>
  <c r="O46" i="1"/>
  <c r="N46" i="1"/>
  <c r="AD45" i="1"/>
  <c r="Y45" i="1"/>
  <c r="S45" i="1"/>
  <c r="R45" i="1"/>
  <c r="AC45" i="1" s="1"/>
  <c r="Q45" i="1"/>
  <c r="AB45" i="1" s="1"/>
  <c r="P45" i="1"/>
  <c r="AA45" i="1" s="1"/>
  <c r="O45" i="1"/>
  <c r="Z45" i="1" s="1"/>
  <c r="N45" i="1"/>
  <c r="AA44" i="1"/>
  <c r="Y44" i="1"/>
  <c r="S44" i="1"/>
  <c r="AD44" i="1" s="1"/>
  <c r="R44" i="1"/>
  <c r="AC44" i="1" s="1"/>
  <c r="Q44" i="1"/>
  <c r="AB44" i="1" s="1"/>
  <c r="P44" i="1"/>
  <c r="O44" i="1"/>
  <c r="Z44" i="1" s="1"/>
  <c r="N44" i="1"/>
  <c r="M44" i="1"/>
  <c r="X44" i="1" s="1"/>
  <c r="AC43" i="1"/>
  <c r="AB43" i="1"/>
  <c r="AA43" i="1"/>
  <c r="Z43" i="1"/>
  <c r="Y43" i="1"/>
  <c r="S43" i="1"/>
  <c r="AD43" i="1" s="1"/>
  <c r="R43" i="1"/>
  <c r="Q43" i="1"/>
  <c r="P43" i="1"/>
  <c r="O43" i="1"/>
  <c r="N43" i="1"/>
  <c r="M43" i="1"/>
  <c r="X43" i="1" s="1"/>
  <c r="AD42" i="1"/>
  <c r="Z42" i="1"/>
  <c r="S42" i="1"/>
  <c r="R42" i="1"/>
  <c r="AC42" i="1" s="1"/>
  <c r="Q42" i="1"/>
  <c r="AB42" i="1" s="1"/>
  <c r="P42" i="1"/>
  <c r="AA42" i="1" s="1"/>
  <c r="O42" i="1"/>
  <c r="N42" i="1"/>
  <c r="Y42" i="1" s="1"/>
  <c r="M42" i="1"/>
  <c r="X42" i="1" s="1"/>
  <c r="AC41" i="1"/>
  <c r="AA41" i="1"/>
  <c r="Y41" i="1"/>
  <c r="X41" i="1"/>
  <c r="S41" i="1"/>
  <c r="AD41" i="1" s="1"/>
  <c r="R41" i="1"/>
  <c r="Q41" i="1"/>
  <c r="AB41" i="1" s="1"/>
  <c r="P41" i="1"/>
  <c r="O41" i="1"/>
  <c r="Z41" i="1" s="1"/>
  <c r="N41" i="1"/>
  <c r="M41" i="1"/>
  <c r="AD40" i="1"/>
  <c r="AC40" i="1"/>
  <c r="AB40" i="1"/>
  <c r="AA40" i="1"/>
  <c r="S40" i="1"/>
  <c r="R40" i="1"/>
  <c r="Q40" i="1"/>
  <c r="P40" i="1"/>
  <c r="O40" i="1"/>
  <c r="Z40" i="1" s="1"/>
  <c r="N40" i="1"/>
  <c r="Y40" i="1" s="1"/>
  <c r="M40" i="1"/>
  <c r="X40" i="1" s="1"/>
  <c r="AB39" i="1"/>
  <c r="Y39" i="1"/>
  <c r="X39" i="1"/>
  <c r="S39" i="1"/>
  <c r="AD39" i="1" s="1"/>
  <c r="R39" i="1"/>
  <c r="AC39" i="1" s="1"/>
  <c r="Q39" i="1"/>
  <c r="P39" i="1"/>
  <c r="AA39" i="1" s="1"/>
  <c r="O39" i="1"/>
  <c r="Z39" i="1" s="1"/>
  <c r="N39" i="1"/>
  <c r="M39" i="1"/>
  <c r="AC38" i="1"/>
  <c r="AA38" i="1"/>
  <c r="Z38" i="1"/>
  <c r="S38" i="1"/>
  <c r="AD38" i="1" s="1"/>
  <c r="R38" i="1"/>
  <c r="Q38" i="1"/>
  <c r="AB38" i="1" s="1"/>
  <c r="P38" i="1"/>
  <c r="O38" i="1"/>
  <c r="N38" i="1"/>
  <c r="Y38" i="1" s="1"/>
  <c r="M38" i="1"/>
  <c r="X38" i="1" s="1"/>
  <c r="AD37" i="1"/>
  <c r="AC37" i="1"/>
  <c r="Y37" i="1"/>
  <c r="S37" i="1"/>
  <c r="R37" i="1"/>
  <c r="Q37" i="1"/>
  <c r="AB37" i="1" s="1"/>
  <c r="P37" i="1"/>
  <c r="AA37" i="1" s="1"/>
  <c r="O37" i="1"/>
  <c r="Z37" i="1" s="1"/>
  <c r="N37" i="1"/>
  <c r="M37" i="1"/>
  <c r="X37" i="1" s="1"/>
  <c r="AB36" i="1"/>
  <c r="AA36" i="1"/>
  <c r="Z36" i="1"/>
  <c r="Y36" i="1"/>
  <c r="X36" i="1"/>
  <c r="R36" i="1"/>
  <c r="AC36" i="1" s="1"/>
  <c r="Q36" i="1"/>
  <c r="P36" i="1"/>
  <c r="O36" i="1"/>
  <c r="N36" i="1"/>
  <c r="M36" i="1"/>
  <c r="AC35" i="1"/>
  <c r="AA35" i="1"/>
  <c r="Z35" i="1"/>
  <c r="S35" i="1"/>
  <c r="AD35" i="1" s="1"/>
  <c r="R35" i="1"/>
  <c r="Q35" i="1"/>
  <c r="AB35" i="1" s="1"/>
  <c r="P35" i="1"/>
  <c r="O35" i="1"/>
  <c r="N35" i="1"/>
  <c r="Y35" i="1" s="1"/>
  <c r="M35" i="1"/>
  <c r="X35" i="1" s="1"/>
  <c r="AD34" i="1"/>
  <c r="AC34" i="1"/>
  <c r="Y34" i="1"/>
  <c r="S34" i="1"/>
  <c r="R34" i="1"/>
  <c r="Q34" i="1"/>
  <c r="AB34" i="1" s="1"/>
  <c r="P34" i="1"/>
  <c r="AA34" i="1" s="1"/>
  <c r="O34" i="1"/>
  <c r="Z34" i="1" s="1"/>
  <c r="N34" i="1"/>
  <c r="M34" i="1"/>
  <c r="X34" i="1" s="1"/>
  <c r="AD33" i="1"/>
  <c r="AA33" i="1"/>
  <c r="Z33" i="1"/>
  <c r="Y33" i="1"/>
  <c r="X33" i="1"/>
  <c r="S33" i="1"/>
  <c r="R33" i="1"/>
  <c r="AC33" i="1" s="1"/>
  <c r="Q33" i="1"/>
  <c r="AB33" i="1" s="1"/>
  <c r="P33" i="1"/>
  <c r="O33" i="1"/>
  <c r="N33" i="1"/>
  <c r="M33" i="1"/>
  <c r="AC32" i="1"/>
  <c r="AB32" i="1"/>
  <c r="X32" i="1"/>
  <c r="S32" i="1"/>
  <c r="AD32" i="1" s="1"/>
  <c r="R32" i="1"/>
  <c r="Q32" i="1"/>
  <c r="P32" i="1"/>
  <c r="AA32" i="1" s="1"/>
  <c r="O32" i="1"/>
  <c r="Z32" i="1" s="1"/>
  <c r="N32" i="1"/>
  <c r="Y32" i="1" s="1"/>
  <c r="M32" i="1"/>
  <c r="AA31" i="1"/>
  <c r="Y31" i="1"/>
  <c r="S31" i="1"/>
  <c r="AD31" i="1" s="1"/>
  <c r="R31" i="1"/>
  <c r="AC31" i="1" s="1"/>
  <c r="Q31" i="1"/>
  <c r="AB31" i="1" s="1"/>
  <c r="P31" i="1"/>
  <c r="O31" i="1"/>
  <c r="Z31" i="1" s="1"/>
  <c r="N31" i="1"/>
  <c r="M31" i="1"/>
  <c r="X31" i="1" s="1"/>
  <c r="AC30" i="1"/>
  <c r="AB30" i="1"/>
  <c r="AA30" i="1"/>
  <c r="Z30" i="1"/>
  <c r="Y30" i="1"/>
  <c r="S30" i="1"/>
  <c r="AD30" i="1" s="1"/>
  <c r="R30" i="1"/>
  <c r="Q30" i="1"/>
  <c r="P30" i="1"/>
  <c r="O30" i="1"/>
  <c r="N30" i="1"/>
  <c r="M30" i="1"/>
  <c r="X30" i="1" s="1"/>
  <c r="AD29" i="1"/>
  <c r="Z29" i="1"/>
  <c r="S29" i="1"/>
  <c r="R29" i="1"/>
  <c r="AC29" i="1" s="1"/>
  <c r="Q29" i="1"/>
  <c r="AB29" i="1" s="1"/>
  <c r="P29" i="1"/>
  <c r="AA29" i="1" s="1"/>
  <c r="O29" i="1"/>
  <c r="N29" i="1"/>
  <c r="Y29" i="1" s="1"/>
  <c r="M29" i="1"/>
  <c r="X29" i="1" s="1"/>
  <c r="AC28" i="1"/>
  <c r="AA28" i="1"/>
  <c r="Y28" i="1"/>
  <c r="X28" i="1"/>
  <c r="S28" i="1"/>
  <c r="AD28" i="1" s="1"/>
  <c r="R28" i="1"/>
  <c r="Q28" i="1"/>
  <c r="AB28" i="1" s="1"/>
  <c r="P28" i="1"/>
  <c r="O28" i="1"/>
  <c r="Z28" i="1" s="1"/>
  <c r="N28" i="1"/>
  <c r="M28" i="1"/>
  <c r="AD27" i="1"/>
  <c r="AC27" i="1"/>
  <c r="AB27" i="1"/>
  <c r="AA27" i="1"/>
  <c r="S27" i="1"/>
  <c r="R27" i="1"/>
  <c r="Q27" i="1"/>
  <c r="P27" i="1"/>
  <c r="O27" i="1"/>
  <c r="Z27" i="1" s="1"/>
  <c r="N27" i="1"/>
  <c r="Y27" i="1" s="1"/>
  <c r="M27" i="1"/>
  <c r="X27" i="1" s="1"/>
  <c r="AB26" i="1"/>
  <c r="Y26" i="1"/>
  <c r="X26" i="1"/>
  <c r="S26" i="1"/>
  <c r="AD26" i="1" s="1"/>
  <c r="R26" i="1"/>
  <c r="AC26" i="1" s="1"/>
  <c r="Q26" i="1"/>
  <c r="P26" i="1"/>
  <c r="AA26" i="1" s="1"/>
  <c r="O26" i="1"/>
  <c r="Z26" i="1" s="1"/>
  <c r="N26" i="1"/>
  <c r="M26" i="1"/>
  <c r="S25" i="1"/>
  <c r="AD25" i="1" s="1"/>
  <c r="Q25" i="1"/>
  <c r="AB25" i="1" s="1"/>
  <c r="O25" i="1"/>
  <c r="Z25" i="1" s="1"/>
  <c r="Z24" i="1"/>
  <c r="Y24" i="1"/>
  <c r="X24" i="1"/>
  <c r="R24" i="1"/>
  <c r="AC24" i="1" s="1"/>
  <c r="Q24" i="1"/>
  <c r="AB24" i="1" s="1"/>
  <c r="P24" i="1"/>
  <c r="AA24" i="1" s="1"/>
  <c r="O24" i="1"/>
  <c r="N24" i="1"/>
  <c r="M24" i="1"/>
  <c r="AC23" i="1"/>
  <c r="AA23" i="1"/>
  <c r="Y23" i="1"/>
  <c r="X23" i="1"/>
  <c r="S23" i="1"/>
  <c r="AD23" i="1" s="1"/>
  <c r="R23" i="1"/>
  <c r="Q23" i="1"/>
  <c r="AB23" i="1" s="1"/>
  <c r="P23" i="1"/>
  <c r="O23" i="1"/>
  <c r="Z23" i="1" s="1"/>
  <c r="N23" i="1"/>
  <c r="M23" i="1"/>
  <c r="AD22" i="1"/>
  <c r="AC22" i="1"/>
  <c r="AB22" i="1"/>
  <c r="AA22" i="1"/>
  <c r="S22" i="1"/>
  <c r="R22" i="1"/>
  <c r="Q22" i="1"/>
  <c r="P22" i="1"/>
  <c r="O22" i="1"/>
  <c r="Z22" i="1" s="1"/>
  <c r="N22" i="1"/>
  <c r="Y22" i="1" s="1"/>
  <c r="M22" i="1"/>
  <c r="X22" i="1" s="1"/>
  <c r="AB21" i="1"/>
  <c r="Y21" i="1"/>
  <c r="X21" i="1"/>
  <c r="S21" i="1"/>
  <c r="AD21" i="1" s="1"/>
  <c r="R21" i="1"/>
  <c r="AC21" i="1" s="1"/>
  <c r="Q21" i="1"/>
  <c r="P21" i="1"/>
  <c r="AA21" i="1" s="1"/>
  <c r="O21" i="1"/>
  <c r="Z21" i="1" s="1"/>
  <c r="N21" i="1"/>
  <c r="M21" i="1"/>
  <c r="AC19" i="1"/>
  <c r="AA19" i="1"/>
  <c r="Z19" i="1"/>
  <c r="S19" i="1"/>
  <c r="AD19" i="1" s="1"/>
  <c r="R19" i="1"/>
  <c r="Q19" i="1"/>
  <c r="AB19" i="1" s="1"/>
  <c r="P19" i="1"/>
  <c r="O19" i="1"/>
  <c r="N19" i="1"/>
  <c r="Y19" i="1" s="1"/>
  <c r="M19" i="1"/>
  <c r="X19" i="1" s="1"/>
  <c r="AD18" i="1"/>
  <c r="AC18" i="1"/>
  <c r="Y18" i="1"/>
  <c r="S18" i="1"/>
  <c r="R18" i="1"/>
  <c r="Q18" i="1"/>
  <c r="AB18" i="1" s="1"/>
  <c r="P18" i="1"/>
  <c r="AA18" i="1" s="1"/>
  <c r="O18" i="1"/>
  <c r="Z18" i="1" s="1"/>
  <c r="N18" i="1"/>
  <c r="M18" i="1"/>
  <c r="X18" i="1" s="1"/>
  <c r="AD16" i="1"/>
  <c r="AA16" i="1"/>
  <c r="Z16" i="1"/>
  <c r="Y16" i="1"/>
  <c r="X16" i="1"/>
  <c r="S16" i="1"/>
  <c r="R16" i="1"/>
  <c r="AC16" i="1" s="1"/>
  <c r="Q16" i="1"/>
  <c r="AB16" i="1" s="1"/>
  <c r="P16" i="1"/>
  <c r="O16" i="1"/>
  <c r="N16" i="1"/>
  <c r="M16" i="1"/>
  <c r="AC13" i="1"/>
  <c r="AB13" i="1"/>
  <c r="X13" i="1"/>
  <c r="S13" i="1"/>
  <c r="AD13" i="1" s="1"/>
  <c r="R13" i="1"/>
  <c r="Q13" i="1"/>
  <c r="P13" i="1"/>
  <c r="AA13" i="1" s="1"/>
  <c r="O13" i="1"/>
  <c r="Z13" i="1" s="1"/>
  <c r="N13" i="1"/>
  <c r="Y13" i="1" s="1"/>
  <c r="M13" i="1"/>
  <c r="AA12" i="1"/>
  <c r="Y12" i="1"/>
  <c r="S12" i="1"/>
  <c r="AD12" i="1" s="1"/>
  <c r="R12" i="1"/>
  <c r="AC12" i="1" s="1"/>
  <c r="Q12" i="1"/>
  <c r="AB12" i="1" s="1"/>
  <c r="P12" i="1"/>
  <c r="O12" i="1"/>
  <c r="Z12" i="1" s="1"/>
  <c r="N12" i="1"/>
  <c r="M12" i="1"/>
  <c r="X12" i="1" s="1"/>
  <c r="AC11" i="1"/>
  <c r="AB11" i="1"/>
  <c r="AA11" i="1"/>
  <c r="Z11" i="1"/>
  <c r="Y11" i="1"/>
  <c r="S11" i="1"/>
  <c r="AD11" i="1" s="1"/>
  <c r="R11" i="1"/>
  <c r="Q11" i="1"/>
  <c r="P11" i="1"/>
  <c r="O11" i="1"/>
  <c r="N11" i="1"/>
  <c r="M11" i="1"/>
  <c r="X11" i="1" s="1"/>
  <c r="S10" i="1"/>
  <c r="R10" i="1"/>
  <c r="Q10" i="1"/>
  <c r="P10" i="1"/>
  <c r="O10" i="1"/>
  <c r="N10" i="1"/>
  <c r="M10" i="1"/>
  <c r="AE19" i="36" l="1"/>
  <c r="AC19" i="36"/>
  <c r="AB19" i="36"/>
  <c r="T19" i="36"/>
  <c r="J19" i="36"/>
  <c r="AA19" i="36"/>
  <c r="H19" i="36"/>
  <c r="I19" i="33"/>
  <c r="K19" i="33"/>
  <c r="C19" i="32"/>
  <c r="E19" i="30"/>
  <c r="I19" i="25"/>
  <c r="E19" i="25"/>
  <c r="I19" i="24"/>
  <c r="H19" i="24"/>
  <c r="G19" i="24"/>
  <c r="U19" i="24"/>
  <c r="C19" i="23"/>
  <c r="B19" i="23"/>
  <c r="Z19" i="22"/>
  <c r="R19" i="22"/>
  <c r="F19" i="22"/>
  <c r="D19" i="22"/>
  <c r="F19" i="20"/>
  <c r="D19" i="19"/>
  <c r="C19" i="19"/>
  <c r="O19" i="19"/>
  <c r="E19" i="19"/>
  <c r="N19" i="19"/>
  <c r="B19" i="17"/>
  <c r="F19" i="16"/>
  <c r="AC19" i="16"/>
  <c r="I19" i="16"/>
  <c r="M19" i="14"/>
  <c r="L19" i="14"/>
  <c r="N19" i="14"/>
  <c r="M10" i="2"/>
  <c r="F19" i="11"/>
  <c r="M16" i="2"/>
  <c r="X19" i="8"/>
  <c r="M24" i="2"/>
  <c r="M7" i="2"/>
  <c r="M75" i="2"/>
  <c r="K19" i="8"/>
  <c r="P19" i="11"/>
  <c r="Y19" i="8"/>
  <c r="G19" i="9"/>
  <c r="Q19" i="11"/>
  <c r="I1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000-000001000000}">
      <text>
        <r>
          <rPr>
            <sz val="10"/>
            <color rgb="FF000000"/>
            <rFont val="Arial"/>
            <scheme val="minor"/>
          </rPr>
          <t>Experimentally measured data on 30 minutes of fuel @ sea level
Source: https://docs.google.com/spreadsheets/d/126rvgs9iRGxtL9DsbI0SSDMHXMr3uDf-hSeFkZVvk1Y/edit?gid=785557311#gid=785557311</t>
        </r>
      </text>
    </comment>
    <comment ref="K8" authorId="0" shapeId="0" xr:uid="{00000000-0006-0000-0000-000002000000}">
      <text>
        <r>
          <rPr>
            <sz val="10"/>
            <color rgb="FF000000"/>
            <rFont val="Arial"/>
            <scheme val="minor"/>
          </rPr>
          <t>These values are purely theoretical, based on the experimentally measured turn rate.
r= v/ω
where:
v is the actual speed in consistent units (we’ll convert knots to meters per second),
ω is the angular velocity in radians per second.
ω radians =ω degrees × (π/180)</t>
        </r>
      </text>
    </comment>
    <comment ref="V8" authorId="0" shapeId="0" xr:uid="{00000000-0006-0000-0000-000003000000}">
      <text>
        <r>
          <rPr>
            <sz val="10"/>
            <color rgb="FF000000"/>
            <rFont val="Arial"/>
            <scheme val="minor"/>
          </rPr>
          <t>(Rate / Radius) x Normalizing Constant  x 100 -  This index tries to quantify overall turn performance judging the rate AGAINST the radius.
Tight radius and good rate will score high.
Large radius and good rate or tight radius but bad rate will score average.
Large radius and bad rate will score low.
The normalizing constant is just a number to make sure the largest result equals 100.
Take this with a massive grain of salt.</t>
        </r>
      </text>
    </comment>
    <comment ref="C9" authorId="0" shapeId="0" xr:uid="{00000000-0006-0000-0000-000004000000}">
      <text>
        <r>
          <rPr>
            <sz val="10"/>
            <color rgb="FF000000"/>
            <rFont val="Arial"/>
            <scheme val="minor"/>
          </rPr>
          <t>~370km/h 
~230mph
~Mach 0.3</t>
        </r>
      </text>
    </comment>
    <comment ref="D9" authorId="0" shapeId="0" xr:uid="{00000000-0006-0000-0000-000005000000}">
      <text>
        <r>
          <rPr>
            <sz val="10"/>
            <color rgb="FF000000"/>
            <rFont val="Arial"/>
            <scheme val="minor"/>
          </rPr>
          <t>~460km/h
~290mph
~Mach 0.38</t>
        </r>
      </text>
    </comment>
    <comment ref="E9" authorId="0" shapeId="0" xr:uid="{00000000-0006-0000-0000-000006000000}">
      <text>
        <r>
          <rPr>
            <sz val="10"/>
            <color rgb="FF000000"/>
            <rFont val="Arial"/>
            <scheme val="minor"/>
          </rPr>
          <t>~560km/h
~350mph
~Mach 0.45</t>
        </r>
      </text>
    </comment>
    <comment ref="F9" authorId="0" shapeId="0" xr:uid="{00000000-0006-0000-0000-000007000000}">
      <text>
        <r>
          <rPr>
            <sz val="10"/>
            <color rgb="FF000000"/>
            <rFont val="Arial"/>
            <scheme val="minor"/>
          </rPr>
          <t>~650km/h
~400mph
~Mach 0.53</t>
        </r>
      </text>
    </comment>
    <comment ref="G9" authorId="0" shapeId="0" xr:uid="{00000000-0006-0000-0000-000008000000}">
      <text>
        <r>
          <rPr>
            <sz val="10"/>
            <color rgb="FF000000"/>
            <rFont val="Arial"/>
            <scheme val="minor"/>
          </rPr>
          <t>~740km/h
~460mph
~Mach 0.6</t>
        </r>
      </text>
    </comment>
    <comment ref="H9" authorId="0" shapeId="0" xr:uid="{00000000-0006-0000-0000-000009000000}">
      <text>
        <r>
          <rPr>
            <sz val="10"/>
            <color rgb="FF000000"/>
            <rFont val="Arial"/>
            <scheme val="minor"/>
          </rPr>
          <t>~830km/h
~520mph
~Mach 0.68</t>
        </r>
      </text>
    </comment>
    <comment ref="I9" authorId="0" shapeId="0" xr:uid="{00000000-0006-0000-0000-00000A000000}">
      <text>
        <r>
          <rPr>
            <sz val="10"/>
            <color rgb="FF000000"/>
            <rFont val="Arial"/>
            <scheme val="minor"/>
          </rPr>
          <t>~930km/h
~580mph
~Mach 0.76</t>
        </r>
      </text>
    </comment>
    <comment ref="M9" authorId="0" shapeId="0" xr:uid="{00000000-0006-0000-0000-00000B000000}">
      <text>
        <r>
          <rPr>
            <sz val="10"/>
            <color rgb="FF000000"/>
            <rFont val="Arial"/>
            <scheme val="minor"/>
          </rPr>
          <t>~370km/h 
~230mph
~Mach 0.3</t>
        </r>
      </text>
    </comment>
    <comment ref="N9" authorId="0" shapeId="0" xr:uid="{00000000-0006-0000-0000-00000C000000}">
      <text>
        <r>
          <rPr>
            <sz val="10"/>
            <color rgb="FF000000"/>
            <rFont val="Arial"/>
            <scheme val="minor"/>
          </rPr>
          <t>~460km/h
~290mph
~Mach 0.38</t>
        </r>
      </text>
    </comment>
    <comment ref="O9" authorId="0" shapeId="0" xr:uid="{00000000-0006-0000-0000-00000D000000}">
      <text>
        <r>
          <rPr>
            <sz val="10"/>
            <color rgb="FF000000"/>
            <rFont val="Arial"/>
            <scheme val="minor"/>
          </rPr>
          <t>~560km/h
~350mph
~Mach 0.45</t>
        </r>
      </text>
    </comment>
    <comment ref="P9" authorId="0" shapeId="0" xr:uid="{00000000-0006-0000-0000-00000E000000}">
      <text>
        <r>
          <rPr>
            <sz val="10"/>
            <color rgb="FF000000"/>
            <rFont val="Arial"/>
            <scheme val="minor"/>
          </rPr>
          <t>~650km/h
~400mph
~Mach 0.53</t>
        </r>
      </text>
    </comment>
    <comment ref="Q9" authorId="0" shapeId="0" xr:uid="{00000000-0006-0000-0000-00000F000000}">
      <text>
        <r>
          <rPr>
            <sz val="10"/>
            <color rgb="FF000000"/>
            <rFont val="Arial"/>
            <scheme val="minor"/>
          </rPr>
          <t>~740km/h
~460mph
~Mach 0.6</t>
        </r>
      </text>
    </comment>
    <comment ref="R9" authorId="0" shapeId="0" xr:uid="{00000000-0006-0000-0000-000010000000}">
      <text>
        <r>
          <rPr>
            <sz val="10"/>
            <color rgb="FF000000"/>
            <rFont val="Arial"/>
            <scheme val="minor"/>
          </rPr>
          <t>~830km/h
~520mph
~Mach 0.68</t>
        </r>
      </text>
    </comment>
    <comment ref="S9" authorId="0" shapeId="0" xr:uid="{00000000-0006-0000-0000-000011000000}">
      <text>
        <r>
          <rPr>
            <sz val="10"/>
            <color rgb="FF000000"/>
            <rFont val="Arial"/>
            <scheme val="minor"/>
          </rPr>
          <t>~930km/h
~580mph
~Mach 0.76</t>
        </r>
      </text>
    </comment>
    <comment ref="X9" authorId="0" shapeId="0" xr:uid="{00000000-0006-0000-0000-000012000000}">
      <text>
        <r>
          <rPr>
            <sz val="10"/>
            <color rgb="FF000000"/>
            <rFont val="Arial"/>
            <scheme val="minor"/>
          </rPr>
          <t>~370km/h 
~230mph
~Mach 0.3</t>
        </r>
      </text>
    </comment>
    <comment ref="Y9" authorId="0" shapeId="0" xr:uid="{00000000-0006-0000-0000-000013000000}">
      <text>
        <r>
          <rPr>
            <sz val="10"/>
            <color rgb="FF000000"/>
            <rFont val="Arial"/>
            <scheme val="minor"/>
          </rPr>
          <t>~460km/h
~290mph
~Mach 0.38</t>
        </r>
      </text>
    </comment>
    <comment ref="Z9" authorId="0" shapeId="0" xr:uid="{00000000-0006-0000-0000-000014000000}">
      <text>
        <r>
          <rPr>
            <sz val="10"/>
            <color rgb="FF000000"/>
            <rFont val="Arial"/>
            <scheme val="minor"/>
          </rPr>
          <t>~560km/h
~350mph
~Mach 0.45</t>
        </r>
      </text>
    </comment>
    <comment ref="AA9" authorId="0" shapeId="0" xr:uid="{00000000-0006-0000-0000-000015000000}">
      <text>
        <r>
          <rPr>
            <sz val="10"/>
            <color rgb="FF000000"/>
            <rFont val="Arial"/>
            <scheme val="minor"/>
          </rPr>
          <t>~650km/h
~400mph
~Mach 0.53</t>
        </r>
      </text>
    </comment>
    <comment ref="AB9" authorId="0" shapeId="0" xr:uid="{00000000-0006-0000-0000-000016000000}">
      <text>
        <r>
          <rPr>
            <sz val="10"/>
            <color rgb="FF000000"/>
            <rFont val="Arial"/>
            <scheme val="minor"/>
          </rPr>
          <t>~740km/h
~460mph
~Mach 0.6</t>
        </r>
      </text>
    </comment>
    <comment ref="AC9" authorId="0" shapeId="0" xr:uid="{00000000-0006-0000-0000-000017000000}">
      <text>
        <r>
          <rPr>
            <sz val="10"/>
            <color rgb="FF000000"/>
            <rFont val="Arial"/>
            <scheme val="minor"/>
          </rPr>
          <t>~830km/h
~520mph
~Mach 0.68</t>
        </r>
      </text>
    </comment>
    <comment ref="AD9" authorId="0" shapeId="0" xr:uid="{00000000-0006-0000-0000-000018000000}">
      <text>
        <r>
          <rPr>
            <sz val="10"/>
            <color rgb="FF000000"/>
            <rFont val="Arial"/>
            <scheme val="minor"/>
          </rPr>
          <t>~930km/h
~580mph
~Mach 0.76</t>
        </r>
      </text>
    </comment>
    <comment ref="C23" authorId="0" shapeId="0" xr:uid="{00000000-0006-0000-0000-000019000000}">
      <text>
        <r>
          <rPr>
            <sz val="10"/>
            <color rgb="FF000000"/>
            <rFont val="Arial"/>
            <scheme val="minor"/>
          </rPr>
          <t>Reduced power</t>
        </r>
      </text>
    </comment>
    <comment ref="D23" authorId="0" shapeId="0" xr:uid="{00000000-0006-0000-0000-00001A000000}">
      <text>
        <r>
          <rPr>
            <sz val="10"/>
            <color rgb="FF000000"/>
            <rFont val="Arial"/>
            <scheme val="minor"/>
          </rPr>
          <t>Reduced power</t>
        </r>
      </text>
    </comment>
    <comment ref="I23" authorId="0" shapeId="0" xr:uid="{00000000-0006-0000-0000-00001B000000}">
      <text>
        <r>
          <rPr>
            <sz val="10"/>
            <color rgb="FF000000"/>
            <rFont val="Arial"/>
            <scheme val="minor"/>
          </rPr>
          <t>Breaks its wings around there</t>
        </r>
      </text>
    </comment>
    <comment ref="C24" authorId="0" shapeId="0" xr:uid="{00000000-0006-0000-0000-00001C000000}">
      <text>
        <r>
          <rPr>
            <sz val="10"/>
            <color rgb="FF000000"/>
            <rFont val="Arial"/>
            <scheme val="minor"/>
          </rPr>
          <t>Takeoff flaps
Reduced power</t>
        </r>
      </text>
    </comment>
    <comment ref="D24" authorId="0" shapeId="0" xr:uid="{00000000-0006-0000-0000-00001D000000}">
      <text>
        <r>
          <rPr>
            <sz val="10"/>
            <color rgb="FF000000"/>
            <rFont val="Arial"/>
            <scheme val="minor"/>
          </rPr>
          <t>Reduced power</t>
        </r>
      </text>
    </comment>
    <comment ref="I24" authorId="0" shapeId="0" xr:uid="{00000000-0006-0000-0000-00001E000000}">
      <text>
        <r>
          <rPr>
            <sz val="10"/>
            <color rgb="FF000000"/>
            <rFont val="Arial"/>
            <scheme val="minor"/>
          </rPr>
          <t>Breaks wings</t>
        </r>
      </text>
    </comment>
    <comment ref="C28" authorId="0" shapeId="0" xr:uid="{00000000-0006-0000-0000-00001F000000}">
      <text>
        <r>
          <rPr>
            <sz val="10"/>
            <color rgb="FF000000"/>
            <rFont val="Arial"/>
            <scheme val="minor"/>
          </rPr>
          <t>Takeoff flaps</t>
        </r>
      </text>
    </comment>
    <comment ref="D28" authorId="0" shapeId="0" xr:uid="{00000000-0006-0000-0000-000020000000}">
      <text>
        <r>
          <rPr>
            <sz val="10"/>
            <color rgb="FF000000"/>
            <rFont val="Arial"/>
            <scheme val="minor"/>
          </rPr>
          <t>Takeoff flaps</t>
        </r>
      </text>
    </comment>
    <comment ref="I36" authorId="0" shapeId="0" xr:uid="{00000000-0006-0000-0000-000021000000}">
      <text>
        <r>
          <rPr>
            <sz val="10"/>
            <color rgb="FF000000"/>
            <rFont val="Arial"/>
            <scheme val="minor"/>
          </rPr>
          <t>Wing is gone</t>
        </r>
      </text>
    </comment>
    <comment ref="C44" authorId="0" shapeId="0" xr:uid="{00000000-0006-0000-0000-000022000000}">
      <text>
        <r>
          <rPr>
            <sz val="10"/>
            <color rgb="FF000000"/>
            <rFont val="Arial"/>
            <scheme val="minor"/>
          </rPr>
          <t>Takeoff laps</t>
        </r>
      </text>
    </comment>
    <comment ref="B48" authorId="0" shapeId="0" xr:uid="{00000000-0006-0000-0000-000023000000}">
      <text>
        <r>
          <rPr>
            <sz val="10"/>
            <color rgb="FF000000"/>
            <rFont val="Arial"/>
            <scheme val="minor"/>
          </rPr>
          <t>Uses less draggy gunpod (Mk 11 mod 5)</t>
        </r>
      </text>
    </comment>
    <comment ref="L48" authorId="0" shapeId="0" xr:uid="{00000000-0006-0000-0000-000024000000}">
      <text>
        <r>
          <rPr>
            <sz val="10"/>
            <color rgb="FF000000"/>
            <rFont val="Arial"/>
            <scheme val="minor"/>
          </rPr>
          <t>Uses less draggy gunpod (Mk 11 mod 5)</t>
        </r>
      </text>
    </comment>
    <comment ref="W48" authorId="0" shapeId="0" xr:uid="{00000000-0006-0000-0000-000025000000}">
      <text>
        <r>
          <rPr>
            <sz val="10"/>
            <color rgb="FF000000"/>
            <rFont val="Arial"/>
            <scheme val="minor"/>
          </rPr>
          <t>Uses less draggy gunpod (Mk 11 mod 5)</t>
        </r>
      </text>
    </comment>
    <comment ref="C49" authorId="0" shapeId="0" xr:uid="{00000000-0006-0000-0000-000026000000}">
      <text>
        <r>
          <rPr>
            <sz val="10"/>
            <color rgb="FF000000"/>
            <rFont val="Arial"/>
            <scheme val="minor"/>
          </rPr>
          <t>Reduced power</t>
        </r>
      </text>
    </comment>
    <comment ref="D49" authorId="0" shapeId="0" xr:uid="{00000000-0006-0000-0000-000027000000}">
      <text>
        <r>
          <rPr>
            <sz val="10"/>
            <color rgb="FF000000"/>
            <rFont val="Arial"/>
            <scheme val="minor"/>
          </rPr>
          <t>Reduced power</t>
        </r>
      </text>
    </comment>
    <comment ref="I49" authorId="0" shapeId="0" xr:uid="{00000000-0006-0000-0000-000028000000}">
      <text>
        <r>
          <rPr>
            <sz val="10"/>
            <color rgb="FF000000"/>
            <rFont val="Arial"/>
            <scheme val="minor"/>
          </rPr>
          <t>Breaks its wings around there</t>
        </r>
      </text>
    </comment>
    <comment ref="C50" authorId="0" shapeId="0" xr:uid="{00000000-0006-0000-0000-000029000000}">
      <text>
        <r>
          <rPr>
            <sz val="10"/>
            <color rgb="FF000000"/>
            <rFont val="Arial"/>
            <scheme val="minor"/>
          </rPr>
          <t>Takeoff flaps
Reduced power</t>
        </r>
      </text>
    </comment>
    <comment ref="D50" authorId="0" shapeId="0" xr:uid="{00000000-0006-0000-0000-00002A000000}">
      <text>
        <r>
          <rPr>
            <sz val="10"/>
            <color rgb="FF000000"/>
            <rFont val="Arial"/>
            <scheme val="minor"/>
          </rPr>
          <t>Reduced power</t>
        </r>
      </text>
    </comment>
    <comment ref="I50" authorId="0" shapeId="0" xr:uid="{00000000-0006-0000-0000-00002B000000}">
      <text>
        <r>
          <rPr>
            <sz val="10"/>
            <color rgb="FF000000"/>
            <rFont val="Arial"/>
            <scheme val="minor"/>
          </rPr>
          <t>Breaks wings</t>
        </r>
      </text>
    </comment>
    <comment ref="B51" authorId="0" shapeId="0" xr:uid="{00000000-0006-0000-0000-00002C000000}">
      <text>
        <r>
          <rPr>
            <sz val="10"/>
            <color rgb="FF000000"/>
            <rFont val="Arial"/>
            <scheme val="minor"/>
          </rPr>
          <t>Combat flaps don't decrease the sustained turn rate
Uses less draggy gunpod (Mk 11 mod 5)</t>
        </r>
      </text>
    </comment>
    <comment ref="C51" authorId="0" shapeId="0" xr:uid="{00000000-0006-0000-0000-00002D000000}">
      <text>
        <r>
          <rPr>
            <sz val="10"/>
            <color rgb="FF000000"/>
            <rFont val="Arial"/>
            <scheme val="minor"/>
          </rPr>
          <t>Takeoff flaps</t>
        </r>
      </text>
    </comment>
    <comment ref="L51" authorId="0" shapeId="0" xr:uid="{00000000-0006-0000-0000-00002E000000}">
      <text>
        <r>
          <rPr>
            <sz val="10"/>
            <color rgb="FF000000"/>
            <rFont val="Arial"/>
            <scheme val="minor"/>
          </rPr>
          <t>Combat flaps don't decrease the sustained turn rate
Uses less draggy gunpod (Mk 11 mod 5)</t>
        </r>
      </text>
    </comment>
    <comment ref="W51" authorId="0" shapeId="0" xr:uid="{00000000-0006-0000-0000-00002F000000}">
      <text>
        <r>
          <rPr>
            <sz val="10"/>
            <color rgb="FF000000"/>
            <rFont val="Arial"/>
            <scheme val="minor"/>
          </rPr>
          <t>Combat flaps don't decrease the sustained turn rate
Uses less draggy gunpod (Mk 11 mod 5)</t>
        </r>
      </text>
    </comment>
    <comment ref="B52" authorId="0" shapeId="0" xr:uid="{00000000-0006-0000-0000-000030000000}">
      <text>
        <r>
          <rPr>
            <sz val="10"/>
            <color rgb="FF000000"/>
            <rFont val="Arial"/>
            <scheme val="minor"/>
          </rPr>
          <t>Combat flaps don't decrease the sustained turn rate</t>
        </r>
      </text>
    </comment>
    <comment ref="L52" authorId="0" shapeId="0" xr:uid="{00000000-0006-0000-0000-000031000000}">
      <text>
        <r>
          <rPr>
            <sz val="10"/>
            <color rgb="FF000000"/>
            <rFont val="Arial"/>
            <scheme val="minor"/>
          </rPr>
          <t>Combat flaps don't decrease the sustained turn rate</t>
        </r>
      </text>
    </comment>
    <comment ref="W52" authorId="0" shapeId="0" xr:uid="{00000000-0006-0000-0000-000032000000}">
      <text>
        <r>
          <rPr>
            <sz val="10"/>
            <color rgb="FF000000"/>
            <rFont val="Arial"/>
            <scheme val="minor"/>
          </rPr>
          <t>Combat flaps don't decrease the sustained turn rate</t>
        </r>
      </text>
    </comment>
    <comment ref="B53" authorId="0" shapeId="0" xr:uid="{00000000-0006-0000-0000-000033000000}">
      <text>
        <r>
          <rPr>
            <sz val="10"/>
            <color rgb="FF000000"/>
            <rFont val="Arial"/>
            <scheme val="minor"/>
          </rPr>
          <t>Combat flaps don't decrease the sustained turn rate</t>
        </r>
      </text>
    </comment>
    <comment ref="L53" authorId="0" shapeId="0" xr:uid="{00000000-0006-0000-0000-000034000000}">
      <text>
        <r>
          <rPr>
            <sz val="10"/>
            <color rgb="FF000000"/>
            <rFont val="Arial"/>
            <scheme val="minor"/>
          </rPr>
          <t>Combat flaps don't decrease the sustained turn rate</t>
        </r>
      </text>
    </comment>
    <comment ref="W53" authorId="0" shapeId="0" xr:uid="{00000000-0006-0000-0000-000035000000}">
      <text>
        <r>
          <rPr>
            <sz val="10"/>
            <color rgb="FF000000"/>
            <rFont val="Arial"/>
            <scheme val="minor"/>
          </rPr>
          <t>Combat flaps don't decrease the sustained turn rate</t>
        </r>
      </text>
    </comment>
    <comment ref="B54" authorId="0" shapeId="0" xr:uid="{00000000-0006-0000-0000-000036000000}">
      <text>
        <r>
          <rPr>
            <sz val="10"/>
            <color rgb="FF000000"/>
            <rFont val="Arial"/>
            <scheme val="minor"/>
          </rPr>
          <t>Combat flaps don't decrease the sustained turn rate</t>
        </r>
      </text>
    </comment>
    <comment ref="L54" authorId="0" shapeId="0" xr:uid="{00000000-0006-0000-0000-000037000000}">
      <text>
        <r>
          <rPr>
            <sz val="10"/>
            <color rgb="FF000000"/>
            <rFont val="Arial"/>
            <scheme val="minor"/>
          </rPr>
          <t>Combat flaps don't decrease the sustained turn rate</t>
        </r>
      </text>
    </comment>
    <comment ref="W54" authorId="0" shapeId="0" xr:uid="{00000000-0006-0000-0000-000038000000}">
      <text>
        <r>
          <rPr>
            <sz val="10"/>
            <color rgb="FF000000"/>
            <rFont val="Arial"/>
            <scheme val="minor"/>
          </rPr>
          <t>Combat flaps don't decrease the sustained turn rate</t>
        </r>
      </text>
    </comment>
    <comment ref="C58" authorId="0" shapeId="0" xr:uid="{00000000-0006-0000-0000-000039000000}">
      <text>
        <r>
          <rPr>
            <sz val="10"/>
            <color rgb="FF000000"/>
            <rFont val="Arial"/>
            <scheme val="minor"/>
          </rPr>
          <t>Reduced power</t>
        </r>
      </text>
    </comment>
    <comment ref="D58" authorId="0" shapeId="0" xr:uid="{00000000-0006-0000-0000-00003A000000}">
      <text>
        <r>
          <rPr>
            <sz val="10"/>
            <color rgb="FF000000"/>
            <rFont val="Arial"/>
            <scheme val="minor"/>
          </rPr>
          <t>Reduced power</t>
        </r>
      </text>
    </comment>
    <comment ref="I58" authorId="0" shapeId="0" xr:uid="{00000000-0006-0000-0000-00003B000000}">
      <text>
        <r>
          <rPr>
            <sz val="10"/>
            <color rgb="FF000000"/>
            <rFont val="Arial"/>
            <scheme val="minor"/>
          </rPr>
          <t>Breaks wings</t>
        </r>
      </text>
    </comment>
    <comment ref="C59" authorId="0" shapeId="0" xr:uid="{00000000-0006-0000-0000-00003C000000}">
      <text>
        <r>
          <rPr>
            <sz val="10"/>
            <color rgb="FF000000"/>
            <rFont val="Arial"/>
            <scheme val="minor"/>
          </rPr>
          <t>Takeoff flaps
Reduced power</t>
        </r>
      </text>
    </comment>
    <comment ref="D59" authorId="0" shapeId="0" xr:uid="{00000000-0006-0000-0000-00003D000000}">
      <text>
        <r>
          <rPr>
            <sz val="10"/>
            <color rgb="FF000000"/>
            <rFont val="Arial"/>
            <scheme val="minor"/>
          </rPr>
          <t>Reduced power</t>
        </r>
      </text>
    </comment>
    <comment ref="I59" authorId="0" shapeId="0" xr:uid="{00000000-0006-0000-0000-00003E000000}">
      <text>
        <r>
          <rPr>
            <sz val="10"/>
            <color rgb="FF000000"/>
            <rFont val="Arial"/>
            <scheme val="minor"/>
          </rPr>
          <t>Breaks wings</t>
        </r>
      </text>
    </comment>
    <comment ref="C60" authorId="0" shapeId="0" xr:uid="{00000000-0006-0000-0000-00003F000000}">
      <text>
        <r>
          <rPr>
            <sz val="10"/>
            <color rgb="FF000000"/>
            <rFont val="Arial"/>
            <scheme val="minor"/>
          </rPr>
          <t>Combat flaps</t>
        </r>
      </text>
    </comment>
    <comment ref="C66" authorId="0" shapeId="0" xr:uid="{00000000-0006-0000-0000-000040000000}">
      <text>
        <r>
          <rPr>
            <sz val="10"/>
            <color rgb="FF000000"/>
            <rFont val="Arial"/>
            <scheme val="minor"/>
          </rPr>
          <t>Combat flaps</t>
        </r>
      </text>
    </comment>
    <comment ref="C67" authorId="0" shapeId="0" xr:uid="{00000000-0006-0000-0000-000041000000}">
      <text>
        <r>
          <rPr>
            <sz val="10"/>
            <color rgb="FF000000"/>
            <rFont val="Arial"/>
            <scheme val="minor"/>
          </rPr>
          <t>Takeoff flaps</t>
        </r>
      </text>
    </comment>
    <comment ref="D67" authorId="0" shapeId="0" xr:uid="{00000000-0006-0000-0000-000042000000}">
      <text>
        <r>
          <rPr>
            <sz val="10"/>
            <color rgb="FF000000"/>
            <rFont val="Arial"/>
            <scheme val="minor"/>
          </rPr>
          <t>Takeoff flaps</t>
        </r>
      </text>
    </comment>
    <comment ref="C68" authorId="0" shapeId="0" xr:uid="{00000000-0006-0000-0000-000043000000}">
      <text>
        <r>
          <rPr>
            <sz val="10"/>
            <color rgb="FF000000"/>
            <rFont val="Arial"/>
            <scheme val="minor"/>
          </rPr>
          <t>Takeoff flaps</t>
        </r>
      </text>
    </comment>
    <comment ref="D68" authorId="0" shapeId="0" xr:uid="{00000000-0006-0000-0000-000044000000}">
      <text>
        <r>
          <rPr>
            <sz val="10"/>
            <color rgb="FF000000"/>
            <rFont val="Arial"/>
            <scheme val="minor"/>
          </rPr>
          <t>Takeoff flaps</t>
        </r>
      </text>
    </comment>
    <comment ref="C69" authorId="0" shapeId="0" xr:uid="{00000000-0006-0000-0000-000045000000}">
      <text>
        <r>
          <rPr>
            <sz val="10"/>
            <color rgb="FF000000"/>
            <rFont val="Arial"/>
            <scheme val="minor"/>
          </rPr>
          <t>Takeoff flaps</t>
        </r>
      </text>
    </comment>
    <comment ref="B73" authorId="0" shapeId="0" xr:uid="{00000000-0006-0000-0000-000046000000}">
      <text>
        <r>
          <rPr>
            <sz val="10"/>
            <color rgb="FF000000"/>
            <rFont val="Arial"/>
            <scheme val="minor"/>
          </rPr>
          <t>Uses more draggy gunpod (GAU-4)</t>
        </r>
      </text>
    </comment>
    <comment ref="L73" authorId="0" shapeId="0" xr:uid="{00000000-0006-0000-0000-000047000000}">
      <text>
        <r>
          <rPr>
            <sz val="10"/>
            <color rgb="FF000000"/>
            <rFont val="Arial"/>
            <scheme val="minor"/>
          </rPr>
          <t>Uses more draggy gunpod (GAU-4)</t>
        </r>
      </text>
    </comment>
    <comment ref="W73" authorId="0" shapeId="0" xr:uid="{00000000-0006-0000-0000-000048000000}">
      <text>
        <r>
          <rPr>
            <sz val="10"/>
            <color rgb="FF000000"/>
            <rFont val="Arial"/>
            <scheme val="minor"/>
          </rPr>
          <t>Uses more draggy gunpod (GAU-4)</t>
        </r>
      </text>
    </comment>
    <comment ref="B74" authorId="0" shapeId="0" xr:uid="{00000000-0006-0000-0000-000049000000}">
      <text>
        <r>
          <rPr>
            <sz val="10"/>
            <color rgb="FF000000"/>
            <rFont val="Arial"/>
            <scheme val="minor"/>
          </rPr>
          <t>Uses more draggy gunpod (GAU-4)</t>
        </r>
      </text>
    </comment>
    <comment ref="L74" authorId="0" shapeId="0" xr:uid="{00000000-0006-0000-0000-00004A000000}">
      <text>
        <r>
          <rPr>
            <sz val="10"/>
            <color rgb="FF000000"/>
            <rFont val="Arial"/>
            <scheme val="minor"/>
          </rPr>
          <t>Uses more draggy gunpod (GAU-4)</t>
        </r>
      </text>
    </comment>
    <comment ref="W74" authorId="0" shapeId="0" xr:uid="{00000000-0006-0000-0000-00004B000000}">
      <text>
        <r>
          <rPr>
            <sz val="10"/>
            <color rgb="FF000000"/>
            <rFont val="Arial"/>
            <scheme val="minor"/>
          </rPr>
          <t>Uses more draggy gunpod (GAU-4)</t>
        </r>
      </text>
    </comment>
    <comment ref="C75" authorId="0" shapeId="0" xr:uid="{00000000-0006-0000-0000-00004C000000}">
      <text>
        <r>
          <rPr>
            <sz val="10"/>
            <color rgb="FF000000"/>
            <rFont val="Arial"/>
            <scheme val="minor"/>
          </rPr>
          <t>Takeoff flaps</t>
        </r>
      </text>
    </comment>
    <comment ref="C79" authorId="0" shapeId="0" xr:uid="{00000000-0006-0000-0000-00004D000000}">
      <text>
        <r>
          <rPr>
            <sz val="10"/>
            <color rgb="FF000000"/>
            <rFont val="Arial"/>
            <scheme val="minor"/>
          </rPr>
          <t>Takeoff flaps</t>
        </r>
      </text>
    </comment>
    <comment ref="D79" authorId="0" shapeId="0" xr:uid="{00000000-0006-0000-0000-00004E000000}">
      <text>
        <r>
          <rPr>
            <sz val="10"/>
            <color rgb="FF000000"/>
            <rFont val="Arial"/>
            <scheme val="minor"/>
          </rPr>
          <t>Takeoff flaps</t>
        </r>
      </text>
    </comment>
    <comment ref="C80" authorId="0" shapeId="0" xr:uid="{00000000-0006-0000-0000-00004F000000}">
      <text>
        <r>
          <rPr>
            <sz val="10"/>
            <color rgb="FF000000"/>
            <rFont val="Arial"/>
            <scheme val="minor"/>
          </rPr>
          <t>Takeoff flaps</t>
        </r>
      </text>
    </comment>
    <comment ref="D80" authorId="0" shapeId="0" xr:uid="{00000000-0006-0000-0000-000050000000}">
      <text>
        <r>
          <rPr>
            <sz val="10"/>
            <color rgb="FF000000"/>
            <rFont val="Arial"/>
            <scheme val="minor"/>
          </rPr>
          <t>Takeoff flaps</t>
        </r>
      </text>
    </comment>
    <comment ref="C81" authorId="0" shapeId="0" xr:uid="{00000000-0006-0000-0000-000051000000}">
      <text>
        <r>
          <rPr>
            <sz val="10"/>
            <color rgb="FF000000"/>
            <rFont val="Arial"/>
            <scheme val="minor"/>
          </rPr>
          <t>Takeoff laps</t>
        </r>
      </text>
    </comment>
    <comment ref="C82" authorId="0" shapeId="0" xr:uid="{00000000-0006-0000-0000-000052000000}">
      <text>
        <r>
          <rPr>
            <sz val="10"/>
            <color rgb="FF000000"/>
            <rFont val="Arial"/>
            <scheme val="minor"/>
          </rPr>
          <t>Takeoff flaps</t>
        </r>
      </text>
    </comment>
    <comment ref="B90" authorId="0" shapeId="0" xr:uid="{00000000-0006-0000-0000-000053000000}">
      <text>
        <r>
          <rPr>
            <sz val="10"/>
            <color rgb="FF000000"/>
            <rFont val="Arial"/>
            <scheme val="minor"/>
          </rPr>
          <t>Uses more draggy gunpod (GAU-4)</t>
        </r>
      </text>
    </comment>
    <comment ref="L90" authorId="0" shapeId="0" xr:uid="{00000000-0006-0000-0000-000054000000}">
      <text>
        <r>
          <rPr>
            <sz val="10"/>
            <color rgb="FF000000"/>
            <rFont val="Arial"/>
            <scheme val="minor"/>
          </rPr>
          <t>Uses more draggy gunpod (GAU-4)</t>
        </r>
      </text>
    </comment>
    <comment ref="W90" authorId="0" shapeId="0" xr:uid="{00000000-0006-0000-0000-000055000000}">
      <text>
        <r>
          <rPr>
            <sz val="10"/>
            <color rgb="FF000000"/>
            <rFont val="Arial"/>
            <scheme val="minor"/>
          </rPr>
          <t>Uses more draggy gunpod (GAU-4)</t>
        </r>
      </text>
    </comment>
    <comment ref="B91" authorId="0" shapeId="0" xr:uid="{00000000-0006-0000-0000-000056000000}">
      <text>
        <r>
          <rPr>
            <sz val="10"/>
            <color rgb="FF000000"/>
            <rFont val="Arial"/>
            <scheme val="minor"/>
          </rPr>
          <t>Combat flaps don't decrease the sustained turn rate</t>
        </r>
      </text>
    </comment>
    <comment ref="L91" authorId="0" shapeId="0" xr:uid="{00000000-0006-0000-0000-000057000000}">
      <text>
        <r>
          <rPr>
            <sz val="10"/>
            <color rgb="FF000000"/>
            <rFont val="Arial"/>
            <scheme val="minor"/>
          </rPr>
          <t>Combat flaps don't decrease the sustained turn rate</t>
        </r>
      </text>
    </comment>
    <comment ref="W91" authorId="0" shapeId="0" xr:uid="{00000000-0006-0000-0000-000058000000}">
      <text>
        <r>
          <rPr>
            <sz val="10"/>
            <color rgb="FF000000"/>
            <rFont val="Arial"/>
            <scheme val="minor"/>
          </rPr>
          <t>Combat flaps don't decrease the sustained turn rate</t>
        </r>
      </text>
    </comment>
    <comment ref="C94" authorId="0" shapeId="0" xr:uid="{00000000-0006-0000-0000-000059000000}">
      <text>
        <r>
          <rPr>
            <sz val="10"/>
            <color rgb="FF000000"/>
            <rFont val="Arial"/>
            <scheme val="minor"/>
          </rPr>
          <t>Takeoff laps</t>
        </r>
      </text>
    </comment>
    <comment ref="C95" authorId="0" shapeId="0" xr:uid="{00000000-0006-0000-0000-00005A000000}">
      <text>
        <r>
          <rPr>
            <sz val="10"/>
            <color rgb="FF000000"/>
            <rFont val="Arial"/>
            <scheme val="minor"/>
          </rPr>
          <t>Takeoff laps</t>
        </r>
      </text>
    </comment>
    <comment ref="C96" authorId="0" shapeId="0" xr:uid="{00000000-0006-0000-0000-00005B000000}">
      <text>
        <r>
          <rPr>
            <sz val="10"/>
            <color rgb="FF000000"/>
            <rFont val="Arial"/>
            <scheme val="minor"/>
          </rPr>
          <t>Takeoff flaps</t>
        </r>
      </text>
    </comment>
    <comment ref="D96" authorId="0" shapeId="0" xr:uid="{00000000-0006-0000-0000-00005C000000}">
      <text>
        <r>
          <rPr>
            <sz val="10"/>
            <color rgb="FF000000"/>
            <rFont val="Arial"/>
            <scheme val="minor"/>
          </rPr>
          <t>Takeoff flaps</t>
        </r>
      </text>
    </comment>
    <comment ref="C97" authorId="0" shapeId="0" xr:uid="{00000000-0006-0000-0000-00005D000000}">
      <text>
        <r>
          <rPr>
            <sz val="10"/>
            <color rgb="FF000000"/>
            <rFont val="Arial"/>
            <scheme val="minor"/>
          </rPr>
          <t>Combat Flaps</t>
        </r>
      </text>
    </comment>
    <comment ref="C104" authorId="0" shapeId="0" xr:uid="{00000000-0006-0000-0000-00005E000000}">
      <text>
        <r>
          <rPr>
            <sz val="10"/>
            <color rgb="FF000000"/>
            <rFont val="Arial"/>
            <scheme val="minor"/>
          </rPr>
          <t>Combat flaps</t>
        </r>
      </text>
    </comment>
    <comment ref="D104" authorId="0" shapeId="0" xr:uid="{00000000-0006-0000-0000-00005F000000}">
      <text>
        <r>
          <rPr>
            <sz val="10"/>
            <color rgb="FF000000"/>
            <rFont val="Arial"/>
            <scheme val="minor"/>
          </rPr>
          <t>Combat flaps 
Higher turn rate by 0.2G</t>
        </r>
      </text>
    </comment>
    <comment ref="C113" authorId="0" shapeId="0" xr:uid="{00000000-0006-0000-0000-000060000000}">
      <text>
        <r>
          <rPr>
            <sz val="10"/>
            <color rgb="FF000000"/>
            <rFont val="Arial"/>
            <scheme val="minor"/>
          </rPr>
          <t>Combat flaps</t>
        </r>
      </text>
    </comment>
    <comment ref="D113" authorId="0" shapeId="0" xr:uid="{00000000-0006-0000-0000-000061000000}">
      <text>
        <r>
          <rPr>
            <sz val="10"/>
            <color rgb="FF000000"/>
            <rFont val="Arial"/>
            <scheme val="minor"/>
          </rPr>
          <t>Combat flaps 
Higher turn rate by 0.1G</t>
        </r>
      </text>
    </comment>
    <comment ref="C114" authorId="0" shapeId="0" xr:uid="{00000000-0006-0000-0000-000062000000}">
      <text>
        <r>
          <rPr>
            <sz val="10"/>
            <color rgb="FF000000"/>
            <rFont val="Arial"/>
            <scheme val="minor"/>
          </rPr>
          <t>Takeoff laps</t>
        </r>
      </text>
    </comment>
    <comment ref="C122" authorId="0" shapeId="0" xr:uid="{00000000-0006-0000-0000-000063000000}">
      <text>
        <r>
          <rPr>
            <sz val="10"/>
            <color rgb="FF000000"/>
            <rFont val="Arial"/>
            <scheme val="minor"/>
          </rPr>
          <t>Combat flaps</t>
        </r>
      </text>
    </comment>
    <comment ref="D122" authorId="0" shapeId="0" xr:uid="{00000000-0006-0000-0000-000064000000}">
      <text>
        <r>
          <rPr>
            <sz val="10"/>
            <color rgb="FF000000"/>
            <rFont val="Arial"/>
            <scheme val="minor"/>
          </rPr>
          <t>Combat flaps</t>
        </r>
      </text>
    </comment>
    <comment ref="D128" authorId="0" shapeId="0" xr:uid="{00000000-0006-0000-0000-000065000000}">
      <text>
        <r>
          <rPr>
            <sz val="10"/>
            <color rgb="FF000000"/>
            <rFont val="Arial"/>
            <scheme val="minor"/>
          </rPr>
          <t>Takeoff flaps
Turn rate worse by 0.1G when not using flaps, but the plane is more stable without them</t>
        </r>
      </text>
    </comment>
    <comment ref="C130" authorId="0" shapeId="0" xr:uid="{00000000-0006-0000-0000-000066000000}">
      <text>
        <r>
          <rPr>
            <sz val="10"/>
            <color rgb="FF000000"/>
            <rFont val="Arial"/>
            <scheme val="minor"/>
          </rPr>
          <t>Takeoff flaps</t>
        </r>
      </text>
    </comment>
    <comment ref="D130" authorId="0" shapeId="0" xr:uid="{00000000-0006-0000-0000-000067000000}">
      <text>
        <r>
          <rPr>
            <sz val="10"/>
            <color rgb="FF000000"/>
            <rFont val="Arial"/>
            <scheme val="minor"/>
          </rPr>
          <t>Takeoff flaps</t>
        </r>
      </text>
    </comment>
    <comment ref="D131" authorId="0" shapeId="0" xr:uid="{00000000-0006-0000-0000-000068000000}">
      <text>
        <r>
          <rPr>
            <sz val="10"/>
            <color rgb="FF000000"/>
            <rFont val="Arial"/>
            <scheme val="minor"/>
          </rPr>
          <t>Takeoff flaps
Turn rate worse by 0.1G when not using flaps, but the plane is more stable without them</t>
        </r>
      </text>
    </comment>
    <comment ref="C138" authorId="0" shapeId="0" xr:uid="{00000000-0006-0000-0000-000069000000}">
      <text>
        <r>
          <rPr>
            <sz val="10"/>
            <color rgb="FF000000"/>
            <rFont val="Arial"/>
            <scheme val="minor"/>
          </rPr>
          <t>Takeoff flaps</t>
        </r>
      </text>
    </comment>
    <comment ref="C146" authorId="0" shapeId="0" xr:uid="{00000000-0006-0000-0000-00006A000000}">
      <text>
        <r>
          <rPr>
            <sz val="10"/>
            <color rgb="FF000000"/>
            <rFont val="Arial"/>
            <scheme val="minor"/>
          </rPr>
          <t>Takeoff flaps
Not stable / hard to control</t>
        </r>
      </text>
    </comment>
    <comment ref="C160" authorId="0" shapeId="0" xr:uid="{00000000-0006-0000-0000-00006B000000}">
      <text>
        <r>
          <rPr>
            <sz val="10"/>
            <color rgb="FF000000"/>
            <rFont val="Arial"/>
            <scheme val="minor"/>
          </rPr>
          <t>Landing flaps
Worse turn rate by 0.1G without flaps and less stable</t>
        </r>
      </text>
    </comment>
    <comment ref="C166" authorId="0" shapeId="0" xr:uid="{00000000-0006-0000-0000-00006C000000}">
      <text>
        <r>
          <rPr>
            <sz val="10"/>
            <color rgb="FF000000"/>
            <rFont val="Arial"/>
            <scheme val="minor"/>
          </rPr>
          <t>With flaps, can't be tested out without them</t>
        </r>
      </text>
    </comment>
    <comment ref="C172" authorId="0" shapeId="0" xr:uid="{00000000-0006-0000-0000-00006D000000}">
      <text>
        <r>
          <rPr>
            <sz val="10"/>
            <color rgb="FF000000"/>
            <rFont val="Arial"/>
            <scheme val="minor"/>
          </rPr>
          <t>With flaps, can't be tested out without them</t>
        </r>
      </text>
    </comment>
    <comment ref="C179" authorId="0" shapeId="0" xr:uid="{00000000-0006-0000-0000-00006E000000}">
      <text>
        <r>
          <rPr>
            <sz val="10"/>
            <color rgb="FF000000"/>
            <rFont val="Arial"/>
            <scheme val="minor"/>
          </rPr>
          <t>With flaps, can't be tested out without them</t>
        </r>
      </text>
    </comment>
    <comment ref="C181" authorId="0" shapeId="0" xr:uid="{00000000-0006-0000-0000-00006F000000}">
      <text>
        <r>
          <rPr>
            <sz val="10"/>
            <color rgb="FF000000"/>
            <rFont val="Arial"/>
            <scheme val="minor"/>
          </rPr>
          <t>Combat flaps: 14.24 deg/s</t>
        </r>
      </text>
    </comment>
    <comment ref="D181" authorId="0" shapeId="0" xr:uid="{00000000-0006-0000-0000-000070000000}">
      <text>
        <r>
          <rPr>
            <sz val="10"/>
            <color rgb="FF000000"/>
            <rFont val="Arial"/>
            <scheme val="minor"/>
          </rPr>
          <t>Combat flaps: 15.24 deg/s</t>
        </r>
      </text>
    </comment>
    <comment ref="C192" authorId="0" shapeId="0" xr:uid="{00000000-0006-0000-0000-000071000000}">
      <text>
        <r>
          <rPr>
            <sz val="10"/>
            <color rgb="FF000000"/>
            <rFont val="Arial"/>
            <scheme val="minor"/>
          </rPr>
          <t>With flaps, can't be tested out without them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300-000001000000}">
      <text>
        <r>
          <rPr>
            <sz val="10"/>
            <color rgb="FF000000"/>
            <rFont val="Arial"/>
            <scheme val="minor"/>
          </rPr>
          <t>Airframe-limited, even with a full missile loadout. Has the thrust to exceed this speed but will rip trying to do so</t>
        </r>
      </text>
    </comment>
    <comment ref="D4" authorId="0" shapeId="0" xr:uid="{00000000-0006-0000-0300-000002000000}">
      <text>
        <r>
          <rPr>
            <sz val="10"/>
            <color rgb="FF000000"/>
            <rFont val="Arial"/>
            <scheme val="minor"/>
          </rPr>
          <t>Airframe-limited even with full missile loadout. Has thrust to exceed this speed but rips doing so</t>
        </r>
      </text>
    </comment>
    <comment ref="C8" authorId="0" shapeId="0" xr:uid="{00000000-0006-0000-0300-000003000000}">
      <text>
        <r>
          <rPr>
            <sz val="10"/>
            <color rgb="FF000000"/>
            <rFont val="Arial"/>
            <scheme val="minor"/>
          </rPr>
          <t>completely clean, no BOL pods</t>
        </r>
      </text>
    </comment>
    <comment ref="D8" authorId="0" shapeId="0" xr:uid="{00000000-0006-0000-0300-000004000000}">
      <text>
        <r>
          <rPr>
            <sz val="10"/>
            <color rgb="FF000000"/>
            <rFont val="Arial"/>
            <scheme val="minor"/>
          </rPr>
          <t>completely clean, no BOL pods</t>
        </r>
      </text>
    </comment>
    <comment ref="J9" authorId="0" shapeId="0" xr:uid="{00000000-0006-0000-0300-000005000000}">
      <text>
        <r>
          <rPr>
            <sz val="10"/>
            <color rgb="FF000000"/>
            <rFont val="Arial"/>
            <scheme val="minor"/>
          </rPr>
          <t>@ mach 1 sea level (667 kt, 1235 kmh, 767 mph, 343 m/s)</t>
        </r>
      </text>
    </comment>
    <comment ref="K9" authorId="0" shapeId="0" xr:uid="{00000000-0006-0000-0300-000006000000}">
      <text>
        <r>
          <rPr>
            <sz val="10"/>
            <color rgb="FF000000"/>
            <rFont val="Arial"/>
            <scheme val="minor"/>
          </rPr>
          <t>@ mach 1 sea level (667 kt, 1235 kmh, 767 mph, 343 m/s)</t>
        </r>
      </text>
    </comment>
    <comment ref="C14" authorId="0" shapeId="0" xr:uid="{00000000-0006-0000-0300-000007000000}">
      <text>
        <r>
          <rPr>
            <sz val="10"/>
            <color rgb="FF000000"/>
            <rFont val="Arial"/>
            <scheme val="minor"/>
          </rPr>
          <t>airframe-limited</t>
        </r>
      </text>
    </comment>
    <comment ref="D14" authorId="0" shapeId="0" xr:uid="{00000000-0006-0000-0300-000008000000}">
      <text>
        <r>
          <rPr>
            <sz val="10"/>
            <color rgb="FF000000"/>
            <rFont val="Arial"/>
            <scheme val="minor"/>
          </rPr>
          <t>airframe-limited</t>
        </r>
      </text>
    </comment>
    <comment ref="C15" authorId="0" shapeId="0" xr:uid="{00000000-0006-0000-0300-000009000000}">
      <text>
        <r>
          <rPr>
            <sz val="10"/>
            <color rgb="FF000000"/>
            <rFont val="Arial"/>
            <scheme val="minor"/>
          </rPr>
          <t xml:space="preserve">956mph with 2xCM pod
</t>
        </r>
      </text>
    </comment>
    <comment ref="D15" authorId="0" shapeId="0" xr:uid="{00000000-0006-0000-0300-00000A000000}">
      <text>
        <r>
          <rPr>
            <sz val="10"/>
            <color rgb="FF000000"/>
            <rFont val="Arial"/>
            <scheme val="minor"/>
          </rPr>
          <t>1539kph with 2xCM pod</t>
        </r>
      </text>
    </comment>
    <comment ref="C16" authorId="0" shapeId="0" xr:uid="{00000000-0006-0000-0300-00000B000000}">
      <text>
        <r>
          <rPr>
            <sz val="10"/>
            <color rgb="FF000000"/>
            <rFont val="Arial"/>
            <scheme val="minor"/>
          </rPr>
          <t>907mph with 2xAIM-9M + 4xAIM-9L</t>
        </r>
      </text>
    </comment>
    <comment ref="D16" authorId="0" shapeId="0" xr:uid="{00000000-0006-0000-0300-00000C000000}">
      <text>
        <r>
          <rPr>
            <sz val="10"/>
            <color rgb="FF000000"/>
            <rFont val="Arial"/>
            <scheme val="minor"/>
          </rPr>
          <t>1460kph with 2xAIM-9M + 4xAIM-9L
slightly slower probably bc of drag from larger elevators</t>
        </r>
      </text>
    </comment>
    <comment ref="C17" authorId="0" shapeId="0" xr:uid="{00000000-0006-0000-0300-00000D000000}">
      <text>
        <r>
          <rPr>
            <sz val="10"/>
            <color rgb="FF000000"/>
            <rFont val="Arial"/>
            <scheme val="minor"/>
          </rPr>
          <t>completely clean, no BOL pods</t>
        </r>
      </text>
    </comment>
    <comment ref="D17" authorId="0" shapeId="0" xr:uid="{00000000-0006-0000-0300-00000E000000}">
      <text>
        <r>
          <rPr>
            <sz val="10"/>
            <color rgb="FF000000"/>
            <rFont val="Arial"/>
            <scheme val="minor"/>
          </rPr>
          <t>completely clean, no BOL pods</t>
        </r>
      </text>
    </comment>
    <comment ref="C18" authorId="0" shapeId="0" xr:uid="{00000000-0006-0000-0300-00000F000000}">
      <text>
        <r>
          <rPr>
            <sz val="10"/>
            <color rgb="FF000000"/>
            <rFont val="Arial"/>
            <scheme val="minor"/>
          </rPr>
          <t>886mph with 4xAIM-7M + 4xAIM-9M</t>
        </r>
      </text>
    </comment>
    <comment ref="D18" authorId="0" shapeId="0" xr:uid="{00000000-0006-0000-0300-000010000000}">
      <text>
        <r>
          <rPr>
            <sz val="10"/>
            <color rgb="FF000000"/>
            <rFont val="Arial"/>
            <scheme val="minor"/>
          </rPr>
          <t>1426kph with 4xAIM-7M + 4xAIM-9M</t>
        </r>
      </text>
    </comment>
    <comment ref="C19" authorId="0" shapeId="0" xr:uid="{00000000-0006-0000-0300-000011000000}">
      <text>
        <r>
          <rPr>
            <sz val="10"/>
            <color rgb="FF000000"/>
            <rFont val="Arial"/>
            <scheme val="minor"/>
          </rPr>
          <t>airframe-limited even with a full missile loadout. Has thrust to exceed this speed but will rip doing so</t>
        </r>
      </text>
    </comment>
    <comment ref="D19" authorId="0" shapeId="0" xr:uid="{00000000-0006-0000-0300-000012000000}">
      <text>
        <r>
          <rPr>
            <sz val="10"/>
            <color rgb="FF000000"/>
            <rFont val="Arial"/>
            <scheme val="minor"/>
          </rPr>
          <t>airframe-limited even with a full missile loadout. Has thrust to exceed this speed but will rip doing so</t>
        </r>
      </text>
    </comment>
    <comment ref="C20" authorId="0" shapeId="0" xr:uid="{00000000-0006-0000-0300-000013000000}">
      <text>
        <r>
          <rPr>
            <sz val="10"/>
            <color rgb="FF000000"/>
            <rFont val="Arial"/>
            <scheme val="minor"/>
          </rPr>
          <t>with 25mm gunpod on WEP
703mph with gunpod 100%</t>
        </r>
      </text>
    </comment>
    <comment ref="D20" authorId="0" shapeId="0" xr:uid="{00000000-0006-0000-0300-000014000000}">
      <text>
        <r>
          <rPr>
            <sz val="10"/>
            <color rgb="FF000000"/>
            <rFont val="Arial"/>
            <scheme val="minor"/>
          </rPr>
          <t>with 25mm gunpod on WEP
1132kph with gunpod 100%</t>
        </r>
      </text>
    </comment>
    <comment ref="C22" authorId="0" shapeId="0" xr:uid="{00000000-0006-0000-0300-000015000000}">
      <text>
        <r>
          <rPr>
            <sz val="10"/>
            <color rgb="FF000000"/>
            <rFont val="Arial"/>
            <scheme val="minor"/>
          </rPr>
          <t>Airframe-limited when clean. Has the thrust to exceed this speed but will rip trying to do so</t>
        </r>
      </text>
    </comment>
    <comment ref="D22" authorId="0" shapeId="0" xr:uid="{00000000-0006-0000-0300-000016000000}">
      <text>
        <r>
          <rPr>
            <sz val="10"/>
            <color rgb="FF000000"/>
            <rFont val="Arial"/>
            <scheme val="minor"/>
          </rPr>
          <t>Airframe-limited when clean. Has the thrust to exceed this speed but will rip trying to do so</t>
        </r>
      </text>
    </comment>
    <comment ref="C23" authorId="0" shapeId="0" xr:uid="{00000000-0006-0000-0300-000017000000}">
      <text>
        <r>
          <rPr>
            <sz val="10"/>
            <color rgb="FF000000"/>
            <rFont val="Arial"/>
            <scheme val="minor"/>
          </rPr>
          <t>912mph with 6xAIM-9L</t>
        </r>
      </text>
    </comment>
    <comment ref="D23" authorId="0" shapeId="0" xr:uid="{00000000-0006-0000-0300-000018000000}">
      <text>
        <r>
          <rPr>
            <sz val="10"/>
            <color rgb="FF000000"/>
            <rFont val="Arial"/>
            <scheme val="minor"/>
          </rPr>
          <t>1468kph with 6xAIM-9L</t>
        </r>
      </text>
    </comment>
    <comment ref="C24" authorId="0" shapeId="0" xr:uid="{00000000-0006-0000-0300-000019000000}">
      <text>
        <r>
          <rPr>
            <sz val="10"/>
            <color rgb="FF000000"/>
            <rFont val="Arial"/>
            <scheme val="minor"/>
          </rPr>
          <t>841mph with 2xAIM-54C + 4xAIM-7M + 2xAIM-9L + 2xCM pods</t>
        </r>
      </text>
    </comment>
    <comment ref="D24" authorId="0" shapeId="0" xr:uid="{00000000-0006-0000-0300-00001A000000}">
      <text>
        <r>
          <rPr>
            <sz val="10"/>
            <color rgb="FF000000"/>
            <rFont val="Arial"/>
            <scheme val="minor"/>
          </rPr>
          <t>1353kph with 2xAIM-54C + 4xAIM-7M + 2xAIM-9L + 2xCM pods</t>
        </r>
      </text>
    </comment>
    <comment ref="C27" authorId="0" shapeId="0" xr:uid="{00000000-0006-0000-0300-00001B000000}">
      <text>
        <r>
          <rPr>
            <sz val="10"/>
            <color rgb="FF000000"/>
            <rFont val="Arial"/>
            <scheme val="minor"/>
          </rPr>
          <t>Airframe-limited, even with a full missile loadout. Has the thrust to exceed this speed but will rip trying to do so</t>
        </r>
      </text>
    </comment>
    <comment ref="D27" authorId="0" shapeId="0" xr:uid="{00000000-0006-0000-0300-00001C000000}">
      <text>
        <r>
          <rPr>
            <sz val="10"/>
            <color rgb="FF000000"/>
            <rFont val="Arial"/>
            <scheme val="minor"/>
          </rPr>
          <t>Airframe-limited even with full missile loadout. Has thrust to exceed this speed but rips doing so</t>
        </r>
      </text>
    </comment>
    <comment ref="C28" authorId="0" shapeId="0" xr:uid="{00000000-0006-0000-0300-00001D000000}">
      <text>
        <r>
          <rPr>
            <sz val="10"/>
            <color rgb="FF000000"/>
            <rFont val="Arial"/>
            <scheme val="minor"/>
          </rPr>
          <t>889mph with 2xAIM-54 + 4xAIM-7F + 2xAIM-9G</t>
        </r>
      </text>
    </comment>
    <comment ref="D28" authorId="0" shapeId="0" xr:uid="{00000000-0006-0000-0300-00001E000000}">
      <text>
        <r>
          <rPr>
            <sz val="10"/>
            <color rgb="FF000000"/>
            <rFont val="Arial"/>
            <scheme val="minor"/>
          </rPr>
          <t>1430kph with 2xAIM-54 + 4xAIM-7F + 2xAIM-9G</t>
        </r>
      </text>
    </comment>
    <comment ref="C29" authorId="0" shapeId="0" xr:uid="{00000000-0006-0000-0300-00001F000000}">
      <text>
        <r>
          <rPr>
            <sz val="10"/>
            <color rgb="FF000000"/>
            <rFont val="Arial"/>
            <scheme val="minor"/>
          </rPr>
          <t>845mph with 4xAIM-7E + 4xAIM-9P</t>
        </r>
      </text>
    </comment>
    <comment ref="D29" authorId="0" shapeId="0" xr:uid="{00000000-0006-0000-0300-000020000000}">
      <text>
        <r>
          <rPr>
            <sz val="10"/>
            <color rgb="FF000000"/>
            <rFont val="Arial"/>
            <scheme val="minor"/>
          </rPr>
          <t>1360kph with 4xAIM-7E + 4xAIM-9P</t>
        </r>
      </text>
    </comment>
    <comment ref="C30" authorId="0" shapeId="0" xr:uid="{00000000-0006-0000-0300-000021000000}">
      <text>
        <r>
          <rPr>
            <sz val="10"/>
            <color rgb="FF000000"/>
            <rFont val="Arial"/>
            <scheme val="minor"/>
          </rPr>
          <t>Airframe-limited even with full missile loadout (2xR-13M1 + 4xR-60M). Has the thrust to exceed this speed but will rip trying to do so</t>
        </r>
      </text>
    </comment>
    <comment ref="D30" authorId="0" shapeId="0" xr:uid="{00000000-0006-0000-0300-000022000000}">
      <text>
        <r>
          <rPr>
            <sz val="10"/>
            <color rgb="FF000000"/>
            <rFont val="Arial"/>
            <scheme val="minor"/>
          </rPr>
          <t>Airframe-limited even with full missile loadout (2xR-13M1 + 4xR-60M). Has the thrust to exceed this speed but will rip trying to do so</t>
        </r>
      </text>
    </comment>
    <comment ref="C31" authorId="0" shapeId="0" xr:uid="{00000000-0006-0000-0300-000023000000}">
      <text>
        <r>
          <rPr>
            <sz val="10"/>
            <color rgb="FF000000"/>
            <rFont val="Arial"/>
            <scheme val="minor"/>
          </rPr>
          <t>airframe-limited, even with a full missile loadout. Has thrust to exceed this speed but will rip doing so</t>
        </r>
      </text>
    </comment>
    <comment ref="D31" authorId="0" shapeId="0" xr:uid="{00000000-0006-0000-0300-000024000000}">
      <text>
        <r>
          <rPr>
            <sz val="10"/>
            <color rgb="FF000000"/>
            <rFont val="Arial"/>
            <scheme val="minor"/>
          </rPr>
          <t>airframe-limited, even with a full missile loadout. Has thrust to exceed this speed but will rip doing so</t>
        </r>
      </text>
    </comment>
    <comment ref="C32" authorId="0" shapeId="0" xr:uid="{00000000-0006-0000-0300-000025000000}">
      <text>
        <r>
          <rPr>
            <sz val="10"/>
            <color rgb="FF000000"/>
            <rFont val="Arial"/>
            <scheme val="minor"/>
          </rPr>
          <t>on WEP with clean wings and 2x30mm ADEN
696mph on 100%</t>
        </r>
      </text>
    </comment>
    <comment ref="D32" authorId="0" shapeId="0" xr:uid="{00000000-0006-0000-0300-000026000000}">
      <text>
        <r>
          <rPr>
            <sz val="10"/>
            <color rgb="FF000000"/>
            <rFont val="Arial"/>
            <scheme val="minor"/>
          </rPr>
          <t>on WEP with clean wings and 2x30mm ADEN
1120kph on 100%</t>
        </r>
      </text>
    </comment>
    <comment ref="B34" authorId="0" shapeId="0" xr:uid="{00000000-0006-0000-0300-000027000000}">
      <text>
        <r>
          <rPr>
            <sz val="10"/>
            <color rgb="FF000000"/>
            <rFont val="Arial"/>
            <scheme val="minor"/>
          </rPr>
          <t>Combat flaps don't decrease the sustained turn rate</t>
        </r>
      </text>
    </comment>
    <comment ref="C34" authorId="0" shapeId="0" xr:uid="{00000000-0006-0000-0300-000028000000}">
      <text>
        <r>
          <rPr>
            <sz val="10"/>
            <color rgb="FF000000"/>
            <rFont val="Arial"/>
            <scheme val="minor"/>
          </rPr>
          <t>861mph with 4xAIM-7E-2 + 4xAIM-9J</t>
        </r>
      </text>
    </comment>
    <comment ref="D34" authorId="0" shapeId="0" xr:uid="{00000000-0006-0000-0300-000029000000}">
      <text>
        <r>
          <rPr>
            <sz val="10"/>
            <color rgb="FF000000"/>
            <rFont val="Arial"/>
            <scheme val="minor"/>
          </rPr>
          <t>1386kph with 4xAIM-7E-2 + 4xAIM-9J</t>
        </r>
      </text>
    </comment>
    <comment ref="B35" authorId="0" shapeId="0" xr:uid="{00000000-0006-0000-0300-00002A000000}">
      <text>
        <r>
          <rPr>
            <sz val="10"/>
            <color rgb="FF000000"/>
            <rFont val="Arial"/>
            <scheme val="minor"/>
          </rPr>
          <t>Combat flaps don't decrease the sustained turn rate
Uses less draggy gunpod (Mk 11 mod 5)</t>
        </r>
      </text>
    </comment>
    <comment ref="C35" authorId="0" shapeId="0" xr:uid="{00000000-0006-0000-0300-00002B000000}">
      <text>
        <r>
          <rPr>
            <sz val="10"/>
            <color rgb="FF000000"/>
            <rFont val="Arial"/>
            <scheme val="minor"/>
          </rPr>
          <t>854mph with 4xAIM-7F + 4xAIM-9G
823mph with 4xAIM-7F + 4xAIM-9G + gunpod</t>
        </r>
      </text>
    </comment>
    <comment ref="D35" authorId="0" shapeId="0" xr:uid="{00000000-0006-0000-0300-00002C000000}">
      <text>
        <r>
          <rPr>
            <sz val="10"/>
            <color rgb="FF000000"/>
            <rFont val="Arial"/>
            <scheme val="minor"/>
          </rPr>
          <t>1375kph with 4xAIM-7F + 4xAIM-9G
1340kph with 4xAIM-7F + 4xAIM-9G + gunpod</t>
        </r>
      </text>
    </comment>
    <comment ref="B36" authorId="0" shapeId="0" xr:uid="{00000000-0006-0000-0300-00002D000000}">
      <text>
        <r>
          <rPr>
            <sz val="10"/>
            <color rgb="FF000000"/>
            <rFont val="Arial"/>
            <scheme val="minor"/>
          </rPr>
          <t>Uses less draggy gunpod (Mk 11 mod 5)</t>
        </r>
      </text>
    </comment>
    <comment ref="C36" authorId="0" shapeId="0" xr:uid="{00000000-0006-0000-0300-00002E000000}">
      <text>
        <r>
          <rPr>
            <sz val="10"/>
            <color rgb="FF000000"/>
            <rFont val="Arial"/>
            <scheme val="minor"/>
          </rPr>
          <t>803mph with 4xAIM-7F + 4xAIM-9H + gunpod
a lot draggier than F-4J due to leading edge slats and vortilons</t>
        </r>
      </text>
    </comment>
    <comment ref="D36" authorId="0" shapeId="0" xr:uid="{00000000-0006-0000-0300-00002F000000}">
      <text>
        <r>
          <rPr>
            <sz val="10"/>
            <color rgb="FF000000"/>
            <rFont val="Arial"/>
            <scheme val="minor"/>
          </rPr>
          <t>1292kph with 4xAIM-7F + 4xAIM-9H + gunpod
a lot draggier than F-4J due to leading edge slats and vortilons</t>
        </r>
      </text>
    </comment>
    <comment ref="B37" authorId="0" shapeId="0" xr:uid="{00000000-0006-0000-0300-000030000000}">
      <text>
        <r>
          <rPr>
            <sz val="10"/>
            <color rgb="FF000000"/>
            <rFont val="Arial"/>
            <scheme val="minor"/>
          </rPr>
          <t>Combat flaps don't decrease the sustained turn rate</t>
        </r>
      </text>
    </comment>
    <comment ref="C37" authorId="0" shapeId="0" xr:uid="{00000000-0006-0000-0300-000031000000}">
      <text>
        <r>
          <rPr>
            <sz val="10"/>
            <color rgb="FF000000"/>
            <rFont val="Arial"/>
            <scheme val="minor"/>
          </rPr>
          <t>airframe-limited</t>
        </r>
      </text>
    </comment>
    <comment ref="D37" authorId="0" shapeId="0" xr:uid="{00000000-0006-0000-0300-000032000000}">
      <text>
        <r>
          <rPr>
            <sz val="10"/>
            <color rgb="FF000000"/>
            <rFont val="Arial"/>
            <scheme val="minor"/>
          </rPr>
          <t>airframe-limited</t>
        </r>
      </text>
    </comment>
    <comment ref="C38" authorId="0" shapeId="0" xr:uid="{00000000-0006-0000-0300-000033000000}">
      <text>
        <r>
          <rPr>
            <sz val="10"/>
            <color rgb="FF000000"/>
            <rFont val="Arial"/>
            <scheme val="minor"/>
          </rPr>
          <t>902mph with 2xRB71 + 4xRB24J</t>
        </r>
      </text>
    </comment>
    <comment ref="D38" authorId="0" shapeId="0" xr:uid="{00000000-0006-0000-0300-000034000000}">
      <text>
        <r>
          <rPr>
            <sz val="10"/>
            <color rgb="FF000000"/>
            <rFont val="Arial"/>
            <scheme val="minor"/>
          </rPr>
          <t>1452kph with 2xRB71 + 4xRB24J</t>
        </r>
      </text>
    </comment>
    <comment ref="C39" authorId="0" shapeId="0" xr:uid="{00000000-0006-0000-0300-000035000000}">
      <text>
        <r>
          <rPr>
            <sz val="10"/>
            <color rgb="FF000000"/>
            <rFont val="Arial"/>
            <scheme val="minor"/>
          </rPr>
          <t>Airframe-limited, even with a full missile loadout. Has the thrust to exceed this speed but will rip trying to do so</t>
        </r>
      </text>
    </comment>
    <comment ref="D39" authorId="0" shapeId="0" xr:uid="{00000000-0006-0000-0300-000036000000}">
      <text>
        <r>
          <rPr>
            <sz val="10"/>
            <color rgb="FF000000"/>
            <rFont val="Arial"/>
            <scheme val="minor"/>
          </rPr>
          <t>Airframe-limited, even with a full missile loadout. Has the thrust to exceed this speed but will rip trying to do so</t>
        </r>
      </text>
    </comment>
    <comment ref="C40" authorId="0" shapeId="0" xr:uid="{00000000-0006-0000-0300-000037000000}">
      <text>
        <r>
          <rPr>
            <sz val="10"/>
            <color rgb="FF000000"/>
            <rFont val="Arial"/>
            <scheme val="minor"/>
          </rPr>
          <t>airframe-limited when clean
889mph with full missile loadout</t>
        </r>
      </text>
    </comment>
    <comment ref="D40" authorId="0" shapeId="0" xr:uid="{00000000-0006-0000-0300-000038000000}">
      <text>
        <r>
          <rPr>
            <sz val="10"/>
            <color rgb="FF000000"/>
            <rFont val="Arial"/>
            <scheme val="minor"/>
          </rPr>
          <t xml:space="preserve">airframe-limited when clean
1430kph with full missile loadout
</t>
        </r>
      </text>
    </comment>
    <comment ref="C41" authorId="0" shapeId="0" xr:uid="{00000000-0006-0000-0300-000039000000}">
      <text>
        <r>
          <rPr>
            <sz val="10"/>
            <color rgb="FF000000"/>
            <rFont val="Arial"/>
            <scheme val="minor"/>
          </rPr>
          <t>886mph with 2xAIM-9L</t>
        </r>
      </text>
    </comment>
    <comment ref="D41" authorId="0" shapeId="0" xr:uid="{00000000-0006-0000-0300-00003A000000}">
      <text>
        <r>
          <rPr>
            <sz val="10"/>
            <color rgb="FF000000"/>
            <rFont val="Arial"/>
            <scheme val="minor"/>
          </rPr>
          <t>1425kph with 2xAIM-9L</t>
        </r>
      </text>
    </comment>
    <comment ref="C42" authorId="0" shapeId="0" xr:uid="{00000000-0006-0000-0300-00003B000000}">
      <text>
        <r>
          <rPr>
            <sz val="10"/>
            <color rgb="FF000000"/>
            <rFont val="Arial"/>
            <scheme val="minor"/>
          </rPr>
          <t>with 2xCM pods
866mph with 2xAIM-9L + 2xCM pods</t>
        </r>
      </text>
    </comment>
    <comment ref="D42" authorId="0" shapeId="0" xr:uid="{00000000-0006-0000-0300-00003C000000}">
      <text>
        <r>
          <rPr>
            <sz val="10"/>
            <color rgb="FF000000"/>
            <rFont val="Arial"/>
            <scheme val="minor"/>
          </rPr>
          <t>with 2xCM pods
1394kph with 2xAIM-9L + 2xCM pods</t>
        </r>
      </text>
    </comment>
    <comment ref="C43" authorId="0" shapeId="0" xr:uid="{00000000-0006-0000-0300-00003D000000}">
      <text>
        <r>
          <rPr>
            <sz val="10"/>
            <color rgb="FF000000"/>
            <rFont val="Arial"/>
            <scheme val="minor"/>
          </rPr>
          <t>airframe-limited even with a full missile loadout. Has thrust to exceed this speed but will rip doing so</t>
        </r>
      </text>
    </comment>
    <comment ref="D43" authorId="0" shapeId="0" xr:uid="{00000000-0006-0000-0300-00003E000000}">
      <text>
        <r>
          <rPr>
            <sz val="10"/>
            <color rgb="FF000000"/>
            <rFont val="Arial"/>
            <scheme val="minor"/>
          </rPr>
          <t>airframe-limited even with a full missile loadout. Has thrust to exceed this speed but will rip doing so</t>
        </r>
      </text>
    </comment>
    <comment ref="C44" authorId="0" shapeId="0" xr:uid="{00000000-0006-0000-0300-00003F000000}">
      <text>
        <r>
          <rPr>
            <sz val="10"/>
            <color rgb="FF000000"/>
            <rFont val="Arial"/>
            <scheme val="minor"/>
          </rPr>
          <t>787mph with 2xAIM-9J</t>
        </r>
      </text>
    </comment>
    <comment ref="D44" authorId="0" shapeId="0" xr:uid="{00000000-0006-0000-0300-000040000000}">
      <text>
        <r>
          <rPr>
            <sz val="10"/>
            <color rgb="FF000000"/>
            <rFont val="Arial"/>
            <scheme val="minor"/>
          </rPr>
          <t>1267kph with 2xAIM-9J</t>
        </r>
      </text>
    </comment>
    <comment ref="C45" authorId="0" shapeId="0" xr:uid="{00000000-0006-0000-0300-000041000000}">
      <text>
        <r>
          <rPr>
            <sz val="10"/>
            <color rgb="FF000000"/>
            <rFont val="Arial"/>
            <scheme val="minor"/>
          </rPr>
          <t xml:space="preserve">with 25mm gunpod on WEP
698mph on 100%
</t>
        </r>
      </text>
    </comment>
    <comment ref="D45" authorId="0" shapeId="0" xr:uid="{00000000-0006-0000-0300-000042000000}">
      <text>
        <r>
          <rPr>
            <sz val="10"/>
            <color rgb="FF000000"/>
            <rFont val="Arial"/>
            <scheme val="minor"/>
          </rPr>
          <t xml:space="preserve">with 25mm gunpod on WEP
1124kph on 100%
</t>
        </r>
      </text>
    </comment>
    <comment ref="D46" authorId="0" shapeId="0" xr:uid="{00000000-0006-0000-0300-000043000000}">
      <text>
        <r>
          <rPr>
            <sz val="10"/>
            <color rgb="FF000000"/>
            <rFont val="Arial"/>
            <scheme val="minor"/>
          </rPr>
          <t>1053kph with 2xR-60M</t>
        </r>
      </text>
    </comment>
    <comment ref="B47" authorId="0" shapeId="0" xr:uid="{00000000-0006-0000-0300-000044000000}">
      <text>
        <r>
          <rPr>
            <sz val="10"/>
            <color rgb="FF000000"/>
            <rFont val="Arial"/>
            <scheme val="minor"/>
          </rPr>
          <t>Combat flaps don't decrease the sustained turn rate</t>
        </r>
      </text>
    </comment>
    <comment ref="C48" authorId="0" shapeId="0" xr:uid="{00000000-0006-0000-0300-000045000000}">
      <text>
        <r>
          <rPr>
            <sz val="10"/>
            <color rgb="FF000000"/>
            <rFont val="Arial"/>
            <scheme val="minor"/>
          </rPr>
          <t>902mph with 2xRB71 + 4xRB24J</t>
        </r>
      </text>
    </comment>
    <comment ref="D48" authorId="0" shapeId="0" xr:uid="{00000000-0006-0000-0300-000046000000}">
      <text>
        <r>
          <rPr>
            <sz val="10"/>
            <color rgb="FF000000"/>
            <rFont val="Arial"/>
            <scheme val="minor"/>
          </rPr>
          <t>1452kph with 2xRB71 + 4xRB24J</t>
        </r>
      </text>
    </comment>
    <comment ref="C49" authorId="0" shapeId="0" xr:uid="{00000000-0006-0000-0300-000047000000}">
      <text>
        <r>
          <rPr>
            <sz val="10"/>
            <color rgb="FF000000"/>
            <rFont val="Arial"/>
            <scheme val="minor"/>
          </rPr>
          <t>Airframe-limited (even with a full missile loadout). Has the thrust to exceed this speed but will rip trying to do so</t>
        </r>
      </text>
    </comment>
    <comment ref="D49" authorId="0" shapeId="0" xr:uid="{00000000-0006-0000-0300-000048000000}">
      <text>
        <r>
          <rPr>
            <sz val="10"/>
            <color rgb="FF000000"/>
            <rFont val="Arial"/>
            <scheme val="minor"/>
          </rPr>
          <t>Airframe-limited (even with a full missile loadout). Has the thrust to exceed this speed but will rip trying to do so</t>
        </r>
      </text>
    </comment>
    <comment ref="C50" authorId="0" shapeId="0" xr:uid="{00000000-0006-0000-0300-000049000000}">
      <text>
        <r>
          <rPr>
            <sz val="10"/>
            <color rgb="FF000000"/>
            <rFont val="Arial"/>
            <scheme val="minor"/>
          </rPr>
          <t>Airframe-limited (even with a full missile loadout). Has the thrust to exceed this speed but will rip trying to do so</t>
        </r>
      </text>
    </comment>
    <comment ref="D50" authorId="0" shapeId="0" xr:uid="{00000000-0006-0000-0300-00004A000000}">
      <text>
        <r>
          <rPr>
            <sz val="10"/>
            <color rgb="FF000000"/>
            <rFont val="Arial"/>
            <scheme val="minor"/>
          </rPr>
          <t>Airframe-limited (even with a full missile loadout). Has the thrust to exceed this speed but will rip trying to do so</t>
        </r>
      </text>
    </comment>
    <comment ref="C51" authorId="0" shapeId="0" xr:uid="{00000000-0006-0000-0300-00004B000000}">
      <text>
        <r>
          <rPr>
            <sz val="10"/>
            <color rgb="FF000000"/>
            <rFont val="Arial"/>
            <scheme val="minor"/>
          </rPr>
          <t>Airframe-limited (even with a full missile loadout). Has the thrust to exceed this speed but will rip trying to do so</t>
        </r>
      </text>
    </comment>
    <comment ref="D51" authorId="0" shapeId="0" xr:uid="{00000000-0006-0000-0300-00004C000000}">
      <text>
        <r>
          <rPr>
            <sz val="10"/>
            <color rgb="FF000000"/>
            <rFont val="Arial"/>
            <scheme val="minor"/>
          </rPr>
          <t>Airframe-limited (even with a full missile loadout). Has the thrust to exceed this speed but will rip trying to do so</t>
        </r>
      </text>
    </comment>
    <comment ref="C52" authorId="0" shapeId="0" xr:uid="{00000000-0006-0000-0300-00004D000000}">
      <text>
        <r>
          <rPr>
            <sz val="10"/>
            <color rgb="FF000000"/>
            <rFont val="Arial"/>
            <scheme val="minor"/>
          </rPr>
          <t>Airframe-limited, even with a full missile loadout. Has the thrust to exceed this speed but will rip trying to do so</t>
        </r>
      </text>
    </comment>
    <comment ref="D52" authorId="0" shapeId="0" xr:uid="{00000000-0006-0000-0300-00004E000000}">
      <text>
        <r>
          <rPr>
            <sz val="10"/>
            <color rgb="FF000000"/>
            <rFont val="Arial"/>
            <scheme val="minor"/>
          </rPr>
          <t>Airframe-limited, even with a full missile loadout. Has the thrust to exceed this speed but will rip trying to do so</t>
        </r>
      </text>
    </comment>
    <comment ref="B53" authorId="0" shapeId="0" xr:uid="{00000000-0006-0000-0300-00004F000000}">
      <text>
        <r>
          <rPr>
            <sz val="10"/>
            <color rgb="FF000000"/>
            <rFont val="Arial"/>
            <scheme val="minor"/>
          </rPr>
          <t>Uses more draggy gunpod (GAU-4)</t>
        </r>
      </text>
    </comment>
    <comment ref="C53" authorId="0" shapeId="0" xr:uid="{00000000-0006-0000-0300-000050000000}">
      <text>
        <r>
          <rPr>
            <sz val="10"/>
            <color rgb="FF000000"/>
            <rFont val="Arial"/>
            <scheme val="minor"/>
          </rPr>
          <t xml:space="preserve">airframe-limited when clean. Has thrust to exceed this speed but will rip doing so
</t>
        </r>
      </text>
    </comment>
    <comment ref="D53" authorId="0" shapeId="0" xr:uid="{00000000-0006-0000-0300-000051000000}">
      <text>
        <r>
          <rPr>
            <sz val="10"/>
            <color rgb="FF000000"/>
            <rFont val="Arial"/>
            <scheme val="minor"/>
          </rPr>
          <t xml:space="preserve">airframe-limited when clean. Has thrust to exceed this speed but will rip doing so
</t>
        </r>
      </text>
    </comment>
    <comment ref="B54" authorId="0" shapeId="0" xr:uid="{00000000-0006-0000-0300-000052000000}">
      <text>
        <r>
          <rPr>
            <sz val="10"/>
            <color rgb="FF000000"/>
            <rFont val="Arial"/>
            <scheme val="minor"/>
          </rPr>
          <t>Uses more draggy gunpod (GAU-4)</t>
        </r>
      </text>
    </comment>
    <comment ref="C54" authorId="0" shapeId="0" xr:uid="{00000000-0006-0000-0300-000053000000}">
      <text>
        <r>
          <rPr>
            <sz val="10"/>
            <color rgb="FF000000"/>
            <rFont val="Arial"/>
            <scheme val="minor"/>
          </rPr>
          <t xml:space="preserve">airframe-limited when clean. Has thrust to exceed this speed but will rip doing so
</t>
        </r>
      </text>
    </comment>
    <comment ref="D54" authorId="0" shapeId="0" xr:uid="{00000000-0006-0000-0300-000054000000}">
      <text>
        <r>
          <rPr>
            <sz val="10"/>
            <color rgb="FF000000"/>
            <rFont val="Arial"/>
            <scheme val="minor"/>
          </rPr>
          <t xml:space="preserve">airframe-limited when clean. Has thrust to exceed this speed but will rip doing so
</t>
        </r>
      </text>
    </comment>
    <comment ref="C55" authorId="0" shapeId="0" xr:uid="{00000000-0006-0000-0300-000055000000}">
      <text>
        <r>
          <rPr>
            <sz val="10"/>
            <color rgb="FF000000"/>
            <rFont val="Arial"/>
            <scheme val="minor"/>
          </rPr>
          <t>886mph with 2xAIM-9L</t>
        </r>
      </text>
    </comment>
    <comment ref="D55" authorId="0" shapeId="0" xr:uid="{00000000-0006-0000-0300-000056000000}">
      <text>
        <r>
          <rPr>
            <sz val="10"/>
            <color rgb="FF000000"/>
            <rFont val="Arial"/>
            <scheme val="minor"/>
          </rPr>
          <t>1425kph with 2xAIM-9L</t>
        </r>
      </text>
    </comment>
    <comment ref="C56" authorId="0" shapeId="0" xr:uid="{00000000-0006-0000-0300-000057000000}">
      <text>
        <r>
          <rPr>
            <sz val="10"/>
            <color rgb="FF000000"/>
            <rFont val="Arial"/>
            <scheme val="minor"/>
          </rPr>
          <t xml:space="preserve">airframe-limited when clean. Has thrust to exceed this speed but will rip doing so
833mph with 4xPL-5B
almost airframe-limited with full missile loadout
</t>
        </r>
      </text>
    </comment>
    <comment ref="D56" authorId="0" shapeId="0" xr:uid="{00000000-0006-0000-0300-000058000000}">
      <text>
        <r>
          <rPr>
            <sz val="10"/>
            <color rgb="FF000000"/>
            <rFont val="Arial"/>
            <scheme val="minor"/>
          </rPr>
          <t xml:space="preserve">airframe-limited when clean. Has thrust to exceed this speed but will rip doing so
1340kph with 4xPL-5B
almost airframe-limited with full missile loadout
</t>
        </r>
      </text>
    </comment>
    <comment ref="C58" authorId="0" shapeId="0" xr:uid="{00000000-0006-0000-0300-000059000000}">
      <text>
        <r>
          <rPr>
            <sz val="10"/>
            <color rgb="FF000000"/>
            <rFont val="Arial"/>
            <scheme val="minor"/>
          </rPr>
          <t>787mph with 2xAIM-9J</t>
        </r>
      </text>
    </comment>
    <comment ref="D58" authorId="0" shapeId="0" xr:uid="{00000000-0006-0000-0300-00005A000000}">
      <text>
        <r>
          <rPr>
            <sz val="10"/>
            <color rgb="FF000000"/>
            <rFont val="Arial"/>
            <scheme val="minor"/>
          </rPr>
          <t>1267kph with 2xAIM-9J</t>
        </r>
      </text>
    </comment>
    <comment ref="C60" authorId="0" shapeId="0" xr:uid="{00000000-0006-0000-0300-00005B000000}">
      <text>
        <r>
          <rPr>
            <sz val="10"/>
            <color rgb="FF000000"/>
            <rFont val="Arial"/>
            <scheme val="minor"/>
          </rPr>
          <t>with WEP
705mph on 100%</t>
        </r>
      </text>
    </comment>
    <comment ref="D60" authorId="0" shapeId="0" xr:uid="{00000000-0006-0000-0300-00005C000000}">
      <text>
        <r>
          <rPr>
            <sz val="10"/>
            <color rgb="FF000000"/>
            <rFont val="Arial"/>
            <scheme val="minor"/>
          </rPr>
          <t>with WEP
1134kph on 100%</t>
        </r>
      </text>
    </comment>
    <comment ref="C61" authorId="0" shapeId="0" xr:uid="{00000000-0006-0000-0300-00005D000000}">
      <text>
        <r>
          <rPr>
            <sz val="10"/>
            <color rgb="FF000000"/>
            <rFont val="Arial"/>
            <scheme val="minor"/>
          </rPr>
          <t>895 with 2x30mm gunpods
887mph with 2x30mm gunpods + 2xRB24J</t>
        </r>
      </text>
    </comment>
    <comment ref="D61" authorId="0" shapeId="0" xr:uid="{00000000-0006-0000-0300-00005E000000}">
      <text>
        <r>
          <rPr>
            <sz val="10"/>
            <color rgb="FF000000"/>
            <rFont val="Arial"/>
            <scheme val="minor"/>
          </rPr>
          <t xml:space="preserve">1440kph with 2x30mm gunpods
1427kph with 2x30mm gunpods + 2xRB24J
</t>
        </r>
      </text>
    </comment>
    <comment ref="C62" authorId="0" shapeId="0" xr:uid="{00000000-0006-0000-0300-00005F000000}">
      <text>
        <r>
          <rPr>
            <sz val="10"/>
            <color rgb="FF000000"/>
            <rFont val="Arial"/>
            <scheme val="minor"/>
          </rPr>
          <t>Airframe-limited, even with a full missile loadout. Has the thrust to exceed this speed but will rip trying to do so</t>
        </r>
      </text>
    </comment>
    <comment ref="D62" authorId="0" shapeId="0" xr:uid="{00000000-0006-0000-0300-000060000000}">
      <text>
        <r>
          <rPr>
            <sz val="10"/>
            <color rgb="FF000000"/>
            <rFont val="Arial"/>
            <scheme val="minor"/>
          </rPr>
          <t>Airframe-limited, even with a full missile loadout. Has the thrust to exceed this speed but will rip trying to do so</t>
        </r>
      </text>
    </comment>
    <comment ref="C63" authorId="0" shapeId="0" xr:uid="{00000000-0006-0000-0300-000061000000}">
      <text>
        <r>
          <rPr>
            <sz val="10"/>
            <color rgb="FF000000"/>
            <rFont val="Arial"/>
            <scheme val="minor"/>
          </rPr>
          <t>Airframe-limited even with full missile loadout (4xR-60). Has the thrust to exceed this speed but will rip trying to do so</t>
        </r>
      </text>
    </comment>
    <comment ref="D63" authorId="0" shapeId="0" xr:uid="{00000000-0006-0000-0300-000062000000}">
      <text>
        <r>
          <rPr>
            <sz val="10"/>
            <color rgb="FF000000"/>
            <rFont val="Arial"/>
            <scheme val="minor"/>
          </rPr>
          <t>Airframe-limited even with full missile loadout (4xR-60). Has the thrust to exceed this speed but will rip trying to do so</t>
        </r>
      </text>
    </comment>
    <comment ref="C64" authorId="0" shapeId="0" xr:uid="{00000000-0006-0000-0300-000063000000}">
      <text>
        <r>
          <rPr>
            <sz val="10"/>
            <color rgb="FF000000"/>
            <rFont val="Arial"/>
            <scheme val="minor"/>
          </rPr>
          <t>Airframe-limited even with full missile loadout (6xR-60). Has the thrust to exceed this speed but will rip trying to do so</t>
        </r>
      </text>
    </comment>
    <comment ref="D64" authorId="0" shapeId="0" xr:uid="{00000000-0006-0000-0300-000064000000}">
      <text>
        <r>
          <rPr>
            <sz val="10"/>
            <color rgb="FF000000"/>
            <rFont val="Arial"/>
            <scheme val="minor"/>
          </rPr>
          <t>Airframe-limited even with full missile loadout (6xR-60). Has the thrust to exceed this speed but will rip trying to do so</t>
        </r>
      </text>
    </comment>
    <comment ref="C65" authorId="0" shapeId="0" xr:uid="{00000000-0006-0000-0300-000065000000}">
      <text>
        <r>
          <rPr>
            <sz val="10"/>
            <color rgb="FF000000"/>
            <rFont val="Arial"/>
            <scheme val="minor"/>
          </rPr>
          <t xml:space="preserve">879mph with full missile loadout (6xRB24J). </t>
        </r>
      </text>
    </comment>
    <comment ref="D65" authorId="0" shapeId="0" xr:uid="{00000000-0006-0000-0300-000066000000}">
      <text>
        <r>
          <rPr>
            <sz val="10"/>
            <color rgb="FF000000"/>
            <rFont val="Arial"/>
            <scheme val="minor"/>
          </rPr>
          <t xml:space="preserve">Airframe-limited when clean. Has the thrust to exceed this speed but will rip trying to do so
1414kph with full missile loadout (6xRB24J). </t>
        </r>
      </text>
    </comment>
    <comment ref="C66" authorId="0" shapeId="0" xr:uid="{00000000-0006-0000-0300-000067000000}">
      <text>
        <r>
          <rPr>
            <sz val="10"/>
            <color rgb="FF000000"/>
            <rFont val="Arial"/>
            <scheme val="minor"/>
          </rPr>
          <t>859mph with 1xR530 + 2xMagic 1</t>
        </r>
      </text>
    </comment>
    <comment ref="D66" authorId="0" shapeId="0" xr:uid="{00000000-0006-0000-0300-000068000000}">
      <text>
        <r>
          <rPr>
            <sz val="10"/>
            <color rgb="FF000000"/>
            <rFont val="Arial"/>
            <scheme val="minor"/>
          </rPr>
          <t>1382kph with 1xR530 + 2xMagic 1</t>
        </r>
      </text>
    </comment>
    <comment ref="C67" authorId="0" shapeId="0" xr:uid="{00000000-0006-0000-0300-000069000000}">
      <text>
        <r>
          <rPr>
            <sz val="10"/>
            <color rgb="FF000000"/>
            <rFont val="Arial"/>
            <scheme val="minor"/>
          </rPr>
          <t>Airframe-limited even with full missile loadout (2xR-13M1 + 4xR-60M). Has the thrust to exceed this speed but will rip trying to do so</t>
        </r>
      </text>
    </comment>
    <comment ref="D67" authorId="0" shapeId="0" xr:uid="{00000000-0006-0000-0300-00006A000000}">
      <text>
        <r>
          <rPr>
            <sz val="10"/>
            <color rgb="FF000000"/>
            <rFont val="Arial"/>
            <scheme val="minor"/>
          </rPr>
          <t>Airframe-limited even with full missile loadout (2xR-13M1 + 4xR-60M). Has the thrust to exceed this speed but will rip trying to do so</t>
        </r>
      </text>
    </comment>
    <comment ref="C68" authorId="0" shapeId="0" xr:uid="{00000000-0006-0000-0300-00006B000000}">
      <text>
        <r>
          <rPr>
            <sz val="10"/>
            <color rgb="FF000000"/>
            <rFont val="Arial"/>
            <scheme val="minor"/>
          </rPr>
          <t xml:space="preserve">airframe-limited when clean. Has thrust to exceed this speed but will rip doing so
839mph with 4xPL-5B
almost airframe-limited with full missile loadout
</t>
        </r>
      </text>
    </comment>
    <comment ref="D68" authorId="0" shapeId="0" xr:uid="{00000000-0006-0000-0300-00006C000000}">
      <text>
        <r>
          <rPr>
            <sz val="10"/>
            <color rgb="FF000000"/>
            <rFont val="Arial"/>
            <scheme val="minor"/>
          </rPr>
          <t>airframe-limited when clean. Has thrust to exceed this speed but will rip doing so
1350kph with 4xPL-5B
almost airframe-limited with full missile loadout</t>
        </r>
      </text>
    </comment>
    <comment ref="C69" authorId="0" shapeId="0" xr:uid="{00000000-0006-0000-0300-00006D000000}">
      <text>
        <r>
          <rPr>
            <sz val="10"/>
            <color rgb="FF000000"/>
            <rFont val="Arial"/>
            <scheme val="minor"/>
          </rPr>
          <t>880mph with 4xAIM-9J</t>
        </r>
      </text>
    </comment>
    <comment ref="D69" authorId="0" shapeId="0" xr:uid="{00000000-0006-0000-0300-00006E000000}">
      <text>
        <r>
          <rPr>
            <sz val="10"/>
            <color rgb="FF000000"/>
            <rFont val="Arial"/>
            <scheme val="minor"/>
          </rPr>
          <t>1416kph with 4xAIM-9J</t>
        </r>
      </text>
    </comment>
    <comment ref="B70" authorId="0" shapeId="0" xr:uid="{00000000-0006-0000-0300-00006F000000}">
      <text>
        <r>
          <rPr>
            <sz val="10"/>
            <color rgb="FF000000"/>
            <rFont val="Arial"/>
            <scheme val="minor"/>
          </rPr>
          <t>Combat flaps don't decrease the sustained turn rate</t>
        </r>
      </text>
    </comment>
    <comment ref="C70" authorId="0" shapeId="0" xr:uid="{00000000-0006-0000-0300-000070000000}">
      <text>
        <r>
          <rPr>
            <sz val="10"/>
            <color rgb="FF000000"/>
            <rFont val="Arial"/>
            <scheme val="minor"/>
          </rPr>
          <t>861mph with 4xAIM-7E-2 + 4xAIM-9J</t>
        </r>
      </text>
    </comment>
    <comment ref="D70" authorId="0" shapeId="0" xr:uid="{00000000-0006-0000-0300-000071000000}">
      <text>
        <r>
          <rPr>
            <sz val="10"/>
            <color rgb="FF000000"/>
            <rFont val="Arial"/>
            <scheme val="minor"/>
          </rPr>
          <t>1386kph with 4xAIM-7E-2 + 4xAIM-9J</t>
        </r>
      </text>
    </comment>
    <comment ref="C71" authorId="0" shapeId="0" xr:uid="{00000000-0006-0000-0300-000072000000}">
      <text>
        <r>
          <rPr>
            <sz val="10"/>
            <color rgb="FF000000"/>
            <rFont val="Arial"/>
            <scheme val="minor"/>
          </rPr>
          <t>Airframe-limited even with full missile loadout (4xR-60). Has the thrust to exceed this speed but will rip trying to do so</t>
        </r>
      </text>
    </comment>
    <comment ref="D71" authorId="0" shapeId="0" xr:uid="{00000000-0006-0000-0300-000073000000}">
      <text>
        <r>
          <rPr>
            <sz val="10"/>
            <color rgb="FF000000"/>
            <rFont val="Arial"/>
            <scheme val="minor"/>
          </rPr>
          <t>Airframe-limited even with full missile loadout (4xR-60). Has the thrust to exceed this speed but will rip trying to do so</t>
        </r>
      </text>
    </comment>
    <comment ref="C72" authorId="0" shapeId="0" xr:uid="{00000000-0006-0000-0300-000074000000}">
      <text>
        <r>
          <rPr>
            <sz val="10"/>
            <color rgb="FF000000"/>
            <rFont val="Arial"/>
            <scheme val="minor"/>
          </rPr>
          <t>845mph with 4xAIM-7E + 4xAIM-9P</t>
        </r>
      </text>
    </comment>
    <comment ref="D72" authorId="0" shapeId="0" xr:uid="{00000000-0006-0000-0300-000075000000}">
      <text>
        <r>
          <rPr>
            <sz val="10"/>
            <color rgb="FF000000"/>
            <rFont val="Arial"/>
            <scheme val="minor"/>
          </rPr>
          <t>1360kph with 4xAIM-7E + 4xAIM-9P</t>
        </r>
      </text>
    </comment>
    <comment ref="B73" authorId="0" shapeId="0" xr:uid="{00000000-0006-0000-0300-000076000000}">
      <text>
        <r>
          <rPr>
            <sz val="10"/>
            <color rgb="FF000000"/>
            <rFont val="Arial"/>
            <scheme val="minor"/>
          </rPr>
          <t>Uses more draggy gunpod (GAU-4)</t>
        </r>
      </text>
    </comment>
    <comment ref="C73" authorId="0" shapeId="0" xr:uid="{00000000-0006-0000-0300-000077000000}">
      <text>
        <r>
          <rPr>
            <sz val="10"/>
            <color rgb="FF000000"/>
            <rFont val="Arial"/>
            <scheme val="minor"/>
          </rPr>
          <t>825mph with 4xAIM-7E + 4xAIM-9E
804mph with 4xAIM-7E + 4xAIM-9E + gunpod</t>
        </r>
      </text>
    </comment>
    <comment ref="D73" authorId="0" shapeId="0" xr:uid="{00000000-0006-0000-0300-000078000000}">
      <text>
        <r>
          <rPr>
            <sz val="10"/>
            <color rgb="FF000000"/>
            <rFont val="Arial"/>
            <scheme val="minor"/>
          </rPr>
          <t>1328kph with 4xAIM-7E + 4xAIM-9E
1294kph with 4xAIM-7E + 4xAIM-9E + gunpod</t>
        </r>
      </text>
    </comment>
    <comment ref="C74" authorId="0" shapeId="0" xr:uid="{00000000-0006-0000-0300-000079000000}">
      <text>
        <r>
          <rPr>
            <sz val="10"/>
            <color rgb="FF000000"/>
            <rFont val="Arial"/>
            <scheme val="minor"/>
          </rPr>
          <t>Airframe-limited even with full missile loadout (4xR-60) and CM pod. Has the thrust to exceed this speed but will rip trying to do so</t>
        </r>
      </text>
    </comment>
    <comment ref="D74" authorId="0" shapeId="0" xr:uid="{00000000-0006-0000-0300-00007A000000}">
      <text>
        <r>
          <rPr>
            <sz val="10"/>
            <color rgb="FF000000"/>
            <rFont val="Arial"/>
            <scheme val="minor"/>
          </rPr>
          <t>Airframe-limited even with full missile loadout (4xR-60) and CM pod. Has the thrust to exceed this speed but will rip trying to do so</t>
        </r>
      </text>
    </comment>
    <comment ref="C75" authorId="0" shapeId="0" xr:uid="{00000000-0006-0000-0300-00007B000000}">
      <text>
        <r>
          <rPr>
            <sz val="10"/>
            <color rgb="FF000000"/>
            <rFont val="Arial"/>
            <scheme val="minor"/>
          </rPr>
          <t>almost airframe-limited, but not quite. Critical speed is 791mph
780mph with 2xMagic 1</t>
        </r>
      </text>
    </comment>
    <comment ref="D75" authorId="0" shapeId="0" xr:uid="{00000000-0006-0000-0300-00007C000000}">
      <text>
        <r>
          <rPr>
            <sz val="10"/>
            <color rgb="FF000000"/>
            <rFont val="Arial"/>
            <scheme val="minor"/>
          </rPr>
          <t>almost airframe-limited, but not quite. Critical speed is 1273kph
1255kph with 2xMagic 1</t>
        </r>
      </text>
    </comment>
    <comment ref="C76" authorId="0" shapeId="0" xr:uid="{00000000-0006-0000-0300-00007D000000}">
      <text>
        <r>
          <rPr>
            <sz val="10"/>
            <color rgb="FF000000"/>
            <rFont val="Arial"/>
            <scheme val="minor"/>
          </rPr>
          <t>771mph with 2xAIM-9E</t>
        </r>
      </text>
    </comment>
    <comment ref="D76" authorId="0" shapeId="0" xr:uid="{00000000-0006-0000-0300-00007E000000}">
      <text>
        <r>
          <rPr>
            <sz val="10"/>
            <color rgb="FF000000"/>
            <rFont val="Arial"/>
            <scheme val="minor"/>
          </rPr>
          <t>1241kph with 2xAIM-9E</t>
        </r>
      </text>
    </comment>
    <comment ref="D79" authorId="0" shapeId="0" xr:uid="{00000000-0006-0000-0300-00007F000000}">
      <text>
        <r>
          <rPr>
            <sz val="10"/>
            <color rgb="FF000000"/>
            <rFont val="Arial"/>
            <scheme val="minor"/>
          </rPr>
          <t>is not airframe-limited even when clean, even though overspeed warning starts flashing on screen way before this speed</t>
        </r>
      </text>
    </comment>
    <comment ref="C80" authorId="0" shapeId="0" xr:uid="{00000000-0006-0000-0300-000080000000}">
      <text>
        <r>
          <rPr>
            <sz val="10"/>
            <color rgb="FF000000"/>
            <rFont val="Arial"/>
            <scheme val="minor"/>
          </rPr>
          <t>with WEP
705mph on 100%</t>
        </r>
      </text>
    </comment>
    <comment ref="D80" authorId="0" shapeId="0" xr:uid="{00000000-0006-0000-0300-000081000000}">
      <text>
        <r>
          <rPr>
            <sz val="10"/>
            <color rgb="FF000000"/>
            <rFont val="Arial"/>
            <scheme val="minor"/>
          </rPr>
          <t>with WEP
1134kph on 100%</t>
        </r>
      </text>
    </comment>
    <comment ref="C81" authorId="0" shapeId="0" xr:uid="{00000000-0006-0000-0300-000082000000}">
      <text>
        <r>
          <rPr>
            <sz val="10"/>
            <color rgb="FF000000"/>
            <rFont val="Arial"/>
            <scheme val="minor"/>
          </rPr>
          <t>692mph with 2xAIM-9J</t>
        </r>
      </text>
    </comment>
    <comment ref="D81" authorId="0" shapeId="0" xr:uid="{00000000-0006-0000-0300-000083000000}">
      <text>
        <r>
          <rPr>
            <sz val="10"/>
            <color rgb="FF000000"/>
            <rFont val="Arial"/>
            <scheme val="minor"/>
          </rPr>
          <t>1113kph with 2xAIM-9J</t>
        </r>
      </text>
    </comment>
    <comment ref="C82" authorId="0" shapeId="0" xr:uid="{00000000-0006-0000-0300-000084000000}">
      <text>
        <r>
          <rPr>
            <sz val="10"/>
            <color rgb="FF000000"/>
            <rFont val="Arial"/>
            <scheme val="minor"/>
          </rPr>
          <t>654mph with 4xAIM-9L</t>
        </r>
      </text>
    </comment>
    <comment ref="D82" authorId="0" shapeId="0" xr:uid="{00000000-0006-0000-0300-000085000000}">
      <text>
        <r>
          <rPr>
            <sz val="10"/>
            <color rgb="FF000000"/>
            <rFont val="Arial"/>
            <scheme val="minor"/>
          </rPr>
          <t>1052kph with 4xAIM-9L</t>
        </r>
      </text>
    </comment>
    <comment ref="C83" authorId="0" shapeId="0" xr:uid="{00000000-0006-0000-0300-000086000000}">
      <text>
        <r>
          <rPr>
            <sz val="10"/>
            <color rgb="FF000000"/>
            <rFont val="Arial"/>
            <scheme val="minor"/>
          </rPr>
          <t>655mph with 2xR-60MK</t>
        </r>
      </text>
    </comment>
    <comment ref="D83" authorId="0" shapeId="0" xr:uid="{00000000-0006-0000-0300-000087000000}">
      <text>
        <r>
          <rPr>
            <sz val="10"/>
            <color rgb="FF000000"/>
            <rFont val="Arial"/>
            <scheme val="minor"/>
          </rPr>
          <t>1054kph with 2xR-60MK</t>
        </r>
      </text>
    </comment>
    <comment ref="C87" authorId="0" shapeId="0" xr:uid="{00000000-0006-0000-0300-000088000000}">
      <text>
        <r>
          <rPr>
            <sz val="10"/>
            <color rgb="FF000000"/>
            <rFont val="Arial"/>
            <scheme val="minor"/>
          </rPr>
          <t>843mph with 1xR530 + 2xMagic 1</t>
        </r>
      </text>
    </comment>
    <comment ref="D87" authorId="0" shapeId="0" xr:uid="{00000000-0006-0000-0300-000089000000}">
      <text>
        <r>
          <rPr>
            <sz val="10"/>
            <color rgb="FF000000"/>
            <rFont val="Arial"/>
            <scheme val="minor"/>
          </rPr>
          <t>1356kph with 1xR530 + 2xMagic 1</t>
        </r>
      </text>
    </comment>
    <comment ref="C89" authorId="0" shapeId="0" xr:uid="{00000000-0006-0000-0300-00008A000000}">
      <text>
        <r>
          <rPr>
            <sz val="10"/>
            <color rgb="FF000000"/>
            <rFont val="Arial"/>
            <scheme val="minor"/>
          </rPr>
          <t>airframe-limited even with full missile loadout (2xAIM-9G). Has thrust to exceed this speed but will rip doing so</t>
        </r>
      </text>
    </comment>
    <comment ref="D89" authorId="0" shapeId="0" xr:uid="{00000000-0006-0000-0300-00008B000000}">
      <text>
        <r>
          <rPr>
            <sz val="10"/>
            <color rgb="FF000000"/>
            <rFont val="Arial"/>
            <scheme val="minor"/>
          </rPr>
          <t>airframe-limited even with full missile loadout (2xAIM-9G). Has thrust to exceed this speed but will rip doing so</t>
        </r>
      </text>
    </comment>
    <comment ref="C92" authorId="0" shapeId="0" xr:uid="{00000000-0006-0000-0300-00008C000000}">
      <text>
        <r>
          <rPr>
            <sz val="10"/>
            <color rgb="FF000000"/>
            <rFont val="Arial"/>
            <scheme val="minor"/>
          </rPr>
          <t>with or without CM pods</t>
        </r>
      </text>
    </comment>
    <comment ref="D92" authorId="0" shapeId="0" xr:uid="{00000000-0006-0000-0300-00008D000000}">
      <text>
        <r>
          <rPr>
            <sz val="10"/>
            <color rgb="FF000000"/>
            <rFont val="Arial"/>
            <scheme val="minor"/>
          </rPr>
          <t>with or without CM pods</t>
        </r>
      </text>
    </comment>
    <comment ref="C93" authorId="0" shapeId="0" xr:uid="{00000000-0006-0000-0300-00008E000000}">
      <text>
        <r>
          <rPr>
            <sz val="10"/>
            <color rgb="FF000000"/>
            <rFont val="Arial"/>
            <scheme val="minor"/>
          </rPr>
          <t>692mph with 2xAIM-9G</t>
        </r>
      </text>
    </comment>
    <comment ref="D93" authorId="0" shapeId="0" xr:uid="{00000000-0006-0000-0300-00008F000000}">
      <text>
        <r>
          <rPr>
            <sz val="10"/>
            <color rgb="FF000000"/>
            <rFont val="Arial"/>
            <scheme val="minor"/>
          </rPr>
          <t>1113kph with 2xAIM-9G
lower top speed than A-7D is due to higher drag. It has more thrust than A-7D</t>
        </r>
      </text>
    </comment>
    <comment ref="C95" authorId="0" shapeId="0" xr:uid="{00000000-0006-0000-0300-000090000000}">
      <text>
        <r>
          <rPr>
            <sz val="10"/>
            <color rgb="FF000000"/>
            <rFont val="Arial"/>
            <scheme val="minor"/>
          </rPr>
          <t>866mph with 2xMagic 1</t>
        </r>
      </text>
    </comment>
    <comment ref="D95" authorId="0" shapeId="0" xr:uid="{00000000-0006-0000-0300-000091000000}">
      <text>
        <r>
          <rPr>
            <sz val="10"/>
            <color rgb="FF000000"/>
            <rFont val="Arial"/>
            <scheme val="minor"/>
          </rPr>
          <t>1393kph with 2xMagic 1</t>
        </r>
      </text>
    </comment>
    <comment ref="C96" authorId="0" shapeId="0" xr:uid="{00000000-0006-0000-0300-000092000000}">
      <text>
        <r>
          <rPr>
            <sz val="10"/>
            <color rgb="FF000000"/>
            <rFont val="Arial"/>
            <scheme val="minor"/>
          </rPr>
          <t xml:space="preserve">818mph with 4xR-3
critical speed is 1365kph (speed where ripping becomes possible). This aircraft is almost airframe-limited when clean
</t>
        </r>
      </text>
    </comment>
    <comment ref="D96" authorId="0" shapeId="0" xr:uid="{00000000-0006-0000-0300-000093000000}">
      <text>
        <r>
          <rPr>
            <sz val="10"/>
            <color rgb="FF000000"/>
            <rFont val="Arial"/>
            <scheme val="minor"/>
          </rPr>
          <t xml:space="preserve">1316kph with 4xR-3
critical speed is 1365kph (speed where ripping becomes possible). This aircraft is almost airframe-limited when clean
</t>
        </r>
      </text>
    </comment>
    <comment ref="C97" authorId="0" shapeId="0" xr:uid="{00000000-0006-0000-0300-000094000000}">
      <text>
        <r>
          <rPr>
            <sz val="10"/>
            <color rgb="FF000000"/>
            <rFont val="Arial"/>
            <scheme val="minor"/>
          </rPr>
          <t>with gunpod
797mph with 2xR-3S + gunpod</t>
        </r>
      </text>
    </comment>
    <comment ref="D97" authorId="0" shapeId="0" xr:uid="{00000000-0006-0000-0300-000095000000}">
      <text>
        <r>
          <rPr>
            <sz val="10"/>
            <color rgb="FF000000"/>
            <rFont val="Arial"/>
            <scheme val="minor"/>
          </rPr>
          <t>with gunpod
1284kph with 2xR-3S + gunpod</t>
        </r>
      </text>
    </comment>
    <comment ref="C98" authorId="0" shapeId="0" xr:uid="{00000000-0006-0000-0300-000096000000}">
      <text>
        <r>
          <rPr>
            <sz val="10"/>
            <color rgb="FF000000"/>
            <rFont val="Arial"/>
            <scheme val="minor"/>
          </rPr>
          <t>almost airframe-limited, but not quite. Critical speed is 791mph</t>
        </r>
      </text>
    </comment>
    <comment ref="D98" authorId="0" shapeId="0" xr:uid="{00000000-0006-0000-0300-000097000000}">
      <text>
        <r>
          <rPr>
            <sz val="10"/>
            <color rgb="FF000000"/>
            <rFont val="Arial"/>
            <scheme val="minor"/>
          </rPr>
          <t>almost airframe-limited, but not quite. Critical speed is 1273kph</t>
        </r>
      </text>
    </comment>
    <comment ref="C99" authorId="0" shapeId="0" xr:uid="{00000000-0006-0000-0300-000098000000}">
      <text>
        <r>
          <rPr>
            <sz val="10"/>
            <color rgb="FF000000"/>
            <rFont val="Arial"/>
            <scheme val="minor"/>
          </rPr>
          <t>Airframe-limited. Has the thrust to exceed this speed but will rip trying to do so</t>
        </r>
      </text>
    </comment>
    <comment ref="D99" authorId="0" shapeId="0" xr:uid="{00000000-0006-0000-0300-000099000000}">
      <text>
        <r>
          <rPr>
            <sz val="10"/>
            <color rgb="FF000000"/>
            <rFont val="Arial"/>
            <scheme val="minor"/>
          </rPr>
          <t>Airframe-limited. Has the thrust to exceed this speed but will rip trying to do so</t>
        </r>
      </text>
    </comment>
    <comment ref="C102" authorId="0" shapeId="0" xr:uid="{00000000-0006-0000-0300-00009A000000}">
      <text>
        <r>
          <rPr>
            <sz val="10"/>
            <color rgb="FF000000"/>
            <rFont val="Arial"/>
            <scheme val="minor"/>
          </rPr>
          <t>889mph with 2xAIM-9B</t>
        </r>
      </text>
    </comment>
    <comment ref="D102" authorId="0" shapeId="0" xr:uid="{00000000-0006-0000-0300-00009B000000}">
      <text>
        <r>
          <rPr>
            <sz val="10"/>
            <color rgb="FF000000"/>
            <rFont val="Arial"/>
            <scheme val="minor"/>
          </rPr>
          <t>1431kph with 2xAIM-9B</t>
        </r>
      </text>
    </comment>
    <comment ref="C103" authorId="0" shapeId="0" xr:uid="{00000000-0006-0000-0300-00009C000000}">
      <text>
        <r>
          <rPr>
            <sz val="10"/>
            <color rgb="FF000000"/>
            <rFont val="Arial"/>
            <scheme val="minor"/>
          </rPr>
          <t>872mph with 4xAIM-9B
852mph with 3xAIM-9B + 1xFFAR rocket pods
slightly slower than F-104A due to drag from mid-air refueling probe and slightly less thrust</t>
        </r>
      </text>
    </comment>
    <comment ref="D103" authorId="0" shapeId="0" xr:uid="{00000000-0006-0000-0300-00009D000000}">
      <text>
        <r>
          <rPr>
            <sz val="10"/>
            <color rgb="FF000000"/>
            <rFont val="Arial"/>
            <scheme val="minor"/>
          </rPr>
          <t>1404kph with 4xAIM-9B
1371kph with 3xAIM-9B + 1xFFAR rocket pods
slightly slower than F-104A due to drag from mid-air refueling probe and slightly less thrust</t>
        </r>
      </text>
    </comment>
    <comment ref="D104" authorId="0" shapeId="0" xr:uid="{00000000-0006-0000-0300-00009E000000}">
      <text>
        <r>
          <rPr>
            <sz val="10"/>
            <color rgb="FF000000"/>
            <rFont val="Arial"/>
            <scheme val="minor"/>
          </rPr>
          <t>1425kph is thrust-limited speed which is above the critical speed 1417kph but just barely. Chances of ripping in level flight are low</t>
        </r>
      </text>
    </comment>
    <comment ref="D105" authorId="0" shapeId="0" xr:uid="{00000000-0006-0000-0300-00009F000000}">
      <text>
        <r>
          <rPr>
            <sz val="10"/>
            <color rgb="FF000000"/>
            <rFont val="Arial"/>
            <scheme val="minor"/>
          </rPr>
          <t xml:space="preserve">Airframe-limited even with full missile loadout. Has the thrust to exceed this speed but will rip trying to do so
</t>
        </r>
      </text>
    </comment>
    <comment ref="C106" authorId="0" shapeId="0" xr:uid="{00000000-0006-0000-0300-0000A0000000}">
      <text>
        <r>
          <rPr>
            <sz val="10"/>
            <color rgb="FF000000"/>
            <rFont val="Arial"/>
            <scheme val="minor"/>
          </rPr>
          <t>810mph with 2xR-3S</t>
        </r>
      </text>
    </comment>
    <comment ref="D106" authorId="0" shapeId="0" xr:uid="{00000000-0006-0000-0300-0000A1000000}">
      <text>
        <r>
          <rPr>
            <sz val="10"/>
            <color rgb="FF000000"/>
            <rFont val="Arial"/>
            <scheme val="minor"/>
          </rPr>
          <t>1303kph with 2xR-3S</t>
        </r>
      </text>
    </comment>
    <comment ref="C107" authorId="0" shapeId="0" xr:uid="{00000000-0006-0000-0300-0000A2000000}">
      <text>
        <r>
          <rPr>
            <sz val="10"/>
            <color rgb="FF000000"/>
            <rFont val="Arial"/>
            <scheme val="minor"/>
          </rPr>
          <t>807mph with 2xAIM-9J</t>
        </r>
      </text>
    </comment>
    <comment ref="D107" authorId="0" shapeId="0" xr:uid="{00000000-0006-0000-0300-0000A3000000}">
      <text>
        <r>
          <rPr>
            <sz val="10"/>
            <color rgb="FF000000"/>
            <rFont val="Arial"/>
            <scheme val="minor"/>
          </rPr>
          <t>1299kph with 2xAIM-9J</t>
        </r>
      </text>
    </comment>
    <comment ref="D108" authorId="0" shapeId="0" xr:uid="{00000000-0006-0000-0300-0000A4000000}">
      <text>
        <r>
          <rPr>
            <sz val="10"/>
            <color rgb="FF000000"/>
            <rFont val="Arial"/>
            <scheme val="minor"/>
          </rPr>
          <t>Airframe-limited (even with 2xR-3S). Has the thrust to exceed this speed but will rip trying to do so</t>
        </r>
      </text>
    </comment>
    <comment ref="C109" authorId="0" shapeId="0" xr:uid="{00000000-0006-0000-0300-0000A5000000}">
      <text>
        <r>
          <rPr>
            <sz val="10"/>
            <color rgb="FF000000"/>
            <rFont val="Arial"/>
            <scheme val="minor"/>
          </rPr>
          <t>Airframe-limited. Has the thrust to exceed this speed but will rip trying to do so</t>
        </r>
      </text>
    </comment>
    <comment ref="D109" authorId="0" shapeId="0" xr:uid="{00000000-0006-0000-0300-0000A6000000}">
      <text>
        <r>
          <rPr>
            <sz val="10"/>
            <color rgb="FF000000"/>
            <rFont val="Arial"/>
            <scheme val="minor"/>
          </rPr>
          <t>Airframe-limited. Has the thrust to exceed this speed but will rip trying to do so</t>
        </r>
      </text>
    </comment>
    <comment ref="C110" authorId="0" shapeId="0" xr:uid="{00000000-0006-0000-0300-0000A7000000}">
      <text>
        <r>
          <rPr>
            <sz val="10"/>
            <color rgb="FF000000"/>
            <rFont val="Arial"/>
            <scheme val="minor"/>
          </rPr>
          <t>758mph with 4xAIM-9E
slightly faster than US F-100D despite same engine because of the addition of mid-air refueling probe, wing fences, larger wing, and slightly larger vertical tail on F-100D all causing drag</t>
        </r>
      </text>
    </comment>
    <comment ref="D110" authorId="0" shapeId="0" xr:uid="{00000000-0006-0000-0300-0000A8000000}">
      <text>
        <r>
          <rPr>
            <sz val="10"/>
            <color rgb="FF000000"/>
            <rFont val="Arial"/>
            <scheme val="minor"/>
          </rPr>
          <t>1219kph with 4xAIM-9E
slightly faster than US F-100D despite same engine because of the addition of mid-air refueling probe, wing fences, larger wing, and slightly larger vertical tail on F-100D all causing drag</t>
        </r>
      </text>
    </comment>
    <comment ref="C111" authorId="0" shapeId="0" xr:uid="{00000000-0006-0000-0300-0000A9000000}">
      <text>
        <r>
          <rPr>
            <sz val="10"/>
            <color rgb="FF000000"/>
            <rFont val="Arial"/>
            <scheme val="minor"/>
          </rPr>
          <t>753mph with 4xAIM-9E
slightly slower than Taiwanese F-100A despite more thrust because of the addition of mid-air refueling probe, wing fences, larger wing, and slightly larger vertical tail all causing drag</t>
        </r>
      </text>
    </comment>
    <comment ref="D111" authorId="0" shapeId="0" xr:uid="{00000000-0006-0000-0300-0000AA000000}">
      <text>
        <r>
          <rPr>
            <sz val="10"/>
            <color rgb="FF000000"/>
            <rFont val="Arial"/>
            <scheme val="minor"/>
          </rPr>
          <t>1212kph with 4xAIM-9E
slightly slower than Taiwanese F-100A despite more thrust because of the addition of mid-air refueling probe, wing fences, larger wing, and slightly larger vertical tail all causing drag</t>
        </r>
      </text>
    </comment>
    <comment ref="D112" authorId="0" shapeId="0" xr:uid="{00000000-0006-0000-0300-0000AB000000}">
      <text>
        <r>
          <rPr>
            <sz val="10"/>
            <color rgb="FF000000"/>
            <rFont val="Arial"/>
            <scheme val="minor"/>
          </rPr>
          <t>nice to see the extra drag from it being a 2-seater is modelled</t>
        </r>
      </text>
    </comment>
    <comment ref="D113" authorId="0" shapeId="0" xr:uid="{00000000-0006-0000-0300-0000AC000000}">
      <text>
        <r>
          <rPr>
            <sz val="10"/>
            <color rgb="FF000000"/>
            <rFont val="Arial"/>
            <scheme val="minor"/>
          </rPr>
          <t>very slightly faster than Mig-19PT despite drag from extra cannon because of no drag from radar installation</t>
        </r>
      </text>
    </comment>
    <comment ref="C114" authorId="0" shapeId="0" xr:uid="{00000000-0006-0000-0300-0000AD000000}">
      <text>
        <r>
          <rPr>
            <sz val="10"/>
            <color rgb="FF000000"/>
            <rFont val="Arial"/>
            <scheme val="minor"/>
          </rPr>
          <t>746mph with 2xR-3S</t>
        </r>
      </text>
    </comment>
    <comment ref="D114" authorId="0" shapeId="0" xr:uid="{00000000-0006-0000-0300-0000AE000000}">
      <text>
        <r>
          <rPr>
            <sz val="10"/>
            <color rgb="FF000000"/>
            <rFont val="Arial"/>
            <scheme val="minor"/>
          </rPr>
          <t>1200kph with 2xR-3S</t>
        </r>
      </text>
    </comment>
    <comment ref="C116" authorId="0" shapeId="0" xr:uid="{00000000-0006-0000-0300-0000AF000000}">
      <text>
        <r>
          <rPr>
            <sz val="10"/>
            <color rgb="FF000000"/>
            <rFont val="Arial"/>
            <scheme val="minor"/>
          </rPr>
          <t>716mph with drop tanks</t>
        </r>
      </text>
    </comment>
    <comment ref="D116" authorId="0" shapeId="0" xr:uid="{00000000-0006-0000-0300-0000B0000000}">
      <text>
        <r>
          <rPr>
            <sz val="10"/>
            <color rgb="FF000000"/>
            <rFont val="Arial"/>
            <scheme val="minor"/>
          </rPr>
          <t>1152kph with drop tanks
drag from drop tanks doesn't seem to be modelled</t>
        </r>
      </text>
    </comment>
    <comment ref="C117" authorId="0" shapeId="0" xr:uid="{00000000-0006-0000-0300-0000B1000000}">
      <text>
        <r>
          <rPr>
            <sz val="10"/>
            <color rgb="FF000000"/>
            <rFont val="Arial"/>
            <scheme val="minor"/>
          </rPr>
          <t>on WEP
704mph on 100%
completely clean (no missiles or CM pod)</t>
        </r>
      </text>
    </comment>
    <comment ref="D117" authorId="0" shapeId="0" xr:uid="{00000000-0006-0000-0300-0000B2000000}">
      <text>
        <r>
          <rPr>
            <sz val="10"/>
            <color rgb="FF000000"/>
            <rFont val="Arial"/>
            <scheme val="minor"/>
          </rPr>
          <t>on WEP
1133kph on 100%
completely clean (no missiles or CM pod)</t>
        </r>
      </text>
    </comment>
    <comment ref="C118" authorId="0" shapeId="0" xr:uid="{00000000-0006-0000-0300-0000B3000000}">
      <text>
        <r>
          <rPr>
            <sz val="10"/>
            <color rgb="FF000000"/>
            <rFont val="Arial"/>
            <scheme val="minor"/>
          </rPr>
          <t>704mph with 4xRB24</t>
        </r>
      </text>
    </comment>
    <comment ref="D118" authorId="0" shapeId="0" xr:uid="{00000000-0006-0000-0300-0000B4000000}">
      <text>
        <r>
          <rPr>
            <sz val="10"/>
            <color rgb="FF000000"/>
            <rFont val="Arial"/>
            <scheme val="minor"/>
          </rPr>
          <t>1133kph with 4xRB24</t>
        </r>
      </text>
    </comment>
    <comment ref="C119" authorId="0" shapeId="0" xr:uid="{00000000-0006-0000-0300-0000B5000000}">
      <text>
        <r>
          <rPr>
            <sz val="10"/>
            <color rgb="FF000000"/>
            <rFont val="Arial"/>
            <scheme val="minor"/>
          </rPr>
          <t>with WEP
702mph on 100%
698mph on 100% with 4xSRAAM</t>
        </r>
      </text>
    </comment>
    <comment ref="D119" authorId="0" shapeId="0" xr:uid="{00000000-0006-0000-0300-0000B6000000}">
      <text>
        <r>
          <rPr>
            <sz val="10"/>
            <color rgb="FF000000"/>
            <rFont val="Arial"/>
            <scheme val="minor"/>
          </rPr>
          <t>with WEP
1130kph on 100%
1123kph on 100% with 4xSRAAM</t>
        </r>
      </text>
    </comment>
    <comment ref="C121" authorId="0" shapeId="0" xr:uid="{00000000-0006-0000-0300-0000B7000000}">
      <text>
        <r>
          <rPr>
            <sz val="10"/>
            <color rgb="FF000000"/>
            <rFont val="Arial"/>
            <scheme val="minor"/>
          </rPr>
          <t>676mph with 2xAIM-9D + 2xShafrir 2</t>
        </r>
      </text>
    </comment>
    <comment ref="D121" authorId="0" shapeId="0" xr:uid="{00000000-0006-0000-0300-0000B8000000}">
      <text>
        <r>
          <rPr>
            <sz val="10"/>
            <color rgb="FF000000"/>
            <rFont val="Arial"/>
            <scheme val="minor"/>
          </rPr>
          <t>1088kph with 2xAIM-9D + 2xShafrir 2</t>
        </r>
      </text>
    </comment>
    <comment ref="D125" authorId="0" shapeId="0" xr:uid="{00000000-0006-0000-0300-0000B9000000}">
      <text>
        <r>
          <rPr>
            <sz val="10"/>
            <color rgb="FF000000"/>
            <rFont val="Arial"/>
            <scheme val="minor"/>
          </rPr>
          <t>is not airframe-limited even when clean, even though overspeed warning starts flashing on screen way before this speed</t>
        </r>
      </text>
    </comment>
    <comment ref="C126" authorId="0" shapeId="0" xr:uid="{00000000-0006-0000-0300-0000BA000000}">
      <text>
        <r>
          <rPr>
            <sz val="10"/>
            <color rgb="FF000000"/>
            <rFont val="Arial"/>
            <scheme val="minor"/>
          </rPr>
          <t>713mph with 2xAIM-7C + 2xAIM-9B</t>
        </r>
      </text>
    </comment>
    <comment ref="D126" authorId="0" shapeId="0" xr:uid="{00000000-0006-0000-0300-0000BB000000}">
      <text>
        <r>
          <rPr>
            <sz val="10"/>
            <color rgb="FF000000"/>
            <rFont val="Arial"/>
            <scheme val="minor"/>
          </rPr>
          <t>1148kph with 2xAIM-7C + 2xAIM-9B</t>
        </r>
      </text>
    </comment>
    <comment ref="C127" authorId="0" shapeId="0" xr:uid="{00000000-0006-0000-0300-0000BC000000}">
      <text>
        <r>
          <rPr>
            <sz val="10"/>
            <color rgb="FF000000"/>
            <rFont val="Arial"/>
            <scheme val="minor"/>
          </rPr>
          <t>713mph with 4xAIM-9B</t>
        </r>
      </text>
    </comment>
    <comment ref="D127" authorId="0" shapeId="0" xr:uid="{00000000-0006-0000-0300-0000BD000000}">
      <text>
        <r>
          <rPr>
            <sz val="10"/>
            <color rgb="FF000000"/>
            <rFont val="Arial"/>
            <scheme val="minor"/>
          </rPr>
          <t>1148kph with 4xAIM-9B</t>
        </r>
      </text>
    </comment>
    <comment ref="D128" authorId="0" shapeId="0" xr:uid="{00000000-0006-0000-0300-0000BE000000}">
      <text>
        <r>
          <rPr>
            <sz val="10"/>
            <color rgb="FF000000"/>
            <rFont val="Arial"/>
            <scheme val="minor"/>
          </rPr>
          <t>1132kph with 2xR-3S</t>
        </r>
      </text>
    </comment>
    <comment ref="C129" authorId="0" shapeId="0" xr:uid="{00000000-0006-0000-0300-0000BF000000}">
      <text>
        <r>
          <rPr>
            <sz val="10"/>
            <color rgb="FF000000"/>
            <rFont val="Arial"/>
            <scheme val="minor"/>
          </rPr>
          <t>with WEP
702mph on 100%
698mph on 100% with 4xSRAAM</t>
        </r>
      </text>
    </comment>
    <comment ref="D129" authorId="0" shapeId="0" xr:uid="{00000000-0006-0000-0300-0000C0000000}">
      <text>
        <r>
          <rPr>
            <sz val="10"/>
            <color rgb="FF000000"/>
            <rFont val="Arial"/>
            <scheme val="minor"/>
          </rPr>
          <t>with WEP
1130kph on 100%
1123kph on 100% with 4xSRAAM</t>
        </r>
      </text>
    </comment>
    <comment ref="D130" authorId="0" shapeId="0" xr:uid="{00000000-0006-0000-0300-0000C1000000}">
      <text>
        <r>
          <rPr>
            <sz val="10"/>
            <color rgb="FF000000"/>
            <rFont val="Arial"/>
            <scheme val="minor"/>
          </rPr>
          <t>Airframe-limited. Has the thrust to exceed this speed but will rip trying to do so</t>
        </r>
      </text>
    </comment>
    <comment ref="C132" authorId="0" shapeId="0" xr:uid="{00000000-0006-0000-0300-0000C2000000}">
      <text>
        <r>
          <rPr>
            <sz val="10"/>
            <color rgb="FF000000"/>
            <rFont val="Arial"/>
            <scheme val="minor"/>
          </rPr>
          <t>693mph with 2xAIM-9B</t>
        </r>
      </text>
    </comment>
    <comment ref="D132" authorId="0" shapeId="0" xr:uid="{00000000-0006-0000-0300-0000C3000000}">
      <text>
        <r>
          <rPr>
            <sz val="10"/>
            <color rgb="FF000000"/>
            <rFont val="Arial"/>
            <scheme val="minor"/>
          </rPr>
          <t xml:space="preserve">1115kph with 2xAIM-9B
</t>
        </r>
      </text>
    </comment>
    <comment ref="C134" authorId="0" shapeId="0" xr:uid="{00000000-0006-0000-0300-0000C4000000}">
      <text>
        <r>
          <rPr>
            <sz val="10"/>
            <color rgb="FF000000"/>
            <rFont val="Arial"/>
            <scheme val="minor"/>
          </rPr>
          <t>689mph with 2xAIM-9B</t>
        </r>
      </text>
    </comment>
    <comment ref="D134" authorId="0" shapeId="0" xr:uid="{00000000-0006-0000-0300-0000C5000000}">
      <text>
        <r>
          <rPr>
            <sz val="10"/>
            <color rgb="FF000000"/>
            <rFont val="Arial"/>
            <scheme val="minor"/>
          </rPr>
          <t>1109kph with 2xAIM-9B</t>
        </r>
      </text>
    </comment>
    <comment ref="C135" authorId="0" shapeId="0" xr:uid="{00000000-0006-0000-0300-0000C6000000}">
      <text>
        <r>
          <rPr>
            <sz val="10"/>
            <color rgb="FF000000"/>
            <rFont val="Arial"/>
            <scheme val="minor"/>
          </rPr>
          <t>687mph with 2xAIM-9B</t>
        </r>
      </text>
    </comment>
    <comment ref="D135" authorId="0" shapeId="0" xr:uid="{00000000-0006-0000-0300-0000C7000000}">
      <text>
        <r>
          <rPr>
            <sz val="10"/>
            <color rgb="FF000000"/>
            <rFont val="Arial"/>
            <scheme val="minor"/>
          </rPr>
          <t>1106kph with 2xAIM-9B</t>
        </r>
      </text>
    </comment>
    <comment ref="C136" authorId="0" shapeId="0" xr:uid="{00000000-0006-0000-0300-0000C8000000}">
      <text>
        <r>
          <rPr>
            <sz val="10"/>
            <color rgb="FF000000"/>
            <rFont val="Arial"/>
            <scheme val="minor"/>
          </rPr>
          <t>Same speed as F-2/F-25/F-30. Makes no sense as it has longer wings and should have more drag. Seems to be an oversight from gaijin
682mph with 2xAIM-9B</t>
        </r>
      </text>
    </comment>
    <comment ref="D136" authorId="0" shapeId="0" xr:uid="{00000000-0006-0000-0300-0000C9000000}">
      <text>
        <r>
          <rPr>
            <sz val="10"/>
            <color rgb="FF000000"/>
            <rFont val="Arial"/>
            <scheme val="minor"/>
          </rPr>
          <t xml:space="preserve">Same speed as F-2/F-25/F-30. Makes no sense as it has longer wings and should have more drag. Seems to be an oversight from gaijin
1097kph with 2xAIM-9B
</t>
        </r>
      </text>
    </comment>
    <comment ref="C137" authorId="0" shapeId="0" xr:uid="{00000000-0006-0000-0300-0000CA000000}">
      <text>
        <r>
          <rPr>
            <sz val="10"/>
            <color rgb="FF000000"/>
            <rFont val="Arial"/>
            <scheme val="minor"/>
          </rPr>
          <t>666mph with 2xAIM-9B</t>
        </r>
      </text>
    </comment>
    <comment ref="D137" authorId="0" shapeId="0" xr:uid="{00000000-0006-0000-0300-0000CB000000}">
      <text>
        <r>
          <rPr>
            <sz val="10"/>
            <color rgb="FF000000"/>
            <rFont val="Arial"/>
            <scheme val="minor"/>
          </rPr>
          <t>1072kph with 2xAIM-9B</t>
        </r>
      </text>
    </comment>
    <comment ref="C138" authorId="0" shapeId="0" xr:uid="{00000000-0006-0000-0300-0000CC000000}">
      <text>
        <r>
          <rPr>
            <sz val="10"/>
            <color rgb="FF000000"/>
            <rFont val="Arial"/>
            <scheme val="minor"/>
          </rPr>
          <t>746mph with 4xAIM-9B</t>
        </r>
      </text>
    </comment>
    <comment ref="D138" authorId="0" shapeId="0" xr:uid="{00000000-0006-0000-0300-0000CD000000}">
      <text>
        <r>
          <rPr>
            <sz val="10"/>
            <color rgb="FF000000"/>
            <rFont val="Arial"/>
            <scheme val="minor"/>
          </rPr>
          <t>1200kph with 4xAIM-9B</t>
        </r>
      </text>
    </comment>
    <comment ref="D142" authorId="0" shapeId="0" xr:uid="{00000000-0006-0000-0300-0000CE000000}">
      <text>
        <r>
          <rPr>
            <sz val="10"/>
            <color rgb="FF000000"/>
            <rFont val="Arial"/>
            <scheme val="minor"/>
          </rPr>
          <t>stat card is huge liar. This plane is much faster than Sagittario 2</t>
        </r>
      </text>
    </comment>
    <comment ref="C147" authorId="0" shapeId="0" xr:uid="{00000000-0006-0000-0300-0000CF000000}">
      <text>
        <r>
          <rPr>
            <sz val="10"/>
            <color rgb="FF000000"/>
            <rFont val="Arial"/>
            <scheme val="minor"/>
          </rPr>
          <t>Same speed as F-2/F-25/F-30. Makes no sense as it has longer wings and should have more drag. Seems to be an oversight from gaijin
682mph with 2xAIM-9B</t>
        </r>
      </text>
    </comment>
    <comment ref="D147" authorId="0" shapeId="0" xr:uid="{00000000-0006-0000-0300-0000D0000000}">
      <text>
        <r>
          <rPr>
            <sz val="10"/>
            <color rgb="FF000000"/>
            <rFont val="Arial"/>
            <scheme val="minor"/>
          </rPr>
          <t xml:space="preserve">Same speed as F-2/F-25/F-30. Makes no sense as it has longer wings and should have more drag. Seems to be an oversight from gaijin
1097kph with 2xAIM-9B
</t>
        </r>
      </text>
    </comment>
    <comment ref="C148" authorId="0" shapeId="0" xr:uid="{00000000-0006-0000-0300-0000D1000000}">
      <text>
        <r>
          <rPr>
            <sz val="10"/>
            <color rgb="FF000000"/>
            <rFont val="Arial"/>
            <scheme val="minor"/>
          </rPr>
          <t>681mph with 2xFlz Lwf 63</t>
        </r>
      </text>
    </comment>
    <comment ref="D148" authorId="0" shapeId="0" xr:uid="{00000000-0006-0000-0300-0000D2000000}">
      <text>
        <r>
          <rPr>
            <sz val="10"/>
            <color rgb="FF000000"/>
            <rFont val="Arial"/>
            <scheme val="minor"/>
          </rPr>
          <t>1096kph with 2xFlz Lwf 63</t>
        </r>
      </text>
    </comment>
    <comment ref="C150" authorId="0" shapeId="0" xr:uid="{00000000-0006-0000-0300-0000D3000000}">
      <text>
        <r>
          <rPr>
            <sz val="10"/>
            <color rgb="FF000000"/>
            <rFont val="Arial"/>
            <scheme val="minor"/>
          </rPr>
          <t>651mph with 4xAIM-9B</t>
        </r>
      </text>
    </comment>
    <comment ref="D150" authorId="0" shapeId="0" xr:uid="{00000000-0006-0000-0300-0000D4000000}">
      <text>
        <r>
          <rPr>
            <sz val="10"/>
            <color rgb="FF000000"/>
            <rFont val="Arial"/>
            <scheme val="minor"/>
          </rPr>
          <t>1047kph with 4xAIM-9B</t>
        </r>
      </text>
    </comment>
    <comment ref="C151" authorId="0" shapeId="0" xr:uid="{00000000-0006-0000-0300-0000D5000000}">
      <text>
        <r>
          <rPr>
            <sz val="10"/>
            <color rgb="FF000000"/>
            <rFont val="Arial"/>
            <scheme val="minor"/>
          </rPr>
          <t>651mph with 4xAIM-9B</t>
        </r>
      </text>
    </comment>
    <comment ref="D151" authorId="0" shapeId="0" xr:uid="{00000000-0006-0000-0300-0000D6000000}">
      <text>
        <r>
          <rPr>
            <sz val="10"/>
            <color rgb="FF000000"/>
            <rFont val="Arial"/>
            <scheme val="minor"/>
          </rPr>
          <t>1047kph with 4xAIM-9B</t>
        </r>
      </text>
    </comment>
    <comment ref="C153" authorId="0" shapeId="0" xr:uid="{00000000-0006-0000-0300-0000D7000000}">
      <text>
        <r>
          <rPr>
            <sz val="10"/>
            <color rgb="FF000000"/>
            <rFont val="Arial"/>
            <scheme val="minor"/>
          </rPr>
          <t>with 30mm gun</t>
        </r>
      </text>
    </comment>
    <comment ref="D153" authorId="0" shapeId="0" xr:uid="{00000000-0006-0000-0300-0000D8000000}">
      <text>
        <r>
          <rPr>
            <sz val="10"/>
            <color rgb="FF000000"/>
            <rFont val="Arial"/>
            <scheme val="minor"/>
          </rPr>
          <t>with 30mm gun</t>
        </r>
      </text>
    </comment>
    <comment ref="C154" authorId="0" shapeId="0" xr:uid="{00000000-0006-0000-0300-0000D9000000}">
      <text>
        <r>
          <rPr>
            <sz val="10"/>
            <color rgb="FF000000"/>
            <rFont val="Arial"/>
            <scheme val="minor"/>
          </rPr>
          <t>654mph with 2xAIM-9B
632mph with 2xAIM-9B + gunpod</t>
        </r>
      </text>
    </comment>
    <comment ref="D154" authorId="0" shapeId="0" xr:uid="{00000000-0006-0000-0300-0000DA000000}">
      <text>
        <r>
          <rPr>
            <sz val="10"/>
            <color rgb="FF000000"/>
            <rFont val="Arial"/>
            <scheme val="minor"/>
          </rPr>
          <t>1053kph with 2xAIM-9B
1017kph with 2xAIM-9B + gunpod</t>
        </r>
      </text>
    </comment>
    <comment ref="C157" authorId="0" shapeId="0" xr:uid="{00000000-0006-0000-0300-0000DB000000}">
      <text>
        <r>
          <rPr>
            <sz val="10"/>
            <color rgb="FF000000"/>
            <rFont val="Arial"/>
            <scheme val="minor"/>
          </rPr>
          <t>675mph with 2xNords</t>
        </r>
      </text>
    </comment>
    <comment ref="D157" authorId="0" shapeId="0" xr:uid="{00000000-0006-0000-0300-0000DC000000}">
      <text>
        <r>
          <rPr>
            <sz val="10"/>
            <color rgb="FF000000"/>
            <rFont val="Arial"/>
            <scheme val="minor"/>
          </rPr>
          <t>1087kph with 2xNords</t>
        </r>
      </text>
    </comment>
    <comment ref="C158" authorId="0" shapeId="0" xr:uid="{00000000-0006-0000-0300-0000DD000000}">
      <text>
        <r>
          <rPr>
            <sz val="10"/>
            <color rgb="FF000000"/>
            <rFont val="Arial"/>
            <scheme val="minor"/>
          </rPr>
          <t>Same speed as F-2/F-25/F-30. Makes no sense as it has longer wings and should have more drag. Seems to be an oversight from gaijin
682mph with 2xAIM-9B</t>
        </r>
      </text>
    </comment>
    <comment ref="D158" authorId="0" shapeId="0" xr:uid="{00000000-0006-0000-0300-0000DE000000}">
      <text>
        <r>
          <rPr>
            <sz val="10"/>
            <color rgb="FF000000"/>
            <rFont val="Arial"/>
            <scheme val="minor"/>
          </rPr>
          <t xml:space="preserve">Same speed as F-2/F-25/F-30. Makes no sense as it has longer wings and should have more drag. Seems to be an oversight from gaijin
1097kph with 2xAIM-9B
</t>
        </r>
      </text>
    </comment>
    <comment ref="C159" authorId="0" shapeId="0" xr:uid="{00000000-0006-0000-0300-0000DF000000}">
      <text>
        <r>
          <rPr>
            <sz val="10"/>
            <color rgb="FF000000"/>
            <rFont val="Arial"/>
            <scheme val="minor"/>
          </rPr>
          <t>Same speed as F-2/F-25/F-30. Makes no sense as it has longer wings and should have more drag. Seems to be an oversight from gaijin
682mph with 2xAIM-9B</t>
        </r>
      </text>
    </comment>
    <comment ref="D159" authorId="0" shapeId="0" xr:uid="{00000000-0006-0000-0300-0000E0000000}">
      <text>
        <r>
          <rPr>
            <sz val="10"/>
            <color rgb="FF000000"/>
            <rFont val="Arial"/>
            <scheme val="minor"/>
          </rPr>
          <t xml:space="preserve">Same speed as F-2/F-25/F-30. Makes no sense as it has longer wings and should have more drag. Seems to be an oversight from gaijin
1097kph with 2xAIM-9B
</t>
        </r>
      </text>
    </comment>
    <comment ref="C160" authorId="0" shapeId="0" xr:uid="{00000000-0006-0000-0300-0000E1000000}">
      <text>
        <r>
          <rPr>
            <sz val="10"/>
            <color rgb="FF000000"/>
            <rFont val="Arial"/>
            <scheme val="minor"/>
          </rPr>
          <t>Same speed as F-2/F-25/F-30. Makes no sense as it has longer wings and should have more drag. Seems to be an oversight from gaijin
682mph with 2xAIM-9B</t>
        </r>
      </text>
    </comment>
    <comment ref="D160" authorId="0" shapeId="0" xr:uid="{00000000-0006-0000-0300-0000E2000000}">
      <text>
        <r>
          <rPr>
            <sz val="10"/>
            <color rgb="FF000000"/>
            <rFont val="Arial"/>
            <scheme val="minor"/>
          </rPr>
          <t xml:space="preserve">Same speed as F-2/F-25/F-30. Makes no sense as it has longer wings and should have more drag. Seems to be an oversight from gaijin
1097kph with 2xAIM-9B
</t>
        </r>
      </text>
    </comment>
    <comment ref="C162" authorId="0" shapeId="0" xr:uid="{00000000-0006-0000-0300-0000E3000000}">
      <text>
        <r>
          <rPr>
            <sz val="10"/>
            <color rgb="FF000000"/>
            <rFont val="Arial"/>
            <scheme val="minor"/>
          </rPr>
          <t>651mph with 4xAIM-9B</t>
        </r>
      </text>
    </comment>
    <comment ref="D162" authorId="0" shapeId="0" xr:uid="{00000000-0006-0000-0300-0000E4000000}">
      <text>
        <r>
          <rPr>
            <sz val="10"/>
            <color rgb="FF000000"/>
            <rFont val="Arial"/>
            <scheme val="minor"/>
          </rPr>
          <t>1047kph with 4xAIM-9B</t>
        </r>
      </text>
    </comment>
    <comment ref="D167" authorId="0" shapeId="0" xr:uid="{00000000-0006-0000-0300-0000E5000000}">
      <text>
        <r>
          <rPr>
            <sz val="10"/>
            <color rgb="FF000000"/>
            <rFont val="Arial"/>
            <scheme val="minor"/>
          </rPr>
          <t xml:space="preserve">Airframe-limited even with full loadout of guns and/or missiles. Has the thrust to exceed this speed but will rip trying to do so
</t>
        </r>
      </text>
    </comment>
    <comment ref="C168" authorId="0" shapeId="0" xr:uid="{00000000-0006-0000-0300-0000E6000000}">
      <text>
        <r>
          <rPr>
            <sz val="10"/>
            <color rgb="FF000000"/>
            <rFont val="Arial"/>
            <scheme val="minor"/>
          </rPr>
          <t>702mph with 4xRed Top</t>
        </r>
      </text>
    </comment>
    <comment ref="D168" authorId="0" shapeId="0" xr:uid="{00000000-0006-0000-0300-0000E7000000}">
      <text>
        <r>
          <rPr>
            <sz val="10"/>
            <color rgb="FF000000"/>
            <rFont val="Arial"/>
            <scheme val="minor"/>
          </rPr>
          <t>1130kph with 4xRed Top</t>
        </r>
      </text>
    </comment>
    <comment ref="C173" authorId="0" shapeId="0" xr:uid="{00000000-0006-0000-0300-0000E8000000}">
      <text>
        <r>
          <rPr>
            <sz val="10"/>
            <color rgb="FF000000"/>
            <rFont val="Arial"/>
            <scheme val="minor"/>
          </rPr>
          <t>618mph with 4xAIM-9B</t>
        </r>
      </text>
    </comment>
    <comment ref="D173" authorId="0" shapeId="0" xr:uid="{00000000-0006-0000-0300-0000E9000000}">
      <text>
        <r>
          <rPr>
            <sz val="10"/>
            <color rgb="FF000000"/>
            <rFont val="Arial"/>
            <scheme val="minor"/>
          </rPr>
          <t>994kph with 4xAIM-9B</t>
        </r>
      </text>
    </comment>
    <comment ref="D175" authorId="0" shapeId="0" xr:uid="{00000000-0006-0000-0300-0000EA000000}">
      <text>
        <r>
          <rPr>
            <sz val="10"/>
            <color rgb="FF000000"/>
            <rFont val="Arial"/>
            <scheme val="minor"/>
          </rPr>
          <t>airframe-limited. Has enough thrust to exceed this speed but will rip doing so</t>
        </r>
      </text>
    </comment>
    <comment ref="C176" authorId="0" shapeId="0" xr:uid="{00000000-0006-0000-0300-0000EB000000}">
      <text>
        <r>
          <rPr>
            <sz val="10"/>
            <color rgb="FF000000"/>
            <rFont val="Arial"/>
            <scheme val="minor"/>
          </rPr>
          <t>with water injection (WEP)
605mph on military power (100%)
.</t>
        </r>
      </text>
    </comment>
    <comment ref="D176" authorId="0" shapeId="0" xr:uid="{00000000-0006-0000-0300-0000EC000000}">
      <text>
        <r>
          <rPr>
            <sz val="10"/>
            <color rgb="FF000000"/>
            <rFont val="Arial"/>
            <scheme val="minor"/>
          </rPr>
          <t xml:space="preserve">with water injection (WEP)
974kph on military power (100%)
</t>
        </r>
      </text>
    </comment>
    <comment ref="C177" authorId="0" shapeId="0" xr:uid="{00000000-0006-0000-0300-0000ED000000}">
      <text>
        <r>
          <rPr>
            <sz val="10"/>
            <color rgb="FF000000"/>
            <rFont val="Arial"/>
            <scheme val="minor"/>
          </rPr>
          <t xml:space="preserve">clean
598mph with 2x30mm gunpods
</t>
        </r>
      </text>
    </comment>
    <comment ref="D177" authorId="0" shapeId="0" xr:uid="{00000000-0006-0000-0300-0000EE000000}">
      <text>
        <r>
          <rPr>
            <sz val="10"/>
            <color rgb="FF000000"/>
            <rFont val="Arial"/>
            <scheme val="minor"/>
          </rPr>
          <t xml:space="preserve">clean
962kph with 2x30mm gunpods
</t>
        </r>
      </text>
    </comment>
    <comment ref="C178" authorId="0" shapeId="0" xr:uid="{00000000-0006-0000-0300-0000EF000000}">
      <text>
        <r>
          <rPr>
            <sz val="10"/>
            <color rgb="FF000000"/>
            <rFont val="Arial"/>
            <scheme val="minor"/>
          </rPr>
          <t xml:space="preserve">clean
598mph with 2x30mm gunpods
</t>
        </r>
      </text>
    </comment>
    <comment ref="D178" authorId="0" shapeId="0" xr:uid="{00000000-0006-0000-0300-0000F0000000}">
      <text>
        <r>
          <rPr>
            <sz val="10"/>
            <color rgb="FF000000"/>
            <rFont val="Arial"/>
            <scheme val="minor"/>
          </rPr>
          <t xml:space="preserve">clean
962kph with 2x30mm gunpods
</t>
        </r>
      </text>
    </comment>
    <comment ref="D179" authorId="0" shapeId="0" xr:uid="{00000000-0006-0000-0300-0000F1000000}">
      <text>
        <r>
          <rPr>
            <sz val="10"/>
            <color rgb="FF000000"/>
            <rFont val="Arial"/>
            <scheme val="minor"/>
          </rPr>
          <t xml:space="preserve">969kph with 20mm gunpods
Drag from gunpods is not modelled. Has to be a bug
</t>
        </r>
      </text>
    </comment>
    <comment ref="C180" authorId="0" shapeId="0" xr:uid="{00000000-0006-0000-0300-0000F2000000}">
      <text>
        <r>
          <rPr>
            <sz val="10"/>
            <color rgb="FF000000"/>
            <rFont val="Arial"/>
            <scheme val="minor"/>
          </rPr>
          <t>with water injection (WEP)
575mph on military power (100%)</t>
        </r>
      </text>
    </comment>
    <comment ref="D180" authorId="0" shapeId="0" xr:uid="{00000000-0006-0000-0300-0000F3000000}">
      <text>
        <r>
          <rPr>
            <sz val="10"/>
            <color rgb="FF000000"/>
            <rFont val="Arial"/>
            <scheme val="minor"/>
          </rPr>
          <t xml:space="preserve">with water injection (WEP)
925kph on military power (100%)
</t>
        </r>
      </text>
    </comment>
    <comment ref="C185" authorId="0" shapeId="0" xr:uid="{00000000-0006-0000-0300-0000F4000000}">
      <text>
        <r>
          <rPr>
            <sz val="10"/>
            <color rgb="FF000000"/>
            <rFont val="Arial"/>
            <scheme val="minor"/>
          </rPr>
          <t>with boosters
510mph without boosters</t>
        </r>
      </text>
    </comment>
    <comment ref="D185" authorId="0" shapeId="0" xr:uid="{00000000-0006-0000-0300-0000F5000000}">
      <text>
        <r>
          <rPr>
            <sz val="10"/>
            <color rgb="FF000000"/>
            <rFont val="Arial"/>
            <scheme val="minor"/>
          </rPr>
          <t>with boosters
821kph without boosters</t>
        </r>
      </text>
    </comment>
    <comment ref="D186" authorId="0" shapeId="0" xr:uid="{00000000-0006-0000-0300-0000F6000000}">
      <text>
        <r>
          <rPr>
            <sz val="10"/>
            <color rgb="FF000000"/>
            <rFont val="Arial"/>
            <scheme val="minor"/>
          </rPr>
          <t>only 3% faster than F-84B despite 42% more thrust at 953kph. This illustrates well the nonlinear nature of drag. For a certain increase in speed, you gain a much larger increase in drag. This effect becomes more pronounced the faster you are, and even more when you get near transonic speeds and an additional type of drag is introduced - wave drag</t>
        </r>
      </text>
    </comment>
    <comment ref="D188" authorId="0" shapeId="0" xr:uid="{00000000-0006-0000-0300-0000F7000000}">
      <text>
        <r>
          <rPr>
            <sz val="10"/>
            <color rgb="FF000000"/>
            <rFont val="Arial"/>
            <scheme val="minor"/>
          </rPr>
          <t xml:space="preserve">969kph with 20mm gunpods
Drag from gunpods is not modelled. Has to be a bug
</t>
        </r>
      </text>
    </comment>
    <comment ref="D191" authorId="0" shapeId="0" xr:uid="{00000000-0006-0000-0300-0000F8000000}">
      <text>
        <r>
          <rPr>
            <sz val="10"/>
            <color rgb="FF000000"/>
            <rFont val="Arial"/>
            <scheme val="minor"/>
          </rPr>
          <t>slightly faster than the F due to less drag from clipped wings</t>
        </r>
      </text>
    </comment>
    <comment ref="D192" authorId="0" shapeId="0" xr:uid="{00000000-0006-0000-0300-0000F9000000}">
      <text>
        <r>
          <rPr>
            <sz val="10"/>
            <color rgb="FF000000"/>
            <rFont val="Arial"/>
            <scheme val="minor"/>
          </rPr>
          <t>Airframe-limited. Has the thrust to exceed this speed but will rip trying to do so</t>
        </r>
      </text>
    </comment>
    <comment ref="D193" authorId="0" shapeId="0" xr:uid="{00000000-0006-0000-0300-0000FA000000}">
      <text>
        <r>
          <rPr>
            <sz val="10"/>
            <color rgb="FF000000"/>
            <rFont val="Arial"/>
            <scheme val="minor"/>
          </rPr>
          <t>Airframe-limited. Has the thrust to exceed this speed but will rip trying to do so</t>
        </r>
      </text>
    </comment>
    <comment ref="C196" authorId="0" shapeId="0" xr:uid="{00000000-0006-0000-0300-0000FB000000}">
      <text>
        <r>
          <rPr>
            <sz val="10"/>
            <color rgb="FF000000"/>
            <rFont val="Arial"/>
            <scheme val="minor"/>
          </rPr>
          <t>Airframe-limited. Has the thrust to exceed this speed but will rip trying to do so</t>
        </r>
      </text>
    </comment>
    <comment ref="D196" authorId="0" shapeId="0" xr:uid="{00000000-0006-0000-0300-0000FC000000}">
      <text>
        <r>
          <rPr>
            <sz val="10"/>
            <color rgb="FF000000"/>
            <rFont val="Arial"/>
            <scheme val="minor"/>
          </rPr>
          <t>Airframe-limited. Has the thrust to exceed this speed but will rip trying to do so</t>
        </r>
      </text>
    </comment>
    <comment ref="C198" authorId="0" shapeId="0" xr:uid="{00000000-0006-0000-0300-0000FD000000}">
      <text>
        <r>
          <rPr>
            <sz val="10"/>
            <color rgb="FF000000"/>
            <rFont val="Arial"/>
            <scheme val="minor"/>
          </rPr>
          <t>with boosters
510mph without boosters</t>
        </r>
      </text>
    </comment>
    <comment ref="D198" authorId="0" shapeId="0" xr:uid="{00000000-0006-0000-0300-0000FE000000}">
      <text>
        <r>
          <rPr>
            <sz val="10"/>
            <color rgb="FF000000"/>
            <rFont val="Arial"/>
            <scheme val="minor"/>
          </rPr>
          <t>with boosters
821kph without boosters</t>
        </r>
      </text>
    </comment>
    <comment ref="C199" authorId="0" shapeId="0" xr:uid="{00000000-0006-0000-0300-0000FF000000}">
      <text>
        <r>
          <rPr>
            <sz val="10"/>
            <color rgb="FF000000"/>
            <rFont val="Arial"/>
            <scheme val="minor"/>
          </rPr>
          <t xml:space="preserve">567mph at 100% throttle
</t>
        </r>
      </text>
    </comment>
    <comment ref="D199" authorId="0" shapeId="0" xr:uid="{00000000-0006-0000-0300-000000010000}">
      <text>
        <r>
          <rPr>
            <sz val="10"/>
            <color rgb="FF000000"/>
            <rFont val="Arial"/>
            <scheme val="minor"/>
          </rPr>
          <t>913kph at 100% throttle</t>
        </r>
      </text>
    </comment>
    <comment ref="D206" authorId="0" shapeId="0" xr:uid="{00000000-0006-0000-0300-000001010000}">
      <text>
        <r>
          <rPr>
            <sz val="10"/>
            <color rgb="FF000000"/>
            <rFont val="Arial"/>
            <scheme val="minor"/>
          </rPr>
          <t xml:space="preserve">despite lower thrust from different engine installation than V1, this is an even lower-drag configuration </t>
        </r>
      </text>
    </comment>
    <comment ref="C211" authorId="0" shapeId="0" xr:uid="{00000000-0006-0000-0300-000002010000}">
      <text>
        <r>
          <rPr>
            <sz val="10"/>
            <color rgb="FF000000"/>
            <rFont val="Arial"/>
            <scheme val="minor"/>
          </rPr>
          <t>with water injection (WEP)
562mph on military power (100%)</t>
        </r>
      </text>
    </comment>
    <comment ref="D211" authorId="0" shapeId="0" xr:uid="{00000000-0006-0000-0300-000003010000}">
      <text>
        <r>
          <rPr>
            <sz val="10"/>
            <color rgb="FF000000"/>
            <rFont val="Arial"/>
            <scheme val="minor"/>
          </rPr>
          <t>with water injection (WEP)
904kph on military power (100%)</t>
        </r>
      </text>
    </comment>
    <comment ref="D212" authorId="0" shapeId="0" xr:uid="{00000000-0006-0000-0300-000004010000}">
      <text>
        <r>
          <rPr>
            <sz val="10"/>
            <color rgb="FF000000"/>
            <rFont val="Arial"/>
            <scheme val="minor"/>
          </rPr>
          <t>Airframe-limited. Has the thrust to exceed this speed but will rip trying to do so</t>
        </r>
      </text>
    </comment>
    <comment ref="D216" authorId="0" shapeId="0" xr:uid="{00000000-0006-0000-0300-000005010000}">
      <text>
        <r>
          <rPr>
            <sz val="10"/>
            <color rgb="FF000000"/>
            <rFont val="Arial"/>
            <scheme val="minor"/>
          </rPr>
          <t xml:space="preserve">despite lower thrust from different engine installation than V1, this is a lower-drag configuration </t>
        </r>
      </text>
    </comment>
    <comment ref="D217" authorId="0" shapeId="0" xr:uid="{00000000-0006-0000-0300-000006010000}">
      <text>
        <r>
          <rPr>
            <sz val="10"/>
            <color rgb="FF000000"/>
            <rFont val="Arial"/>
            <scheme val="minor"/>
          </rPr>
          <t>Airframe-limited. Has the thrust to exceed this speed but will rip trying to do so</t>
        </r>
      </text>
    </comment>
    <comment ref="C219" authorId="0" shapeId="0" xr:uid="{00000000-0006-0000-0300-000007010000}">
      <text>
        <r>
          <rPr>
            <sz val="10"/>
            <color rgb="FF000000"/>
            <rFont val="Arial"/>
            <scheme val="minor"/>
          </rPr>
          <t>clean
431mph with 2xRb05A
425mph with 2x30mm gunpods</t>
        </r>
      </text>
    </comment>
    <comment ref="D219" authorId="0" shapeId="0" xr:uid="{00000000-0006-0000-0300-000008010000}">
      <text>
        <r>
          <rPr>
            <sz val="10"/>
            <color rgb="FF000000"/>
            <rFont val="Arial"/>
            <scheme val="minor"/>
          </rPr>
          <t xml:space="preserve">clean
694kph with 2xRB05A
684kph with 2x30mm gunpods
</t>
        </r>
      </text>
    </comment>
    <comment ref="D227" authorId="0" shapeId="0" xr:uid="{00000000-0006-0000-0300-000009010000}">
      <text>
        <r>
          <rPr>
            <sz val="10"/>
            <color rgb="FF000000"/>
            <rFont val="Arial"/>
            <scheme val="minor"/>
          </rPr>
          <t>Airframe-limited. Has the thrust to exceed this speed but will rip trying to do so</t>
        </r>
      </text>
    </comment>
    <comment ref="C231" authorId="0" shapeId="0" xr:uid="{00000000-0006-0000-0300-00000A010000}">
      <text>
        <r>
          <rPr>
            <sz val="10"/>
            <color rgb="FF000000"/>
            <rFont val="Arial"/>
            <scheme val="minor"/>
          </rPr>
          <t>492mph on 100% throttle</t>
        </r>
      </text>
    </comment>
    <comment ref="D231" authorId="0" shapeId="0" xr:uid="{00000000-0006-0000-0300-00000B010000}">
      <text>
        <r>
          <rPr>
            <sz val="10"/>
            <color rgb="FF000000"/>
            <rFont val="Arial"/>
            <scheme val="minor"/>
          </rPr>
          <t>792kph on 100% throttle</t>
        </r>
      </text>
    </comment>
    <comment ref="D233" authorId="0" shapeId="0" xr:uid="{00000000-0006-0000-0300-00000C010000}">
      <text>
        <r>
          <rPr>
            <sz val="10"/>
            <color rgb="FF000000"/>
            <rFont val="Arial"/>
            <scheme val="minor"/>
          </rPr>
          <t>critical speed (speed where ripping becomes possible) is 750kph. This aircraft is almost airframe-limited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2" authorId="0" shapeId="0" xr:uid="{00000000-0006-0000-0100-000001000000}">
      <text>
        <r>
          <rPr>
            <sz val="10"/>
            <color rgb="FF000000"/>
            <rFont val="Arial"/>
            <scheme val="minor"/>
          </rPr>
          <t>Baseline being a MiG-15 going Mach 0.8 with 100% throttle at sea level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2" authorId="0" shapeId="0" xr:uid="{00000000-0006-0000-0200-000001000000}">
      <text>
        <r>
          <rPr>
            <sz val="10"/>
            <color rgb="FF000000"/>
            <rFont val="Arial"/>
            <scheme val="minor"/>
          </rPr>
          <t>Baseline being a MiG-15 going Mach 0.8 with 100% throttle at sea level</t>
        </r>
      </text>
    </comment>
    <comment ref="A43" authorId="0" shapeId="0" xr:uid="{00000000-0006-0000-0200-000002000000}">
      <text>
        <r>
          <rPr>
            <sz val="10"/>
            <color rgb="FF000000"/>
            <rFont val="Arial"/>
            <scheme val="minor"/>
          </rPr>
          <t>Baseline being a MiG-15 going Mach 0.8 with 100% throttle at sea level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2" authorId="0" shapeId="0" xr:uid="{00000000-0006-0000-0300-000001000000}">
      <text>
        <r>
          <rPr>
            <sz val="10"/>
            <color rgb="FF000000"/>
            <rFont val="Arial"/>
            <scheme val="minor"/>
          </rPr>
          <t>Baseline being a MiG-15 going Mach 0.8 with 100% throttle at sea level</t>
        </r>
      </text>
    </comment>
    <comment ref="A43" authorId="0" shapeId="0" xr:uid="{00000000-0006-0000-0300-000002000000}">
      <text>
        <r>
          <rPr>
            <sz val="10"/>
            <color rgb="FF000000"/>
            <rFont val="Arial"/>
            <scheme val="minor"/>
          </rPr>
          <t>Baseline being a MiG-15 going Mach 0.8 with 100% throttle at sea level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0" authorId="0" shapeId="0" xr:uid="{00000000-0006-0000-0400-000001000000}">
      <text>
        <r>
          <rPr>
            <sz val="10"/>
            <color rgb="FF000000"/>
            <rFont val="Arial"/>
            <scheme val="minor"/>
          </rPr>
          <t>Baseline being a MiG-15 going Mach 0.8 with 100% throttle at sea level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0" authorId="0" shapeId="0" xr:uid="{00000000-0006-0000-0500-000001000000}">
      <text>
        <r>
          <rPr>
            <sz val="10"/>
            <color rgb="FF000000"/>
            <rFont val="Arial"/>
            <scheme val="minor"/>
          </rPr>
          <t>Baseline being a MiG-15 going Mach 0.8 with 100% throttle at sea level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27" authorId="0" shapeId="0" xr:uid="{00000000-0006-0000-0800-000001000000}">
      <text>
        <r>
          <rPr>
            <sz val="10"/>
            <color rgb="FF000000"/>
            <rFont val="Arial"/>
            <scheme val="minor"/>
          </rPr>
          <t>This is very often overridden by the aircraft file.</t>
        </r>
      </text>
    </comment>
    <comment ref="A41" authorId="0" shapeId="0" xr:uid="{00000000-0006-0000-0800-000002000000}">
      <text>
        <r>
          <rPr>
            <sz val="10"/>
            <color rgb="FF000000"/>
            <rFont val="Arial"/>
            <scheme val="minor"/>
          </rPr>
          <t>Baseline value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27" authorId="0" shapeId="0" xr:uid="{00000000-0006-0000-0900-000001000000}">
      <text>
        <r>
          <rPr>
            <sz val="10"/>
            <color rgb="FF000000"/>
            <rFont val="Arial"/>
            <scheme val="minor"/>
          </rPr>
          <t>This is very often overridden by the aircraft file.</t>
        </r>
      </text>
    </comment>
    <comment ref="A41" authorId="0" shapeId="0" xr:uid="{00000000-0006-0000-0900-000002000000}">
      <text>
        <r>
          <rPr>
            <sz val="10"/>
            <color rgb="FF000000"/>
            <rFont val="Arial"/>
            <scheme val="minor"/>
          </rPr>
          <t>Baseline value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F00-000001000000}">
      <text>
        <r>
          <rPr>
            <sz val="10"/>
            <color rgb="FF000000"/>
            <rFont val="Arial"/>
            <scheme val="minor"/>
          </rPr>
          <t>This is very often overridden by the aircraft file.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1000-000001000000}">
      <text>
        <r>
          <rPr>
            <sz val="10"/>
            <color rgb="FF000000"/>
            <rFont val="Arial"/>
            <scheme val="minor"/>
          </rPr>
          <t>This is very often overridden by the aircraft file.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1200-000001000000}">
      <text>
        <r>
          <rPr>
            <sz val="10"/>
            <color rgb="FF000000"/>
            <rFont val="Arial"/>
            <scheme val="minor"/>
          </rPr>
          <t>This is very often overridden by the aircraft file.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A44" authorId="0" shapeId="0" xr:uid="{00000000-0006-0000-1300-000001000000}">
      <text>
        <r>
          <rPr>
            <sz val="10"/>
            <color rgb="FF000000"/>
            <rFont val="Arial"/>
            <scheme val="minor"/>
          </rPr>
          <t>Baseline being a MiG-15 going Mach 0.8 with 100% throttle at sea level</t>
        </r>
      </text>
    </comment>
    <comment ref="A45" authorId="0" shapeId="0" xr:uid="{00000000-0006-0000-1300-000002000000}">
      <text>
        <r>
          <rPr>
            <sz val="10"/>
            <color rgb="FF000000"/>
            <rFont val="Arial"/>
            <scheme val="minor"/>
          </rPr>
          <t>Baseline being a MiG-15 going Mach 0.8 with 100% throttle at sea level</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A44" authorId="0" shapeId="0" xr:uid="{00000000-0006-0000-1400-000001000000}">
      <text>
        <r>
          <rPr>
            <sz val="10"/>
            <color rgb="FF000000"/>
            <rFont val="Arial"/>
            <scheme val="minor"/>
          </rPr>
          <t>Baseline being a MiG-15 going Mach 0.8 with 100% throttle at sea level</t>
        </r>
      </text>
    </comment>
    <comment ref="A45" authorId="0" shapeId="0" xr:uid="{00000000-0006-0000-1400-000002000000}">
      <text>
        <r>
          <rPr>
            <sz val="10"/>
            <color rgb="FF000000"/>
            <rFont val="Arial"/>
            <scheme val="minor"/>
          </rPr>
          <t>Baseline being a MiG-15 going Mach 0.8 with 100% throttle at sea level</t>
        </r>
      </text>
    </comment>
    <comment ref="A76" authorId="0" shapeId="0" xr:uid="{00000000-0006-0000-1400-000003000000}">
      <text>
        <r>
          <rPr>
            <sz val="10"/>
            <color rgb="FF000000"/>
            <rFont val="Arial"/>
            <scheme val="minor"/>
          </rPr>
          <t>Baseline being a MiG-15 going Mach 0.8 with 100% throttle at sea level</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A39" authorId="0" shapeId="0" xr:uid="{00000000-0006-0000-1D00-000001000000}">
      <text>
        <r>
          <rPr>
            <sz val="10"/>
            <color rgb="FF000000"/>
            <rFont val="Arial"/>
            <scheme val="minor"/>
          </rPr>
          <t>Baseline being a MiG-15 going Mach 0.8 with 100% throttle at sea level</t>
        </r>
      </text>
    </comment>
    <comment ref="A40" authorId="0" shapeId="0" xr:uid="{00000000-0006-0000-1D00-000002000000}">
      <text>
        <r>
          <rPr>
            <sz val="10"/>
            <color rgb="FF000000"/>
            <rFont val="Arial"/>
            <scheme val="minor"/>
          </rPr>
          <t>Baseline being a MiG-15 going Mach 0.8 with 100% throttle at sea level</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F22" authorId="0" shapeId="0" xr:uid="{00000000-0006-0000-0600-000002000000}">
      <text>
        <r>
          <rPr>
            <sz val="10"/>
            <color rgb="FF000000"/>
            <rFont val="Arial"/>
          </rPr>
          <t>My "missing weapons" comment thing:
~~~~~~~~~~~~~~~~~~~~~~~~~~~
*Key:*
[✔] means "weapon added" or "done"
(T) means turret only
(B) means bomb
(R) means rocket
(T²) means torpedo
(MG) means machine gun
(MK) means machine cannon/autocannon
(US) means United States
(DE) means German
(ITA) means Italian
(RU) means Soviet
(GB) means British
(JA) means Japanese
[Example(s) of planes it is found on]
_Caliber_
~~~~~~~~~~~~~~~~~~~~~~~~~~
*(DE)(MG) MG 15 _7,92mm_ [Do 17 E-1]*
Usually mounted in turrets of German bombers. However, the Do 17 E-1 introduced last major update has one facing forward.
~~~~~~~~~~~~~~~~~~~~~~~~~~
*(RU)(MG)(T) DA machine gun ( Degtyaryov machine gun) _7.62mm_ [TB-3M]*
Яussian machine gun on TB-3 Яussian beaя motheяship. Shoot bullet made of puяe communism.
~~~~~~~~~~~~~~~~~~~~~~~~~~
[✔]*(DE)(MG) MG 81 _7,92mm_ [Ju 87D-5 turret and Waffenbehälter 81, He 111 H-16]*
Essentially the German equivalent of the ShKAS. A fast firing machine gun used in turrets in pairs. Also avaliable for the Ju 87D-5 in the form of the Waffenbehälter 81 "Watering Can."
Did not know this was in here. Crossed out.
~~~~~~~~~~~~~~~~~~~~~~~~~~
*(GB)(MG) Vickers E _7.62mm_ [Nimrod Mks I and II, Fury mks I and II.]
	-Kitten Dispenser
_Marked as resolved_
	-Kitten Dispenser
_Re-opened_
	-Kitten Dispenser
_Marked as resolved_
	-Hana Sládečková
_Re-opened_
	-Hana Sládečková</t>
        </r>
      </text>
    </comment>
    <comment ref="G22" authorId="0" shapeId="0" xr:uid="{00000000-0006-0000-0600-000001000000}">
      <text>
        <r>
          <rPr>
            <sz val="10"/>
            <color rgb="FF000000"/>
            <rFont val="Arial"/>
          </rPr>
          <t>My "issues" comment thing:
(Legend: -fixed/implemented-)
-Torpedoes can kill bridges
	-Kitten Dispenser</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300-000053000000}">
      <text>
        <r>
          <rPr>
            <sz val="10"/>
            <color rgb="FF000000"/>
            <rFont val="Arial"/>
          </rPr>
          <t>За сталина
	-Strictly Nunya</t>
        </r>
      </text>
    </comment>
    <comment ref="A4" authorId="0" shapeId="0" xr:uid="{00000000-0006-0000-0300-000001000000}">
      <text>
        <r>
          <rPr>
            <sz val="10"/>
            <color rgb="FF000000"/>
            <rFont val="Arial"/>
          </rPr>
          <t>Arcade and RB units have the same health</t>
        </r>
      </text>
    </comment>
    <comment ref="B4" authorId="0" shapeId="0" xr:uid="{00000000-0006-0000-0300-000002000000}">
      <text>
        <r>
          <rPr>
            <sz val="10"/>
            <color rgb="FF000000"/>
            <rFont val="Arial"/>
          </rPr>
          <t>RoF: 1800rpm
Muzzle velocity: 870m/s</t>
        </r>
      </text>
    </comment>
    <comment ref="C4" authorId="0" shapeId="0" xr:uid="{00000000-0006-0000-0300-000003000000}">
      <text>
        <r>
          <rPr>
            <sz val="10"/>
            <color rgb="FF000000"/>
            <rFont val="Arial"/>
          </rPr>
          <t>RoF: 600rpm
Muzzle Velocity: 740m/s</t>
        </r>
      </text>
    </comment>
    <comment ref="D4" authorId="0" shapeId="0" xr:uid="{00000000-0006-0000-0300-000004000000}">
      <text>
        <r>
          <rPr>
            <sz val="10"/>
            <color rgb="FF000000"/>
            <rFont val="Arial"/>
          </rPr>
          <t>RoF: 800rpm
Muzzle Velocity: 814m/s</t>
        </r>
      </text>
    </comment>
    <comment ref="E4" authorId="0" shapeId="0" xr:uid="{00000000-0006-0000-0300-000005000000}">
      <text>
        <r>
          <rPr>
            <sz val="10"/>
            <color rgb="FF000000"/>
            <rFont val="Arial"/>
          </rPr>
          <t>RoF: 800rpm
Muzzle Velocity: 750m/s</t>
        </r>
      </text>
    </comment>
    <comment ref="F4" authorId="0" shapeId="0" xr:uid="{00000000-0006-0000-0300-000006000000}">
      <text>
        <r>
          <rPr>
            <sz val="10"/>
            <color rgb="FF000000"/>
            <rFont val="Arial"/>
          </rPr>
          <t xml:space="preserve">RoF: 800rpm
Muzzle Velocity: 750m/s
</t>
        </r>
      </text>
    </comment>
    <comment ref="G4" authorId="0" shapeId="0" xr:uid="{00000000-0006-0000-0300-000007000000}">
      <text>
        <r>
          <rPr>
            <sz val="10"/>
            <color rgb="FF000000"/>
            <rFont val="Arial"/>
          </rPr>
          <t>RoF: 600rpm
Muzzle Velocity: 905m/s</t>
        </r>
      </text>
    </comment>
    <comment ref="H4" authorId="0" shapeId="0" xr:uid="{00000000-0006-0000-0300-000008000000}">
      <text>
        <r>
          <rPr>
            <sz val="10"/>
            <color rgb="FF000000"/>
            <rFont val="Arial"/>
          </rPr>
          <t>RoF: 550rpm
Muzzle Velocity: 690m/s</t>
        </r>
      </text>
    </comment>
    <comment ref="I4" authorId="0" shapeId="0" xr:uid="{00000000-0006-0000-0300-000009000000}">
      <text>
        <r>
          <rPr>
            <sz val="10"/>
            <color rgb="FF000000"/>
            <rFont val="Arial"/>
          </rPr>
          <t>RoF: 850rpm
Muzzle Velocity: 690m/s</t>
        </r>
      </text>
    </comment>
    <comment ref="J4" authorId="0" shapeId="0" xr:uid="{00000000-0006-0000-0300-00000A000000}">
      <text>
        <r>
          <rPr>
            <sz val="10"/>
            <color rgb="FF000000"/>
            <rFont val="Arial"/>
          </rPr>
          <t>RoF: 250rpm
Muzzle Velocity: 890m/s</t>
        </r>
      </text>
    </comment>
    <comment ref="K4" authorId="0" shapeId="0" xr:uid="{00000000-0006-0000-0300-00000B000000}">
      <text>
        <r>
          <rPr>
            <sz val="10"/>
            <color rgb="FF000000"/>
            <rFont val="Arial"/>
          </rPr>
          <t>RoF: 400rpm
Muzzle Velocity: 690m/s</t>
        </r>
      </text>
    </comment>
    <comment ref="L4" authorId="0" shapeId="0" xr:uid="{00000000-0006-0000-0300-00000C000000}">
      <text>
        <r>
          <rPr>
            <sz val="10"/>
            <color rgb="FF000000"/>
            <rFont val="Arial"/>
          </rPr>
          <t>RoF: 250rpm
Muzzle Velocity: 850m/s</t>
        </r>
      </text>
    </comment>
    <comment ref="M4" authorId="0" shapeId="0" xr:uid="{00000000-0006-0000-0300-00000D000000}">
      <text>
        <r>
          <rPr>
            <sz val="10"/>
            <color rgb="FF000000"/>
            <rFont val="Arial"/>
          </rPr>
          <t>Launch Speed: 340m/s
----
Is this for the RBS-82 (AP) or the RS-82 (HE)?
	-Andrew Pavlovic
most likely for both, as they have the same speed in game, as they weigh the same
	-Zach Redmon
Yes, although one has an armor piercing warhead and the other has a High-Explosive warhead, if the rocket doesn't penetrate it won't do anything.
	-Anonymous</t>
        </r>
      </text>
    </comment>
    <comment ref="N4" authorId="0" shapeId="0" xr:uid="{00000000-0006-0000-0300-00000E000000}">
      <text>
        <r>
          <rPr>
            <sz val="10"/>
            <color rgb="FF000000"/>
            <rFont val="Arial"/>
          </rPr>
          <t>Launch speed: 350m/s</t>
        </r>
      </text>
    </comment>
    <comment ref="O4" authorId="0" shapeId="0" xr:uid="{00000000-0006-0000-0300-00000F000000}">
      <text>
        <r>
          <rPr>
            <sz val="10"/>
            <color rgb="FF000000"/>
            <rFont val="Arial"/>
          </rPr>
          <t>Max drop speed: 248km/h
Max drop alt: 105m</t>
        </r>
      </text>
    </comment>
    <comment ref="P4" authorId="0" shapeId="0" xr:uid="{00000000-0006-0000-0300-000010000000}">
      <text>
        <r>
          <rPr>
            <sz val="10"/>
            <color rgb="FF000000"/>
            <rFont val="Arial"/>
          </rPr>
          <t>IL-28 only</t>
        </r>
      </text>
    </comment>
    <comment ref="O5" authorId="0" shapeId="0" xr:uid="{00000000-0006-0000-0300-000051000000}">
      <text>
        <r>
          <rPr>
            <sz val="10"/>
            <color rgb="FF000000"/>
            <rFont val="Arial"/>
          </rPr>
          <t>Why are you dropping torpedoes on AAA
	-Andrew J</t>
        </r>
      </text>
    </comment>
    <comment ref="Q5" authorId="0" shapeId="0" xr:uid="{00000000-0006-0000-0300-00004E000000}">
      <text>
        <r>
          <rPr>
            <sz val="10"/>
            <color rgb="FF000000"/>
            <rFont val="Arial"/>
          </rPr>
          <t>For when you absolutely positively have to blow up every AA in a postal code? Accept no substitute.
	-Andrew J</t>
        </r>
      </text>
    </comment>
    <comment ref="B7" authorId="0" shapeId="0" xr:uid="{00000000-0006-0000-0300-000056000000}">
      <text>
        <r>
          <rPr>
            <sz val="10"/>
            <color rgb="FF000000"/>
            <rFont val="Arial"/>
          </rPr>
          <t>Since 1.63 it seems you can if you attack from the top (takes almost half your ammo though)
	-Anonymous</t>
        </r>
      </text>
    </comment>
    <comment ref="D7" authorId="0" shapeId="0" xr:uid="{00000000-0006-0000-0300-000011000000}">
      <text>
        <r>
          <rPr>
            <sz val="10"/>
            <color rgb="FF000000"/>
            <rFont val="Arial"/>
          </rPr>
          <t>Under 300m
All AP type ammo works</t>
        </r>
      </text>
    </comment>
    <comment ref="E7" authorId="0" shapeId="0" xr:uid="{00000000-0006-0000-0300-000012000000}">
      <text>
        <r>
          <rPr>
            <sz val="10"/>
            <color rgb="FF000000"/>
            <rFont val="Arial"/>
          </rPr>
          <t>Effective under 300m
AP only</t>
        </r>
      </text>
    </comment>
    <comment ref="F7" authorId="0" shapeId="0" xr:uid="{00000000-0006-0000-0300-000013000000}">
      <text>
        <r>
          <rPr>
            <sz val="10"/>
            <color rgb="FF000000"/>
            <rFont val="Arial"/>
          </rPr>
          <t>Effective under 300m
AP only</t>
        </r>
      </text>
    </comment>
    <comment ref="G7" authorId="0" shapeId="0" xr:uid="{00000000-0006-0000-0300-000014000000}">
      <text>
        <r>
          <rPr>
            <sz val="10"/>
            <color rgb="FF000000"/>
            <rFont val="Arial"/>
          </rPr>
          <t>AP only</t>
        </r>
      </text>
    </comment>
    <comment ref="H7" authorId="0" shapeId="0" xr:uid="{00000000-0006-0000-0300-000015000000}">
      <text>
        <r>
          <rPr>
            <sz val="10"/>
            <color rgb="FF000000"/>
            <rFont val="Arial"/>
          </rPr>
          <t>AP only</t>
        </r>
      </text>
    </comment>
    <comment ref="I7" authorId="0" shapeId="0" xr:uid="{00000000-0006-0000-0300-000016000000}">
      <text>
        <r>
          <rPr>
            <sz val="10"/>
            <color rgb="FF000000"/>
            <rFont val="Arial"/>
          </rPr>
          <t>AP only</t>
        </r>
      </text>
    </comment>
    <comment ref="J7" authorId="0" shapeId="0" xr:uid="{00000000-0006-0000-0300-000017000000}">
      <text>
        <r>
          <rPr>
            <sz val="10"/>
            <color rgb="FF000000"/>
            <rFont val="Arial"/>
          </rPr>
          <t>AP only
----
1.69
In SB, takes 6-10 hits. Coming from higher angles and hitting roof deals more damage, while low attack runs deal less. Damage model appears glitchy and some shots don't register, giving this the large margin of shots. Tested with IL-2-37
	-CousinSean</t>
        </r>
      </text>
    </comment>
    <comment ref="M7" authorId="0" shapeId="0" xr:uid="{00000000-0006-0000-0300-000055000000}">
      <text>
        <r>
          <rPr>
            <sz val="10"/>
            <color rgb="FF000000"/>
            <rFont val="Arial"/>
          </rPr>
          <t>Get really close and you'll have a guaranteed kill
	-Anonymous</t>
        </r>
      </text>
    </comment>
    <comment ref="O7" authorId="0" shapeId="0" xr:uid="{00000000-0006-0000-0300-000050000000}">
      <text>
        <r>
          <rPr>
            <sz val="10"/>
            <color rgb="FF000000"/>
            <rFont val="Arial"/>
          </rPr>
          <t>If it's not going to work on AA why would it work on a freaking pillbox
	-Andrew J</t>
        </r>
      </text>
    </comment>
    <comment ref="Q7" authorId="0" shapeId="0" xr:uid="{00000000-0006-0000-0300-00004D000000}">
      <text>
        <r>
          <rPr>
            <sz val="10"/>
            <color rgb="FF000000"/>
            <rFont val="Arial"/>
          </rPr>
          <t>Overkill much?
	-Andrew J</t>
        </r>
      </text>
    </comment>
    <comment ref="O9" authorId="0" shapeId="0" xr:uid="{00000000-0006-0000-0300-00004F000000}">
      <text>
        <r>
          <rPr>
            <sz val="10"/>
            <color rgb="FF000000"/>
            <rFont val="Arial"/>
          </rPr>
          <t>Now you're just being silly
	-Andrew J</t>
        </r>
      </text>
    </comment>
    <comment ref="D13" authorId="0" shapeId="0" xr:uid="{00000000-0006-0000-0300-000018000000}">
      <text>
        <r>
          <rPr>
            <sz val="10"/>
            <color rgb="FF000000"/>
            <rFont val="Arial"/>
          </rPr>
          <t>Under 300m</t>
        </r>
      </text>
    </comment>
    <comment ref="E13" authorId="0" shapeId="0" xr:uid="{00000000-0006-0000-0300-000019000000}">
      <text>
        <r>
          <rPr>
            <sz val="10"/>
            <color rgb="FF000000"/>
            <rFont val="Arial"/>
          </rPr>
          <t>Under 300m</t>
        </r>
      </text>
    </comment>
    <comment ref="F13" authorId="0" shapeId="0" xr:uid="{00000000-0006-0000-0300-00001A000000}">
      <text>
        <r>
          <rPr>
            <sz val="10"/>
            <color rgb="FF000000"/>
            <rFont val="Arial"/>
          </rPr>
          <t>Under 300m</t>
        </r>
      </text>
    </comment>
    <comment ref="G13" authorId="0" shapeId="0" xr:uid="{00000000-0006-0000-0300-00001B000000}">
      <text>
        <r>
          <rPr>
            <sz val="10"/>
            <color rgb="FF000000"/>
            <rFont val="Arial"/>
          </rPr>
          <t>Under 300m</t>
        </r>
      </text>
    </comment>
    <comment ref="H13" authorId="0" shapeId="0" xr:uid="{00000000-0006-0000-0300-00001C000000}">
      <text>
        <r>
          <rPr>
            <sz val="10"/>
            <color rgb="FF000000"/>
            <rFont val="Arial"/>
          </rPr>
          <t>Under 300m</t>
        </r>
      </text>
    </comment>
    <comment ref="I13" authorId="0" shapeId="0" xr:uid="{00000000-0006-0000-0300-00001D000000}">
      <text>
        <r>
          <rPr>
            <sz val="10"/>
            <color rgb="FF000000"/>
            <rFont val="Arial"/>
          </rPr>
          <t>Under 300m</t>
        </r>
      </text>
    </comment>
    <comment ref="J13" authorId="0" shapeId="0" xr:uid="{00000000-0006-0000-0300-00001E000000}">
      <text>
        <r>
          <rPr>
            <sz val="10"/>
            <color rgb="FF000000"/>
            <rFont val="Arial"/>
          </rPr>
          <t>AP only
----
HEFI-T seems to kill medium tanks from side and rear... Very inconsistent though. Sometimes only gets a "hit", sometimes does not register any hit at all.
	-J</t>
        </r>
      </text>
    </comment>
    <comment ref="K13" authorId="0" shapeId="0" xr:uid="{00000000-0006-0000-0300-00001F000000}">
      <text>
        <r>
          <rPr>
            <sz val="10"/>
            <color rgb="FF000000"/>
            <rFont val="Arial"/>
          </rPr>
          <t xml:space="preserve">Don't know why, maybe a bug?
</t>
        </r>
      </text>
    </comment>
    <comment ref="U14" authorId="0" shapeId="0" xr:uid="{00000000-0006-0000-0300-000052000000}">
      <text>
        <r>
          <rPr>
            <sz val="10"/>
            <color rgb="FF000000"/>
            <rFont val="Arial"/>
          </rPr>
          <t>За Сталина
	-Strictly Nunya</t>
        </r>
      </text>
    </comment>
    <comment ref="A15" authorId="0" shapeId="0" xr:uid="{00000000-0006-0000-0300-000020000000}">
      <text>
        <r>
          <rPr>
            <sz val="10"/>
            <color rgb="FF000000"/>
            <rFont val="Arial"/>
          </rPr>
          <t>Recommend 100kg or 250kg, big enough splash radius with decent payload</t>
        </r>
      </text>
    </comment>
    <comment ref="D15" authorId="0" shapeId="0" xr:uid="{00000000-0006-0000-0300-000021000000}">
      <text>
        <r>
          <rPr>
            <sz val="10"/>
            <color rgb="FF000000"/>
            <rFont val="Arial"/>
          </rPr>
          <t>Rear only
All AP rounds except API-T
Under 300m</t>
        </r>
      </text>
    </comment>
    <comment ref="E15" authorId="0" shapeId="0" xr:uid="{00000000-0006-0000-0300-000022000000}">
      <text>
        <r>
          <rPr>
            <sz val="10"/>
            <color rgb="FF000000"/>
            <rFont val="Arial"/>
          </rPr>
          <t>Effective under 300m
API-T only
for some reason API doesn't work</t>
        </r>
      </text>
    </comment>
    <comment ref="F15" authorId="0" shapeId="0" xr:uid="{00000000-0006-0000-0300-000023000000}">
      <text>
        <r>
          <rPr>
            <sz val="10"/>
            <color rgb="FF000000"/>
            <rFont val="Arial"/>
          </rPr>
          <t>Effective under 300m
AP only</t>
        </r>
      </text>
    </comment>
    <comment ref="G15" authorId="0" shapeId="0" xr:uid="{00000000-0006-0000-0300-000024000000}">
      <text>
        <r>
          <rPr>
            <sz val="10"/>
            <color rgb="FF000000"/>
            <rFont val="Arial"/>
          </rPr>
          <t>Top Attack only (&gt; 75°)
under 400m
----
1.69
Can kill if approaching over 350kph from very low altitude and hitting rear of tank. Tested in RB and SB on German medium tanks. All factions tanks have different armor values and give differing results.
	-CousinSean
Tested on american tanks can kill with same conditions
	-Devin Wong
I have killed heavy and medium tanks from the side in the Il-2M (1943) at 90° &lt;150m
	-Vitruvius
Confirming medium tank kills from flank and rear on very shallow (&lt;10°) strafing runs, under 400m
	-AEhere
Confirmed, stay near the ground and insist.
	-David EA</t>
        </r>
      </text>
    </comment>
    <comment ref="H15" authorId="0" shapeId="0" xr:uid="{00000000-0006-0000-0300-000025000000}">
      <text>
        <r>
          <rPr>
            <sz val="10"/>
            <color rgb="FF000000"/>
            <rFont val="Arial"/>
          </rPr>
          <t>At least from what I heard</t>
        </r>
      </text>
    </comment>
    <comment ref="I15" authorId="0" shapeId="0" xr:uid="{00000000-0006-0000-0300-000026000000}">
      <text>
        <r>
          <rPr>
            <sz val="10"/>
            <color rgb="FF000000"/>
            <rFont val="Arial"/>
          </rPr>
          <t>At least from what I heard</t>
        </r>
      </text>
    </comment>
    <comment ref="J15" authorId="0" shapeId="0" xr:uid="{00000000-0006-0000-0300-000027000000}">
      <text>
        <r>
          <rPr>
            <sz val="10"/>
            <color rgb="FF000000"/>
            <rFont val="Arial"/>
          </rPr>
          <t>Rear Only
AP only
----
Flank works to !
	-Paul Meyer
Agreed
	-Alex Månsson</t>
        </r>
      </text>
    </comment>
    <comment ref="K15" authorId="0" shapeId="0" xr:uid="{00000000-0006-0000-0300-000028000000}">
      <text>
        <r>
          <rPr>
            <sz val="10"/>
            <color rgb="FF000000"/>
            <rFont val="Arial"/>
          </rPr>
          <t>Technically effective within ~100m, but good luck pulling up in time</t>
        </r>
      </text>
    </comment>
    <comment ref="L15" authorId="0" shapeId="0" xr:uid="{00000000-0006-0000-0300-000054000000}">
      <text>
        <r>
          <rPr>
            <sz val="10"/>
            <color rgb="FF000000"/>
            <rFont val="Arial"/>
          </rPr>
          <t>Now works (oneshots) from the side and rear
	-Anonymous</t>
        </r>
      </text>
    </comment>
    <comment ref="M15" authorId="0" shapeId="0" xr:uid="{00000000-0006-0000-0300-000029000000}">
      <text>
        <r>
          <rPr>
            <sz val="10"/>
            <color rgb="FF000000"/>
            <rFont val="Arial"/>
          </rPr>
          <t>Rear only
Side is very resistant</t>
        </r>
      </text>
    </comment>
    <comment ref="J17" authorId="0" shapeId="0" xr:uid="{00000000-0006-0000-0300-00002A000000}">
      <text>
        <r>
          <rPr>
            <sz val="10"/>
            <color rgb="FF000000"/>
            <rFont val="Arial"/>
          </rPr>
          <t>Rear, AP only
Shots have a tendency not to register a hit for some reason
credit to /u/1Reallybigtank for discovering this
----
Flank shots work too, but the hit detection is indeed very inconsistent. As few as 2 rounds will sometimes net a kill.
	-AEhere</t>
        </r>
      </text>
    </comment>
    <comment ref="M17" authorId="0" shapeId="0" xr:uid="{00000000-0006-0000-0300-00002B000000}">
      <text>
        <r>
          <rPr>
            <sz val="10"/>
            <color rgb="FF000000"/>
            <rFont val="Arial"/>
          </rPr>
          <t xml:space="preserve">Rear attacks
</t>
        </r>
      </text>
    </comment>
    <comment ref="N17" authorId="0" shapeId="0" xr:uid="{00000000-0006-0000-0300-00002C000000}">
      <text>
        <r>
          <rPr>
            <sz val="10"/>
            <color rgb="FF000000"/>
            <rFont val="Arial"/>
          </rPr>
          <t>Any angle seems to work</t>
        </r>
      </text>
    </comment>
    <comment ref="A19" authorId="0" shapeId="0" xr:uid="{00000000-0006-0000-0300-00002D000000}">
      <text>
        <r>
          <rPr>
            <sz val="10"/>
            <color rgb="FF000000"/>
            <rFont val="Arial"/>
          </rPr>
          <t>"Words build bridges into unexplored regions." - Adolf Hitler   
:|, legit quote too</t>
        </r>
      </text>
    </comment>
    <comment ref="M19" authorId="0" shapeId="0" xr:uid="{00000000-0006-0000-0300-00002E000000}">
      <text>
        <r>
          <rPr>
            <sz val="10"/>
            <color rgb="FF000000"/>
            <rFont val="Arial"/>
          </rPr>
          <t>A bit ineffective</t>
        </r>
      </text>
    </comment>
    <comment ref="A21" authorId="0" shapeId="0" xr:uid="{00000000-0006-0000-0300-00002F000000}">
      <text>
        <r>
          <rPr>
            <sz val="10"/>
            <color rgb="FF000000"/>
            <rFont val="Arial"/>
          </rPr>
          <t>All ship models of the same class have the same health
i.e Yamato and Bismark will both take 2x 1000kg bombs to kill</t>
        </r>
      </text>
    </comment>
    <comment ref="B21" authorId="0" shapeId="0" xr:uid="{00000000-0006-0000-0300-000030000000}">
      <text>
        <r>
          <rPr>
            <sz val="10"/>
            <color rgb="FF000000"/>
            <rFont val="Arial"/>
          </rPr>
          <t>Soviet Minigun, and to think the Chaika has 4 of them...</t>
        </r>
      </text>
    </comment>
    <comment ref="C21" authorId="0" shapeId="0" xr:uid="{00000000-0006-0000-0300-000031000000}">
      <text>
        <r>
          <rPr>
            <sz val="10"/>
            <color rgb="FF000000"/>
            <rFont val="Arial"/>
          </rPr>
          <t>I-15s only
Based off the Maxim M1910</t>
        </r>
      </text>
    </comment>
    <comment ref="D21" authorId="0" shapeId="0" xr:uid="{00000000-0006-0000-0300-000032000000}">
      <text>
        <r>
          <rPr>
            <sz val="10"/>
            <color rgb="FF000000"/>
            <rFont val="Arial"/>
          </rPr>
          <t>RoF: 800-1050rpm
Muzzle Velocity: 814km/h</t>
        </r>
      </text>
    </comment>
    <comment ref="E21" authorId="0" shapeId="0" xr:uid="{00000000-0006-0000-0300-000033000000}">
      <text>
        <r>
          <rPr>
            <sz val="10"/>
            <color rgb="FF000000"/>
            <rFont val="Arial"/>
          </rPr>
          <t>Only API-T rounds seem effective
Overall not too effective against Tanks, but will work</t>
        </r>
      </text>
    </comment>
    <comment ref="F21" authorId="0" shapeId="0" xr:uid="{00000000-0006-0000-0300-000034000000}">
      <text>
        <r>
          <rPr>
            <sz val="10"/>
            <color rgb="FF000000"/>
            <rFont val="Arial"/>
          </rPr>
          <t>Same stats as the ShVAK, but the gun itself is lighter</t>
        </r>
      </text>
    </comment>
    <comment ref="G21" authorId="0" shapeId="0" xr:uid="{00000000-0006-0000-0300-000035000000}">
      <text>
        <r>
          <rPr>
            <sz val="10"/>
            <color rgb="FF000000"/>
            <rFont val="Arial"/>
          </rPr>
          <t>RIP IL-2 and IL-10 users, they are no longer viable as ground attackers in RB</t>
        </r>
      </text>
    </comment>
    <comment ref="L21" authorId="0" shapeId="0" xr:uid="{00000000-0006-0000-0300-000036000000}">
      <text>
        <r>
          <rPr>
            <sz val="10"/>
            <color rgb="FF000000"/>
            <rFont val="Arial"/>
          </rPr>
          <t>NS-45 can only access HEFI-T rounds</t>
        </r>
      </text>
    </comment>
    <comment ref="O21" authorId="0" shapeId="0" xr:uid="{00000000-0006-0000-0300-000037000000}">
      <text>
        <r>
          <rPr>
            <sz val="10"/>
            <color rgb="FF000000"/>
            <rFont val="Arial"/>
          </rPr>
          <t>IL-4 only</t>
        </r>
      </text>
    </comment>
    <comment ref="P21" authorId="0" shapeId="0" xr:uid="{00000000-0006-0000-0300-000038000000}">
      <text>
        <r>
          <rPr>
            <sz val="10"/>
            <color rgb="FF000000"/>
            <rFont val="Arial"/>
          </rPr>
          <t>IL-28 only</t>
        </r>
      </text>
    </comment>
    <comment ref="Q21" authorId="0" shapeId="0" xr:uid="{00000000-0006-0000-0300-00004B000000}">
      <text>
        <r>
          <rPr>
            <sz val="10"/>
            <color rgb="FF000000"/>
            <rFont val="Arial"/>
          </rPr>
          <t>Stalin's Mixtape
	-Andrew Johnson</t>
        </r>
      </text>
    </comment>
    <comment ref="A23" authorId="0" shapeId="0" xr:uid="{00000000-0006-0000-0300-000039000000}">
      <text>
        <r>
          <rPr>
            <sz val="10"/>
            <color rgb="FF000000"/>
            <rFont val="Arial"/>
          </rPr>
          <t>Use your Machine Guns
don't waste bombs</t>
        </r>
      </text>
    </comment>
    <comment ref="E27" authorId="0" shapeId="0" xr:uid="{00000000-0006-0000-0300-000057000000}">
      <text>
        <r>
          <rPr>
            <sz val="10"/>
            <color rgb="FF000000"/>
            <rFont val="Arial"/>
          </rPr>
          <t>Confirmed kill with LAGG 3-35 on Krymsk
	-Deleted user</t>
        </r>
      </text>
    </comment>
    <comment ref="A29" authorId="0" shapeId="0" xr:uid="{00000000-0006-0000-0300-00003A000000}">
      <text>
        <r>
          <rPr>
            <sz val="10"/>
            <color rgb="FF000000"/>
            <rFont val="Arial"/>
          </rPr>
          <t>Notorious for randomly sniping your plane out of the sky, only 2nd to the Airfield AAA</t>
        </r>
      </text>
    </comment>
    <comment ref="M31" authorId="0" shapeId="0" xr:uid="{00000000-0006-0000-0300-00004C000000}">
      <text>
        <r>
          <rPr>
            <sz val="10"/>
            <color rgb="FF000000"/>
            <rFont val="Arial"/>
          </rPr>
          <t>Who tf had time to test this
	-Andrew J</t>
        </r>
      </text>
    </comment>
    <comment ref="M33" authorId="0" shapeId="0" xr:uid="{00000000-0006-0000-0300-00003B000000}">
      <text>
        <r>
          <rPr>
            <sz val="10"/>
            <color rgb="FF000000"/>
            <rFont val="Arial"/>
          </rPr>
          <t>Effectively ineffective</t>
        </r>
      </text>
    </comment>
    <comment ref="M37" authorId="0" shapeId="0" xr:uid="{00000000-0006-0000-0300-00003C000000}">
      <text>
        <r>
          <rPr>
            <sz val="10"/>
            <color rgb="FF000000"/>
            <rFont val="Arial"/>
          </rPr>
          <t>Funny enough, it can still OHKO the Japanese carrier
----
Why am I not surprised it OHKO IJN CV
	-Andrew J</t>
        </r>
      </text>
    </comment>
    <comment ref="A39" authorId="0" shapeId="0" xr:uid="{00000000-0006-0000-0300-00003D000000}">
      <text>
        <r>
          <rPr>
            <sz val="10"/>
            <color rgb="FF000000"/>
            <rFont val="Arial"/>
          </rPr>
          <t>Strategic targets are hard to test for since custom battles are inaccurate, multiple tiers, and health indicators are not very accurate for some reason</t>
        </r>
      </text>
    </comment>
    <comment ref="G39" authorId="0" shapeId="0" xr:uid="{00000000-0006-0000-0300-00003E000000}">
      <text>
        <r>
          <rPr>
            <sz val="10"/>
            <color rgb="FF000000"/>
            <rFont val="Arial"/>
          </rPr>
          <t>Seriously, even the Pe-2, THE PE motherf****ing -2 is a better Tank killer, 
GG Gaijin</t>
        </r>
      </text>
    </comment>
    <comment ref="O39" authorId="0" shapeId="0" xr:uid="{00000000-0006-0000-0300-00003F000000}">
      <text>
        <r>
          <rPr>
            <sz val="10"/>
            <color rgb="FF000000"/>
            <rFont val="Arial"/>
          </rPr>
          <t>Who would have thought that the Russian torpedo is one of the most powerful in the game?</t>
        </r>
      </text>
    </comment>
    <comment ref="P39" authorId="0" shapeId="0" xr:uid="{00000000-0006-0000-0300-000040000000}">
      <text>
        <r>
          <rPr>
            <sz val="10"/>
            <color rgb="FF000000"/>
            <rFont val="Arial"/>
          </rPr>
          <t>Seriously, why take this when you can take the 3000kg?</t>
        </r>
      </text>
    </comment>
    <comment ref="A41" authorId="0" shapeId="0" xr:uid="{00000000-0006-0000-0300-000041000000}">
      <text>
        <r>
          <rPr>
            <sz val="10"/>
            <color rgb="FF000000"/>
            <rFont val="Arial"/>
          </rPr>
          <t xml:space="preserve">Or Strategic points, whatever its called.
Low tier and High tier battles seem to have different health values
</t>
        </r>
      </text>
    </comment>
    <comment ref="A42" authorId="0" shapeId="0" xr:uid="{00000000-0006-0000-0300-000042000000}">
      <text>
        <r>
          <rPr>
            <sz val="10"/>
            <color rgb="FF000000"/>
            <rFont val="Arial"/>
          </rPr>
          <t>(probably tiers 2 - 3)</t>
        </r>
      </text>
    </comment>
    <comment ref="P42" authorId="0" shapeId="0" xr:uid="{00000000-0006-0000-0300-000043000000}">
      <text>
        <r>
          <rPr>
            <sz val="10"/>
            <color rgb="FF000000"/>
            <rFont val="Arial"/>
          </rPr>
          <t>No, you can't sneak an IL-28 into a reserve match</t>
        </r>
      </text>
    </comment>
    <comment ref="A44" authorId="0" shapeId="0" xr:uid="{00000000-0006-0000-0300-000044000000}">
      <text>
        <r>
          <rPr>
            <sz val="10"/>
            <color rgb="FF000000"/>
            <rFont val="Arial"/>
          </rPr>
          <t>Probably 4-5</t>
        </r>
      </text>
    </comment>
    <comment ref="A46" authorId="0" shapeId="0" xr:uid="{00000000-0006-0000-0300-000045000000}">
      <text>
        <r>
          <rPr>
            <sz val="10"/>
            <color rgb="FF000000"/>
            <rFont val="Arial"/>
          </rPr>
          <t>RB bomb points seems to be consistant</t>
        </r>
      </text>
    </comment>
    <comment ref="A48" authorId="0" shapeId="0" xr:uid="{00000000-0006-0000-0300-000046000000}">
      <text>
        <r>
          <rPr>
            <sz val="10"/>
            <color rgb="FF000000"/>
            <rFont val="Arial"/>
          </rPr>
          <t>Airfield health indicator is fairly inconsistent
Best I can offer is estimates</t>
        </r>
      </text>
    </comment>
    <comment ref="A50" authorId="0" shapeId="0" xr:uid="{00000000-0006-0000-0300-000047000000}">
      <text>
        <r>
          <rPr>
            <sz val="10"/>
            <color rgb="FF000000"/>
            <rFont val="Arial"/>
          </rPr>
          <t>Some airfields</t>
        </r>
      </text>
    </comment>
    <comment ref="P52" authorId="0" shapeId="0" xr:uid="{00000000-0006-0000-0300-000048000000}">
      <text>
        <r>
          <rPr>
            <sz val="10"/>
            <color rgb="FF000000"/>
            <rFont val="Arial"/>
          </rPr>
          <t>1500kg is not very effective</t>
        </r>
      </text>
    </comment>
    <comment ref="Q52" authorId="0" shapeId="0" xr:uid="{00000000-0006-0000-0300-000049000000}">
      <text>
        <r>
          <rPr>
            <sz val="10"/>
            <color rgb="FF000000"/>
            <rFont val="Arial"/>
          </rPr>
          <t>Yes, that is not a typo
3000kg bombs are not effective for some reason</t>
        </r>
      </text>
    </comment>
    <comment ref="A54" authorId="0" shapeId="0" xr:uid="{00000000-0006-0000-0300-00004A000000}">
      <text>
        <r>
          <rPr>
            <sz val="10"/>
            <color rgb="FF000000"/>
            <rFont val="Arial"/>
          </rPr>
          <t>Airfield in some low tier maps like Essen have less health
Otherwise, seems airfield should have same health</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400-000001000000}">
      <text>
        <r>
          <rPr>
            <sz val="10"/>
            <color rgb="FF000000"/>
            <rFont val="Arial"/>
          </rPr>
          <t>For King and Country
Is that how it goes?</t>
        </r>
      </text>
    </comment>
    <comment ref="A4" authorId="0" shapeId="0" xr:uid="{00000000-0006-0000-0400-000002000000}">
      <text>
        <r>
          <rPr>
            <sz val="10"/>
            <color rgb="FF000000"/>
            <rFont val="Arial"/>
          </rPr>
          <t>Arcade and RB units have the same health</t>
        </r>
      </text>
    </comment>
    <comment ref="B4" authorId="0" shapeId="0" xr:uid="{00000000-0006-0000-0400-000003000000}">
      <text>
        <r>
          <rPr>
            <sz val="10"/>
            <color rgb="FF000000"/>
            <rFont val="Arial"/>
          </rPr>
          <t xml:space="preserve">RoF: 950-1200rpm
Muzzle Velocity: 760m/s </t>
        </r>
      </text>
    </comment>
    <comment ref="C4" authorId="0" shapeId="0" xr:uid="{00000000-0006-0000-0400-000004000000}">
      <text>
        <r>
          <rPr>
            <sz val="10"/>
            <color rgb="FF000000"/>
            <rFont val="Arial"/>
          </rPr>
          <t>RoF: 1150rpm
Muzzle Velocity: 760m/s</t>
        </r>
      </text>
    </comment>
    <comment ref="D4" authorId="0" shapeId="0" xr:uid="{00000000-0006-0000-0400-000005000000}">
      <text>
        <r>
          <rPr>
            <sz val="10"/>
            <color rgb="FF000000"/>
            <rFont val="Arial"/>
          </rPr>
          <t>RoF: 1450rpm
Muzzle Velocity: 830m/s</t>
        </r>
      </text>
    </comment>
    <comment ref="E4" authorId="0" shapeId="0" xr:uid="{00000000-0006-0000-0400-000006000000}">
      <text>
        <r>
          <rPr>
            <sz val="10"/>
            <color rgb="FF000000"/>
            <rFont val="Arial"/>
          </rPr>
          <t xml:space="preserve">RoF: ~800rpm
Muzzle velocity: 890m/s
</t>
        </r>
      </text>
    </comment>
    <comment ref="F4" authorId="0" shapeId="0" xr:uid="{00000000-0006-0000-0400-000007000000}">
      <text>
        <r>
          <rPr>
            <sz val="10"/>
            <color rgb="FF000000"/>
            <rFont val="Arial"/>
          </rPr>
          <t>RoF: ~700rpm
Muzzle velocity: 880m/s</t>
        </r>
      </text>
    </comment>
    <comment ref="G4" authorId="0" shapeId="0" xr:uid="{00000000-0006-0000-0400-000008000000}">
      <text>
        <r>
          <rPr>
            <sz val="10"/>
            <color rgb="FF000000"/>
            <rFont val="Arial"/>
          </rPr>
          <t>RoF: 750rpm
Muzzle velocity: 840m/s</t>
        </r>
      </text>
    </comment>
    <comment ref="H4" authorId="0" shapeId="0" xr:uid="{00000000-0006-0000-0400-000009000000}">
      <text>
        <r>
          <rPr>
            <sz val="10"/>
            <color rgb="FF000000"/>
            <rFont val="Arial"/>
          </rPr>
          <t>RoF: 100rpm
Muzzle velocity: 570m/s</t>
        </r>
      </text>
    </comment>
    <comment ref="I4" authorId="0" shapeId="0" xr:uid="{00000000-0006-0000-0400-00000A000000}">
      <text>
        <r>
          <rPr>
            <sz val="10"/>
            <color rgb="FF000000"/>
            <rFont val="Arial"/>
          </rPr>
          <t>RoF: ?
Muzzle velocity: 808m/s</t>
        </r>
      </text>
    </comment>
    <comment ref="J4" authorId="0" shapeId="0" xr:uid="{00000000-0006-0000-0400-00000B000000}">
      <text>
        <r>
          <rPr>
            <sz val="10"/>
            <color rgb="FF000000"/>
            <rFont val="Arial"/>
          </rPr>
          <t>RoF: 55rpm
Muzzle velocity: 900m/s</t>
        </r>
      </text>
    </comment>
    <comment ref="K4" authorId="0" shapeId="0" xr:uid="{00000000-0006-0000-0400-00000C000000}">
      <text>
        <r>
          <rPr>
            <sz val="10"/>
            <color rgb="FF000000"/>
            <rFont val="Arial"/>
          </rPr>
          <t>Launch speed: 480m/s</t>
        </r>
      </text>
    </comment>
    <comment ref="L4" authorId="0" shapeId="0" xr:uid="{00000000-0006-0000-0400-00000D000000}">
      <text>
        <r>
          <rPr>
            <sz val="10"/>
            <color rgb="FF000000"/>
            <rFont val="Arial"/>
          </rPr>
          <t>Max drop speed: 281km/h
Max drop alt: 105m</t>
        </r>
      </text>
    </comment>
    <comment ref="E7" authorId="0" shapeId="0" xr:uid="{00000000-0006-0000-0400-00000E000000}">
      <text>
        <r>
          <rPr>
            <sz val="10"/>
            <color rgb="FF000000"/>
            <rFont val="Arial"/>
          </rPr>
          <t>Effective range &lt; 300m
All belts are effective, ground belt is not necessary
Attacking at certain angles sometimes have no effect</t>
        </r>
      </text>
    </comment>
    <comment ref="F7" authorId="0" shapeId="0" xr:uid="{00000000-0006-0000-0400-00000F000000}">
      <text>
        <r>
          <rPr>
            <sz val="10"/>
            <color rgb="FF000000"/>
            <rFont val="Arial"/>
          </rPr>
          <t>Effective range &lt;300m.
AP only
Notably less effective than the M2 Freedomgun.</t>
        </r>
      </text>
    </comment>
    <comment ref="G7" authorId="0" shapeId="0" xr:uid="{00000000-0006-0000-0400-000010000000}">
      <text>
        <r>
          <rPr>
            <sz val="10"/>
            <color rgb="FF000000"/>
            <rFont val="Arial"/>
          </rPr>
          <t>Effective range &lt;300m.
AP only
Notably less effective than the M2 Freedomgun.</t>
        </r>
      </text>
    </comment>
    <comment ref="I7" authorId="0" shapeId="0" xr:uid="{00000000-0006-0000-0400-000041000000}">
      <text>
        <r>
          <rPr>
            <sz val="10"/>
            <color rgb="FF000000"/>
            <rFont val="Arial"/>
          </rPr>
          <t>~4 now as of 1.73
	-Andrew J
Whit a good hit you can kill a light pillbox in one shot (2 bullets)
	-lasie boss
*1.89
	-lasie boss</t>
        </r>
      </text>
    </comment>
    <comment ref="K7" authorId="0" shapeId="0" xr:uid="{00000000-0006-0000-0400-000011000000}">
      <text>
        <r>
          <rPr>
            <sz val="10"/>
            <color rgb="FF000000"/>
            <rFont val="Arial"/>
          </rPr>
          <t>Took 30 rockets to hit a light pillbox...
----
don't know why he found it hard.  I am not great, but hit about 80% of the time in RB (fires pairs), and in arcade, I fire 2-3 at these and almost always score a kill-hit in that.
	-Paul Gomes</t>
        </r>
      </text>
    </comment>
    <comment ref="J9" authorId="0" shapeId="0" xr:uid="{00000000-0006-0000-0400-000012000000}">
      <text>
        <r>
          <rPr>
            <sz val="10"/>
            <color rgb="FF000000"/>
            <rFont val="Arial"/>
          </rPr>
          <t>Confirmed it has no effect :(</t>
        </r>
      </text>
    </comment>
    <comment ref="E13" authorId="0" shapeId="0" xr:uid="{00000000-0006-0000-0400-000013000000}">
      <text>
        <r>
          <rPr>
            <sz val="10"/>
            <color rgb="FF000000"/>
            <rFont val="Arial"/>
          </rPr>
          <t>Effective within ~300m
AP only</t>
        </r>
      </text>
    </comment>
    <comment ref="F13" authorId="0" shapeId="0" xr:uid="{00000000-0006-0000-0400-000014000000}">
      <text>
        <r>
          <rPr>
            <sz val="10"/>
            <color rgb="FF000000"/>
            <rFont val="Arial"/>
          </rPr>
          <t>Effective within ~300m
AP only
Planes with wing mounted cannons have trouble killing tanks</t>
        </r>
      </text>
    </comment>
    <comment ref="G13" authorId="0" shapeId="0" xr:uid="{00000000-0006-0000-0400-000015000000}">
      <text>
        <r>
          <rPr>
            <sz val="10"/>
            <color rgb="FF000000"/>
            <rFont val="Arial"/>
          </rPr>
          <t>Effective within ~300m
AP only
Planes with wing mounted cannons have trouble killing tanks</t>
        </r>
      </text>
    </comment>
    <comment ref="H13" authorId="0" shapeId="0" xr:uid="{00000000-0006-0000-0400-000016000000}">
      <text>
        <r>
          <rPr>
            <sz val="10"/>
            <color rgb="FF000000"/>
            <rFont val="Arial"/>
          </rPr>
          <t>Doesn't matter too much since you are firing 2 shots anyways</t>
        </r>
      </text>
    </comment>
    <comment ref="I13" authorId="0" shapeId="0" xr:uid="{00000000-0006-0000-0400-000017000000}">
      <text>
        <r>
          <rPr>
            <sz val="10"/>
            <color rgb="FF000000"/>
            <rFont val="Arial"/>
          </rPr>
          <t>Doesn't matter too much since you are firing 2 shots anyways</t>
        </r>
      </text>
    </comment>
    <comment ref="A15" authorId="0" shapeId="0" xr:uid="{00000000-0006-0000-0400-000018000000}">
      <text>
        <r>
          <rPr>
            <sz val="10"/>
            <color rgb="FF000000"/>
            <rFont val="Arial"/>
          </rPr>
          <t>Recommend 100kg or 250kg, big enough splash radius with decent payload</t>
        </r>
      </text>
    </comment>
    <comment ref="E15" authorId="0" shapeId="0" xr:uid="{00000000-0006-0000-0400-000019000000}">
      <text>
        <r>
          <rPr>
            <sz val="10"/>
            <color rgb="FF000000"/>
            <rFont val="Arial"/>
          </rPr>
          <t>Effective within 300m, works on all sides oddly
AP only
Tested on Ruhr with the 
B-25J-1</t>
        </r>
      </text>
    </comment>
    <comment ref="F15" authorId="0" shapeId="0" xr:uid="{00000000-0006-0000-0400-00001A000000}">
      <text>
        <r>
          <rPr>
            <sz val="10"/>
            <color rgb="FF000000"/>
            <rFont val="Arial"/>
          </rPr>
          <t>Recent patch in 1.51 has made the Hispanoes able to kill tanks again
Rear, AP, &lt;300m only</t>
        </r>
      </text>
    </comment>
    <comment ref="G15" authorId="0" shapeId="0" xr:uid="{00000000-0006-0000-0400-00001B000000}">
      <text>
        <r>
          <rPr>
            <sz val="10"/>
            <color rgb="FF000000"/>
            <rFont val="Arial"/>
          </rPr>
          <t>Technically can still kill in a top attack under 250m, but that is a waste of a good plane</t>
        </r>
      </text>
    </comment>
    <comment ref="H15" authorId="0" shapeId="0" xr:uid="{00000000-0006-0000-0400-00001C000000}">
      <text>
        <r>
          <rPr>
            <sz val="10"/>
            <color rgb="FF000000"/>
            <rFont val="Arial"/>
          </rPr>
          <t>don't use HE</t>
        </r>
      </text>
    </comment>
    <comment ref="I15" authorId="0" shapeId="0" xr:uid="{00000000-0006-0000-0400-00001D000000}">
      <text>
        <r>
          <rPr>
            <sz val="10"/>
            <color rgb="FF000000"/>
            <rFont val="Arial"/>
          </rPr>
          <t>All angles work</t>
        </r>
      </text>
    </comment>
    <comment ref="J15" authorId="0" shapeId="0" xr:uid="{00000000-0006-0000-0400-00001E000000}">
      <text>
        <r>
          <rPr>
            <sz val="10"/>
            <color rgb="FF000000"/>
            <rFont val="Arial"/>
          </rPr>
          <t>1 to the rear
4 to the side
5 to the front</t>
        </r>
      </text>
    </comment>
    <comment ref="A17" authorId="0" shapeId="0" xr:uid="{00000000-0006-0000-0400-00001F000000}">
      <text>
        <r>
          <rPr>
            <sz val="10"/>
            <color rgb="FF000000"/>
            <rFont val="Arial"/>
          </rPr>
          <t>Mostly on Bulge</t>
        </r>
      </text>
    </comment>
    <comment ref="H17" authorId="0" shapeId="0" xr:uid="{00000000-0006-0000-0400-000020000000}">
      <text>
        <r>
          <rPr>
            <sz val="10"/>
            <color rgb="FF000000"/>
            <rFont val="Arial"/>
          </rPr>
          <t>Side and rear
AP only</t>
        </r>
      </text>
    </comment>
    <comment ref="I17" authorId="0" shapeId="0" xr:uid="{00000000-0006-0000-0400-000021000000}">
      <text>
        <r>
          <rPr>
            <sz val="10"/>
            <color rgb="FF000000"/>
            <rFont val="Arial"/>
          </rPr>
          <t xml:space="preserve">Rear or Side only
AP only, oh who am I kidding. The Vickers P only has AP ammo.
</t>
        </r>
      </text>
    </comment>
    <comment ref="J17" authorId="0" shapeId="0" xr:uid="{00000000-0006-0000-0400-000022000000}">
      <text>
        <r>
          <rPr>
            <sz val="10"/>
            <color rgb="FF000000"/>
            <rFont val="Arial"/>
          </rPr>
          <t>2 to rear
2 to the side(yes that is correct)
Front is immune</t>
        </r>
      </text>
    </comment>
    <comment ref="K17" authorId="0" shapeId="0" xr:uid="{00000000-0006-0000-0400-000023000000}">
      <text>
        <r>
          <rPr>
            <sz val="10"/>
            <color rgb="FF000000"/>
            <rFont val="Arial"/>
          </rPr>
          <t xml:space="preserve">Direct hit only
Rear only
</t>
        </r>
      </text>
    </comment>
    <comment ref="A21" authorId="0" shapeId="0" xr:uid="{00000000-0006-0000-0400-000024000000}">
      <text>
        <r>
          <rPr>
            <sz val="10"/>
            <color rgb="FF000000"/>
            <rFont val="Arial"/>
          </rPr>
          <t>All ship models of the same class have the same health
i.e Yamato and Bismark will both take 2x 1000kg bombs to kill</t>
        </r>
      </text>
    </comment>
    <comment ref="C21" authorId="0" shapeId="0" xr:uid="{00000000-0006-0000-0400-000025000000}">
      <text>
        <r>
          <rPr>
            <sz val="10"/>
            <color rgb="FF000000"/>
            <rFont val="Arial"/>
          </rPr>
          <t>Same Yankee Browning except it fires .303 rounds</t>
        </r>
      </text>
    </comment>
    <comment ref="D21" authorId="0" shapeId="0" xr:uid="{00000000-0006-0000-0400-000026000000}">
      <text>
        <r>
          <rPr>
            <sz val="10"/>
            <color rgb="FF000000"/>
            <rFont val="Arial"/>
          </rPr>
          <t>D.520 and D.521 only
Viva la France</t>
        </r>
      </text>
    </comment>
    <comment ref="E21" authorId="0" shapeId="0" xr:uid="{00000000-0006-0000-0400-000027000000}">
      <text>
        <r>
          <rPr>
            <sz val="10"/>
            <color rgb="FF000000"/>
            <rFont val="Arial"/>
          </rPr>
          <t>Same M2 Freedomguns that the Yanks love so much</t>
        </r>
      </text>
    </comment>
    <comment ref="F21" authorId="0" shapeId="0" xr:uid="{00000000-0006-0000-0400-000028000000}">
      <text>
        <r>
          <rPr>
            <sz val="10"/>
            <color rgb="FF000000"/>
            <rFont val="Arial"/>
          </rPr>
          <t>Hispano becomes uasble after the New cannon upgrade, recommend at laest year 1942 ver.</t>
        </r>
      </text>
    </comment>
    <comment ref="G21" authorId="0" shapeId="0" xr:uid="{00000000-0006-0000-0400-000029000000}">
      <text>
        <r>
          <rPr>
            <sz val="10"/>
            <color rgb="FF000000"/>
            <rFont val="Arial"/>
          </rPr>
          <t>We gave the blueprints to the Yanks, taught them how to make the cannons and they still couldn't get their bloody guns to work right</t>
        </r>
      </text>
    </comment>
    <comment ref="H21" authorId="0" shapeId="0" xr:uid="{00000000-0006-0000-0400-00002A000000}">
      <text>
        <r>
          <rPr>
            <sz val="10"/>
            <color rgb="FF000000"/>
            <rFont val="Arial"/>
          </rPr>
          <t>Hurricane IV only</t>
        </r>
      </text>
    </comment>
    <comment ref="I21" authorId="0" shapeId="0" xr:uid="{00000000-0006-0000-0400-00002B000000}">
      <text>
        <r>
          <rPr>
            <sz val="10"/>
            <color rgb="FF000000"/>
            <rFont val="Arial"/>
          </rPr>
          <t xml:space="preserve">Thanks to /u/unsprung for the information. Many Tempest Vs died to bring us this info. </t>
        </r>
      </text>
    </comment>
    <comment ref="K21" authorId="0" shapeId="0" xr:uid="{00000000-0006-0000-0400-00002C000000}">
      <text>
        <r>
          <rPr>
            <sz val="10"/>
            <color rgb="FF000000"/>
            <rFont val="Arial"/>
          </rPr>
          <t>You may need to aim off-center to hit the target</t>
        </r>
      </text>
    </comment>
    <comment ref="L21" authorId="0" shapeId="0" xr:uid="{00000000-0006-0000-0400-00002D000000}">
      <text>
        <r>
          <rPr>
            <sz val="10"/>
            <color rgb="FF000000"/>
            <rFont val="Arial"/>
          </rPr>
          <t>Max drop speed: 281km/h
Max drop alt: 105m</t>
        </r>
      </text>
    </comment>
    <comment ref="A22" authorId="0" shapeId="0" xr:uid="{00000000-0006-0000-0400-00002E000000}">
      <text>
        <r>
          <rPr>
            <sz val="10"/>
            <color rgb="FF000000"/>
            <rFont val="Arial"/>
          </rPr>
          <t>Use your Machine Guns
don't waste bombs</t>
        </r>
      </text>
    </comment>
    <comment ref="A26" authorId="0" shapeId="0" xr:uid="{00000000-0006-0000-0400-00002F000000}">
      <text>
        <r>
          <rPr>
            <sz val="10"/>
            <color rgb="FF000000"/>
            <rFont val="Arial"/>
          </rPr>
          <t>Holy S***, these cargo ships are deadly. Ripped my Beau 21 to pieces</t>
        </r>
      </text>
    </comment>
    <comment ref="E26" authorId="0" shapeId="0" xr:uid="{00000000-0006-0000-0400-000030000000}">
      <text>
        <r>
          <rPr>
            <sz val="10"/>
            <color rgb="FF000000"/>
            <rFont val="Arial"/>
          </rPr>
          <t xml:space="preserve">Same as the Yankee M2, can hit but does negligible damage
</t>
        </r>
      </text>
    </comment>
    <comment ref="F26" authorId="0" shapeId="0" xr:uid="{00000000-0006-0000-0400-000031000000}">
      <text>
        <r>
          <rPr>
            <sz val="10"/>
            <color rgb="FF000000"/>
            <rFont val="Arial"/>
          </rPr>
          <t>Do not know if the Hispanos also give false hope as I have killed a Cargo ship a long time ago</t>
        </r>
      </text>
    </comment>
    <comment ref="A28" authorId="0" shapeId="0" xr:uid="{00000000-0006-0000-0400-000032000000}">
      <text>
        <r>
          <rPr>
            <sz val="10"/>
            <color rgb="FF000000"/>
            <rFont val="Arial"/>
          </rPr>
          <t>If you want to life, stay far away from the Destroyer</t>
        </r>
      </text>
    </comment>
    <comment ref="E28" authorId="0" shapeId="0" xr:uid="{00000000-0006-0000-0400-000033000000}">
      <text>
        <r>
          <rPr>
            <sz val="10"/>
            <color rgb="FF000000"/>
            <rFont val="Arial"/>
          </rPr>
          <t>Attacking specific parts of the DD (like the forward turret) will generate hit markers, no actual damage
AP only of course</t>
        </r>
      </text>
    </comment>
    <comment ref="K28" authorId="0" shapeId="0" xr:uid="{00000000-0006-0000-0400-000043000000}">
      <text>
        <r>
          <rPr>
            <sz val="10"/>
            <color rgb="FF000000"/>
            <rFont val="Arial"/>
          </rPr>
          <t>This seems to be false. Tested on test flight with a typhoon, takes 12 rockets.
	-BoggyBolt</t>
        </r>
      </text>
    </comment>
    <comment ref="K30" authorId="0" shapeId="0" xr:uid="{00000000-0006-0000-0400-000042000000}">
      <text>
        <r>
          <rPr>
            <sz val="10"/>
            <color rgb="FF000000"/>
            <rFont val="Arial"/>
          </rPr>
          <t>This also seems to be false. Tested with a Typhoon on test flight, seems to take 24 rockets.
	-BoggyBolt</t>
        </r>
      </text>
    </comment>
    <comment ref="A38" authorId="0" shapeId="0" xr:uid="{00000000-0006-0000-0400-000034000000}">
      <text>
        <r>
          <rPr>
            <sz val="10"/>
            <color rgb="FF000000"/>
            <rFont val="Arial"/>
          </rPr>
          <t>Strategic targets are hard to test for since custom battles are inaccurate, multiple tiers, and health indicators are not very accurate for some reason</t>
        </r>
      </text>
    </comment>
    <comment ref="D38" authorId="0" shapeId="0" xr:uid="{00000000-0006-0000-0400-000035000000}">
      <text>
        <r>
          <rPr>
            <sz val="10"/>
            <color rgb="FF000000"/>
            <rFont val="Arial"/>
          </rPr>
          <t>I actually tore of a PBY's tail off with only the MAC. However the game ended before I got credit :(</t>
        </r>
      </text>
    </comment>
    <comment ref="E38" authorId="0" shapeId="0" xr:uid="{00000000-0006-0000-0400-000036000000}">
      <text>
        <r>
          <rPr>
            <sz val="10"/>
            <color rgb="FF000000"/>
            <rFont val="Arial"/>
          </rPr>
          <t>Only uses early war belts for some reason</t>
        </r>
      </text>
    </comment>
    <comment ref="F38" authorId="0" shapeId="0" xr:uid="{00000000-0006-0000-0400-000037000000}">
      <text>
        <r>
          <rPr>
            <sz val="10"/>
            <color rgb="FF000000"/>
            <rFont val="Arial"/>
          </rPr>
          <t>Hispanoes are probably the best cannons in the game</t>
        </r>
      </text>
    </comment>
    <comment ref="H38" authorId="0" shapeId="0" xr:uid="{00000000-0006-0000-0400-000038000000}">
      <text>
        <r>
          <rPr>
            <sz val="10"/>
            <color rgb="FF000000"/>
            <rFont val="Arial"/>
          </rPr>
          <t>RoF: 100rpm
Muzzle velocity: 570m/s</t>
        </r>
      </text>
    </comment>
    <comment ref="K38" authorId="0" shapeId="0" xr:uid="{00000000-0006-0000-0400-000039000000}">
      <text>
        <r>
          <rPr>
            <sz val="10"/>
            <color rgb="FF000000"/>
            <rFont val="Arial"/>
          </rPr>
          <t xml:space="preserve">I don't get how the RP-3 is better than the HVAR. </t>
        </r>
      </text>
    </comment>
    <comment ref="L38" authorId="0" shapeId="0" xr:uid="{00000000-0006-0000-0400-00003A000000}">
      <text>
        <r>
          <rPr>
            <sz val="10"/>
            <color rgb="FF000000"/>
            <rFont val="Arial"/>
          </rPr>
          <t>Max drop speed: 281km/h
Max drop alt: 105m</t>
        </r>
      </text>
    </comment>
    <comment ref="A39" authorId="0" shapeId="0" xr:uid="{00000000-0006-0000-0400-00003B000000}">
      <text>
        <r>
          <rPr>
            <sz val="10"/>
            <color rgb="FF000000"/>
            <rFont val="Arial"/>
          </rPr>
          <t xml:space="preserve">Or Strategic points, whatever its called.
Low tier and High tier battles seem to have different health values
</t>
        </r>
      </text>
    </comment>
    <comment ref="A40" authorId="0" shapeId="0" xr:uid="{00000000-0006-0000-0400-00003C000000}">
      <text>
        <r>
          <rPr>
            <sz val="10"/>
            <color rgb="FF000000"/>
            <rFont val="Arial"/>
          </rPr>
          <t>(probably tiers 2 - 3)</t>
        </r>
      </text>
    </comment>
    <comment ref="A42" authorId="0" shapeId="0" xr:uid="{00000000-0006-0000-0400-00003D000000}">
      <text>
        <r>
          <rPr>
            <sz val="10"/>
            <color rgb="FF000000"/>
            <rFont val="Arial"/>
          </rPr>
          <t>Probably 4-5</t>
        </r>
      </text>
    </comment>
    <comment ref="A44" authorId="0" shapeId="0" xr:uid="{00000000-0006-0000-0400-00003E000000}">
      <text>
        <r>
          <rPr>
            <sz val="10"/>
            <color rgb="FF000000"/>
            <rFont val="Arial"/>
          </rPr>
          <t>RB bomb points seems to be consistant</t>
        </r>
      </text>
    </comment>
    <comment ref="K44" authorId="0" shapeId="0" xr:uid="{00000000-0006-0000-0400-000044000000}">
      <text>
        <r>
          <rPr>
            <sz val="10"/>
            <color rgb="FF000000"/>
            <rFont val="Arial"/>
          </rPr>
          <t>22 rockets, tested on Wyvern
	-Christopher Foster</t>
        </r>
      </text>
    </comment>
    <comment ref="A46" authorId="0" shapeId="0" xr:uid="{00000000-0006-0000-0400-00003F000000}">
      <text>
        <r>
          <rPr>
            <sz val="10"/>
            <color rgb="FF000000"/>
            <rFont val="Arial"/>
          </rPr>
          <t xml:space="preserve">Why is this here I don't know. You shouldn't be killing the airfield with anything listed here. </t>
        </r>
      </text>
    </comment>
    <comment ref="A51" authorId="0" shapeId="0" xr:uid="{00000000-0006-0000-0400-000040000000}">
      <text>
        <r>
          <rPr>
            <sz val="10"/>
            <color rgb="FF000000"/>
            <rFont val="Arial"/>
          </rPr>
          <t>Airfield in some low tier maps like Essen have less health
Otherwise, seems airfield should have same health</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200-000001000000}">
      <text>
        <r>
          <rPr>
            <sz val="10"/>
            <color rgb="FF000000"/>
            <rFont val="Arial"/>
          </rPr>
          <t>Usually AP and/or to the sides</t>
        </r>
      </text>
    </comment>
    <comment ref="G4" authorId="0" shapeId="0" xr:uid="{00000000-0006-0000-0200-000056000000}">
      <text>
        <r>
          <rPr>
            <sz val="10"/>
            <color rgb="FF000000"/>
            <rFont val="Arial"/>
          </rPr>
          <t>Need to research the G.91 rockets
	-William Lund</t>
        </r>
      </text>
    </comment>
    <comment ref="B6" authorId="0" shapeId="0" xr:uid="{00000000-0006-0000-0200-000002000000}">
      <text>
        <r>
          <rPr>
            <sz val="10"/>
            <color rgb="FF000000"/>
            <rFont val="Arial"/>
          </rPr>
          <t>RoF: 1200rpm
Muzzle Velocity: 775m/s</t>
        </r>
      </text>
    </comment>
    <comment ref="C6" authorId="0" shapeId="0" xr:uid="{00000000-0006-0000-0200-000003000000}">
      <text>
        <r>
          <rPr>
            <sz val="10"/>
            <color rgb="FF000000"/>
            <rFont val="Arial"/>
          </rPr>
          <t>RoF: 1400-1600rpm
Muzzle Velocity: 790m/s</t>
        </r>
      </text>
    </comment>
    <comment ref="D6" authorId="0" shapeId="0" xr:uid="{00000000-0006-0000-0200-000004000000}">
      <text>
        <r>
          <rPr>
            <sz val="10"/>
            <color rgb="FF000000"/>
            <rFont val="Arial"/>
          </rPr>
          <t>RoF: 850rpm
Muzzle velocity: 730m/s</t>
        </r>
      </text>
    </comment>
    <comment ref="E6" authorId="0" shapeId="0" xr:uid="{00000000-0006-0000-0200-000005000000}">
      <text>
        <r>
          <rPr>
            <sz val="10"/>
            <color rgb="FF000000"/>
            <rFont val="Arial"/>
          </rPr>
          <t>RoF: 700rpm
Muzzle velocity: 765m/s</t>
        </r>
      </text>
    </comment>
    <comment ref="F6" authorId="0" shapeId="0" xr:uid="{00000000-0006-0000-0200-000006000000}">
      <text>
        <r>
          <rPr>
            <sz val="10"/>
            <color rgb="FF000000"/>
            <rFont val="Arial"/>
          </rPr>
          <t>RoF: 900rpm
Muzzle velocity: 730m/s</t>
        </r>
      </text>
    </comment>
    <comment ref="G6" authorId="0" shapeId="0" xr:uid="{00000000-0006-0000-0200-000007000000}">
      <text>
        <r>
          <rPr>
            <sz val="10"/>
            <color rgb="FF000000"/>
            <rFont val="Arial"/>
          </rPr>
          <t>RoF: 700rpm
Muzzle velocity: 905m/s</t>
        </r>
      </text>
    </comment>
    <comment ref="H6" authorId="0" shapeId="0" xr:uid="{00000000-0006-0000-0200-000008000000}">
      <text>
        <r>
          <rPr>
            <sz val="10"/>
            <color rgb="FF000000"/>
            <rFont val="Arial"/>
          </rPr>
          <t>RoF: ~280rpm
Muzzle velocity: 
800m/s or 900m/s
----
HE rounds are completely ineffective against all ground targets
	-Anonymous</t>
        </r>
      </text>
    </comment>
    <comment ref="I6" authorId="0" shapeId="0" xr:uid="{00000000-0006-0000-0200-000009000000}">
      <text>
        <r>
          <rPr>
            <sz val="10"/>
            <color rgb="FF000000"/>
            <rFont val="Arial"/>
          </rPr>
          <t>RoF: 530rpm
Muzzle Velocity:
FF: 600m/s
FF/M: 640m/s</t>
        </r>
      </text>
    </comment>
    <comment ref="J6" authorId="0" shapeId="0" xr:uid="{00000000-0006-0000-0200-00000A000000}">
      <text>
        <r>
          <rPr>
            <sz val="10"/>
            <color rgb="FF000000"/>
            <rFont val="Arial"/>
          </rPr>
          <t xml:space="preserve">RoF: 700rpm
Muzzle Velocity: 725m/s
</t>
        </r>
      </text>
    </comment>
    <comment ref="L6" authorId="0" shapeId="0" xr:uid="{00000000-0006-0000-0200-00000B000000}">
      <text>
        <r>
          <rPr>
            <sz val="10"/>
            <color rgb="FF000000"/>
            <rFont val="Arial"/>
          </rPr>
          <t xml:space="preserve">RoF: 360-420rpm
Muzzle Velocity: 860m/s
</t>
        </r>
      </text>
    </comment>
    <comment ref="M6" authorId="0" shapeId="0" xr:uid="{00000000-0006-0000-0200-00000C000000}">
      <text>
        <r>
          <rPr>
            <sz val="10"/>
            <color rgb="FF000000"/>
            <rFont val="Arial"/>
          </rPr>
          <t>RoF: 600-650rpm
Muzzle velocity: 505m/s</t>
        </r>
      </text>
    </comment>
    <comment ref="N6" authorId="0" shapeId="0" xr:uid="{00000000-0006-0000-0200-00000D000000}">
      <text>
        <r>
          <rPr>
            <sz val="10"/>
            <color rgb="FF000000"/>
            <rFont val="Arial"/>
          </rPr>
          <t xml:space="preserve">RoF: 160rpm
Muzzle Velocity: 810m/s
</t>
        </r>
      </text>
    </comment>
    <comment ref="O6" authorId="0" shapeId="0" xr:uid="{00000000-0006-0000-0200-00000E000000}">
      <text>
        <r>
          <rPr>
            <sz val="10"/>
            <color rgb="FF000000"/>
            <rFont val="Arial"/>
          </rPr>
          <t xml:space="preserve">RoF: 50rpm
Muzzle Velocity: 920m/s
</t>
        </r>
      </text>
    </comment>
    <comment ref="P6" authorId="0" shapeId="0" xr:uid="{00000000-0006-0000-0200-00000F000000}">
      <text>
        <r>
          <rPr>
            <sz val="10"/>
            <color rgb="FF000000"/>
            <rFont val="Arial"/>
          </rPr>
          <t xml:space="preserve">RoF: 160rpm
Muzzle Velocity: 920m/s
</t>
        </r>
      </text>
    </comment>
    <comment ref="Q6" authorId="0" shapeId="0" xr:uid="{00000000-0006-0000-0200-000010000000}">
      <text>
        <r>
          <rPr>
            <sz val="10"/>
            <color rgb="FF000000"/>
            <rFont val="Arial"/>
          </rPr>
          <t>RoF:30rpm
Muzzle Velocity: 790m/s
----
Highest pen plane-mounted gun in the game
	-Anonymous</t>
        </r>
      </text>
    </comment>
    <comment ref="R6" authorId="0" shapeId="0" xr:uid="{00000000-0006-0000-0200-000011000000}">
      <text>
        <r>
          <rPr>
            <sz val="10"/>
            <color rgb="FF000000"/>
            <rFont val="Arial"/>
          </rPr>
          <t>Cannot test since I will not be able to access the Me 262 for a while</t>
        </r>
      </text>
    </comment>
    <comment ref="T6" authorId="0" shapeId="0" xr:uid="{00000000-0006-0000-0200-000012000000}">
      <text>
        <r>
          <rPr>
            <sz val="10"/>
            <color rgb="FF000000"/>
            <rFont val="Arial"/>
          </rPr>
          <t>Fw 190 A-5, A-5/U2, and F8 only
AKA the Werfer-Granate 21 rocket launcher
----
Also Bf 109 G-6 and not the Fw 190 F-8
	-Lebron Jordan
A-8 aswell
	-Guilherme Trzaskowski</t>
        </r>
      </text>
    </comment>
    <comment ref="U6" authorId="0" shapeId="0" xr:uid="{00000000-0006-0000-0200-000013000000}">
      <text>
        <r>
          <rPr>
            <sz val="10"/>
            <color rgb="FF000000"/>
            <rFont val="Arial"/>
          </rPr>
          <t>Max drop speed: 301km/h
Max drop alt: 120m</t>
        </r>
      </text>
    </comment>
    <comment ref="V6" authorId="0" shapeId="0" xr:uid="{00000000-0006-0000-0200-000014000000}">
      <text>
        <r>
          <rPr>
            <sz val="10"/>
            <color rgb="FF000000"/>
            <rFont val="Arial"/>
          </rPr>
          <t>Max drop speed: 301km/h
Max drop alt: 120m</t>
        </r>
      </text>
    </comment>
    <comment ref="B9" authorId="0" shapeId="0" xr:uid="{00000000-0006-0000-0200-000052000000}">
      <text>
        <r>
          <rPr>
            <sz val="10"/>
            <color rgb="FF000000"/>
            <rFont val="Arial"/>
          </rPr>
          <t>MG 17 can kill light pillboxes 
Tested on Bf-109F-1 with stealth belt on Operation Bastogne in patch 1.101.
	-Alex</t>
        </r>
      </text>
    </comment>
    <comment ref="G9" authorId="0" shapeId="0" xr:uid="{00000000-0006-0000-0200-000015000000}">
      <text>
        <r>
          <rPr>
            <sz val="10"/>
            <color rgb="FF000000"/>
            <rFont val="Arial"/>
          </rPr>
          <t>Armored belts work well</t>
        </r>
      </text>
    </comment>
    <comment ref="H9" authorId="0" shapeId="0" xr:uid="{00000000-0006-0000-0200-000016000000}">
      <text>
        <r>
          <rPr>
            <sz val="10"/>
            <color rgb="FF000000"/>
            <rFont val="Arial"/>
          </rPr>
          <t>Under 270m
AP only</t>
        </r>
      </text>
    </comment>
    <comment ref="J9" authorId="0" shapeId="0" xr:uid="{00000000-0006-0000-0200-000050000000}">
      <text>
        <r>
          <rPr>
            <sz val="10"/>
            <color rgb="FF000000"/>
            <rFont val="Arial"/>
          </rPr>
          <t>20mm will work if using AP belts
	-昭和</t>
        </r>
      </text>
    </comment>
    <comment ref="N9" authorId="0" shapeId="0" xr:uid="{00000000-0006-0000-0200-000017000000}">
      <text>
        <r>
          <rPr>
            <sz val="10"/>
            <color rgb="FF000000"/>
            <rFont val="Arial"/>
          </rPr>
          <t>AP/HVAP only</t>
        </r>
      </text>
    </comment>
    <comment ref="O9" authorId="0" shapeId="0" xr:uid="{00000000-0006-0000-0200-000018000000}">
      <text>
        <r>
          <rPr>
            <sz val="10"/>
            <color rgb="FF000000"/>
            <rFont val="Arial"/>
          </rPr>
          <t>HVAP and AP only</t>
        </r>
      </text>
    </comment>
    <comment ref="S9" authorId="0" shapeId="0" xr:uid="{00000000-0006-0000-0200-000019000000}">
      <text>
        <r>
          <rPr>
            <sz val="10"/>
            <color rgb="FF000000"/>
            <rFont val="Arial"/>
          </rPr>
          <t>Can damage via the rear, but &gt;50% of the shots won't do any damage
----
shouldnt this be a yellow triangle?
i killed pillboxes with these i have a replay for it
	-김성윤</t>
        </r>
      </text>
    </comment>
    <comment ref="A15" authorId="0" shapeId="0" xr:uid="{00000000-0006-0000-0200-00001A000000}">
      <text>
        <r>
          <rPr>
            <sz val="10"/>
            <color rgb="FF000000"/>
            <rFont val="Arial"/>
          </rPr>
          <t>Sometimes you will encounter open top tanks, these can be killed by anything</t>
        </r>
      </text>
    </comment>
    <comment ref="E15" authorId="0" shapeId="0" xr:uid="{00000000-0006-0000-0200-000059000000}">
      <text>
        <r>
          <rPr>
            <sz val="10"/>
            <color rgb="FF000000"/>
            <rFont val="Arial"/>
          </rPr>
          <t>Is effective from behind, tested on Counteroffensive (looked like BT-7), took numerous passes however.
	-Marek Šuba</t>
        </r>
      </text>
    </comment>
    <comment ref="F15" authorId="0" shapeId="0" xr:uid="{00000000-0006-0000-0200-00001B000000}">
      <text>
        <r>
          <rPr>
            <sz val="10"/>
            <color rgb="FF000000"/>
            <rFont val="Arial"/>
          </rPr>
          <t>Rear only
AP only
Under 300m</t>
        </r>
      </text>
    </comment>
    <comment ref="H15" authorId="0" shapeId="0" xr:uid="{00000000-0006-0000-0200-00001C000000}">
      <text>
        <r>
          <rPr>
            <sz val="10"/>
            <color rgb="FF000000"/>
            <rFont val="Arial"/>
          </rPr>
          <t>Under 200m
----
Very inconsistent, can oneshot but sometimes does nothing
	-Anonymous</t>
        </r>
      </text>
    </comment>
    <comment ref="I15" authorId="0" shapeId="0" xr:uid="{00000000-0006-0000-0200-00001D000000}">
      <text>
        <r>
          <rPr>
            <sz val="10"/>
            <color rgb="FF000000"/>
            <rFont val="Arial"/>
          </rPr>
          <t xml:space="preserve">Rear and Side Only
Under 300m
</t>
        </r>
      </text>
    </comment>
    <comment ref="R15" authorId="0" shapeId="0" xr:uid="{00000000-0006-0000-0200-000058000000}">
      <text>
        <r>
          <rPr>
            <sz val="10"/>
            <color rgb="FF000000"/>
            <rFont val="Arial"/>
          </rPr>
          <t>Direct hit required. Any angle
	-Ivan Enchev</t>
        </r>
      </text>
    </comment>
    <comment ref="G17" authorId="0" shapeId="0" xr:uid="{00000000-0006-0000-0200-00001E000000}">
      <text>
        <r>
          <rPr>
            <sz val="10"/>
            <color rgb="FF000000"/>
            <rFont val="Arial"/>
          </rPr>
          <t>Rear Only
----
rear and sides only
	-Its Just an Apple</t>
        </r>
      </text>
    </comment>
    <comment ref="H17" authorId="0" shapeId="0" xr:uid="{00000000-0006-0000-0200-00001F000000}">
      <text>
        <r>
          <rPr>
            <sz val="10"/>
            <color rgb="FF000000"/>
            <rFont val="Arial"/>
          </rPr>
          <t>Rear Only
Under 200m
Its a bit suicidal to try and kill a Md. tank
----
rear only you need to hit fuel tank about 10 times but it is hard!
	-Its Just an Apple
----
Completely ineffective from all angles
	-Anonymous
_Marked as resolved_
	-Its Just an Apple
_Re-opened_
	-Its Just an Apple</t>
        </r>
      </text>
    </comment>
    <comment ref="I17" authorId="0" shapeId="0" xr:uid="{00000000-0006-0000-0200-000051000000}">
      <text>
        <r>
          <rPr>
            <sz val="10"/>
            <color rgb="FF000000"/>
            <rFont val="Arial"/>
          </rPr>
          <t>Fw 190 A5 - 3 medium tanks destroyed - you have to insist -
BATTLE on the RHINE - when 20mm mg ff rounds finished, 20mm have no effect, so 20mm MG151 is no effective with medium tanks
	-David EA
Can confirm, used only default belt atm and attacked from side-on. Small-medium accurate bursts can kill meds, however feels like shots are RNG based at times.
	-Joshua Turner</t>
        </r>
      </text>
    </comment>
    <comment ref="J17" authorId="0" shapeId="0" xr:uid="{00000000-0006-0000-0200-000020000000}">
      <text>
        <r>
          <rPr>
            <sz val="10"/>
            <color rgb="FF000000"/>
            <rFont val="Arial"/>
          </rPr>
          <t>It is weird. 
The 20mm is effective against tanks on Sicily
Tanks on all other maps are immune
----
I just tried to kill those mediums (matildas btw.). They are also immune. You will get only hits.
	-Pietrek S
I got a kill with fw190a5u2 on a matilda
	-Anonymous
Only 20mm MG GG are effective on medium tanks.
	-David EA</t>
        </r>
      </text>
    </comment>
    <comment ref="L17" authorId="0" shapeId="0" xr:uid="{00000000-0006-0000-0200-000021000000}">
      <text>
        <r>
          <rPr>
            <sz val="10"/>
            <color rgb="FF000000"/>
            <rFont val="Arial"/>
          </rPr>
          <t>Side and Rear only
AP only
----
HE mk108 and mk103 can kill tanks
	-Merem
MK103 can kill medium tanks with air target belt
	-Brian Law
Doesn't really work as of early 1.77
	-Alex T.
For side, aim at lower tracks
	-Scott Clark
if your facing german tanks with sideskirts such as the pz iv's on el alamein i find its quite hit and miss when going from the sides. el alamein is one such example where you spawn as germany but still fight german ground targets. gaijibles pls.
	-nuggetmite</t>
        </r>
      </text>
    </comment>
    <comment ref="M17" authorId="0" shapeId="0" xr:uid="{00000000-0006-0000-0200-00005E000000}">
      <text>
        <r>
          <rPr>
            <sz val="10"/>
            <color rgb="FF000000"/>
            <rFont val="Arial"/>
          </rPr>
          <t>HE are able to kill
	-Hlib Kutsenko Shchegolska
_Marked as resolved_
	-なかじま
_Re-opened_
	-Hlib Kutsenko Shchegolska
Bug was apparently """""fixed""""" but Mk 108 with HE belts are still able to kill most AI medium tanks from the rear with just a few shots
Tested with Ta 154 on Sicily on 1.65.1.71
	-Anonymous</t>
        </r>
      </text>
    </comment>
    <comment ref="N17" authorId="0" shapeId="0" xr:uid="{00000000-0006-0000-0200-000022000000}">
      <text>
        <r>
          <rPr>
            <sz val="10"/>
            <color rgb="FF000000"/>
            <rFont val="Arial"/>
          </rPr>
          <t>HVAP-T only
Side and Rear
Glancing shots deal no damage</t>
        </r>
      </text>
    </comment>
    <comment ref="O17" authorId="0" shapeId="0" xr:uid="{00000000-0006-0000-0200-000023000000}">
      <text>
        <r>
          <rPr>
            <sz val="10"/>
            <color rgb="FF000000"/>
            <rFont val="Arial"/>
          </rPr>
          <t>Side or Rear for AP
HVAP pens on all sides :D</t>
        </r>
      </text>
    </comment>
    <comment ref="P17" authorId="0" shapeId="0" xr:uid="{00000000-0006-0000-0200-000053000000}">
      <text>
        <r>
          <rPr>
            <sz val="10"/>
            <color rgb="FF000000"/>
            <rFont val="Arial"/>
          </rPr>
          <t>With stock rounds on the Me-262 A1/U4 it's a bit of a crapshoot
	-Matthew Allen</t>
        </r>
      </text>
    </comment>
    <comment ref="Q17" authorId="0" shapeId="0" xr:uid="{00000000-0006-0000-0200-000024000000}">
      <text>
        <r>
          <rPr>
            <sz val="10"/>
            <color rgb="FF000000"/>
            <rFont val="Arial"/>
          </rPr>
          <t>Will penetrate even in front
AP-T and HVAP-T works</t>
        </r>
      </text>
    </comment>
    <comment ref="A19" authorId="0" shapeId="0" xr:uid="{00000000-0006-0000-0200-000025000000}">
      <text>
        <r>
          <rPr>
            <sz val="10"/>
            <color rgb="FF000000"/>
            <rFont val="Arial"/>
          </rPr>
          <t>Heavy Tanks are rare so test data is hard to to confirm</t>
        </r>
      </text>
    </comment>
    <comment ref="K19" authorId="0" shapeId="0" xr:uid="{00000000-0006-0000-0200-000026000000}">
      <text>
        <r>
          <rPr>
            <sz val="10"/>
            <color rgb="FF000000"/>
            <rFont val="Arial"/>
          </rPr>
          <t>Heavy Tanks are rare so test data is hard to to confirm</t>
        </r>
      </text>
    </comment>
    <comment ref="L19" authorId="0" shapeId="0" xr:uid="{00000000-0006-0000-0200-000027000000}">
      <text>
        <r>
          <rPr>
            <sz val="10"/>
            <color rgb="FF000000"/>
            <rFont val="Arial"/>
          </rPr>
          <t>Side and rear only
HVAP only</t>
        </r>
      </text>
    </comment>
    <comment ref="N19" authorId="0" shapeId="0" xr:uid="{00000000-0006-0000-0200-000028000000}">
      <text>
        <r>
          <rPr>
            <sz val="10"/>
            <color rgb="FF000000"/>
            <rFont val="Arial"/>
          </rPr>
          <t>Side or Rear only
HVAP-T FTW</t>
        </r>
      </text>
    </comment>
    <comment ref="O19" authorId="0" shapeId="0" xr:uid="{00000000-0006-0000-0200-000029000000}">
      <text>
        <r>
          <rPr>
            <sz val="10"/>
            <color rgb="FF000000"/>
            <rFont val="Arial"/>
          </rPr>
          <t>Thanks to Naten for researching this info</t>
        </r>
      </text>
    </comment>
    <comment ref="Q19" authorId="0" shapeId="0" xr:uid="{00000000-0006-0000-0200-00002A000000}">
      <text>
        <r>
          <rPr>
            <sz val="10"/>
            <color rgb="FF000000"/>
            <rFont val="Arial"/>
          </rPr>
          <t>Side and Rear
----
also front worked for me
	-Ayberk Yaman
1 penetration with HVAP (high chance of bounce from the front, however if it goes through, it's a kill)
2 penetrations with AP (side and rear)
	-Matheus Maran</t>
        </r>
      </text>
    </comment>
    <comment ref="Q21" authorId="0" shapeId="0" xr:uid="{00000000-0006-0000-0200-000057000000}">
      <text>
        <r>
          <rPr>
            <sz val="10"/>
            <color rgb="FF000000"/>
            <rFont val="Arial"/>
          </rPr>
          <t>sekrit dokumits say it can
	-Anonymous
lol
	-Its Just an Apple</t>
        </r>
      </text>
    </comment>
    <comment ref="A23" authorId="0" shapeId="0" xr:uid="{00000000-0006-0000-0200-00002B000000}">
      <text>
        <r>
          <rPr>
            <sz val="10"/>
            <color rgb="FF000000"/>
            <rFont val="Arial"/>
          </rPr>
          <t>All ship models of the same class have the same health
i.e Yamato and Bismark will both take 2x 1000kg bombs to kill</t>
        </r>
      </text>
    </comment>
    <comment ref="C23" authorId="0" shapeId="0" xr:uid="{00000000-0006-0000-0200-00002C000000}">
      <text>
        <r>
          <rPr>
            <sz val="10"/>
            <color rgb="FF000000"/>
            <rFont val="Arial"/>
          </rPr>
          <t>Ju 87D-5 can carry 12 of these MGs!!! Too bad the 4x Cannon gunpods is still better
----
12+2 because of the rear gunner
	-Anonymous</t>
        </r>
      </text>
    </comment>
    <comment ref="D23" authorId="0" shapeId="0" xr:uid="{00000000-0006-0000-0200-00002D000000}">
      <text>
        <r>
          <rPr>
            <sz val="10"/>
            <color rgb="FF000000"/>
            <rFont val="Arial"/>
          </rPr>
          <t>Glorious pasta of the Spagetti Air Force</t>
        </r>
      </text>
    </comment>
    <comment ref="E23" authorId="0" shapeId="0" xr:uid="{00000000-0006-0000-0200-00002E000000}">
      <text>
        <r>
          <rPr>
            <sz val="10"/>
            <color rgb="FF000000"/>
            <rFont val="Arial"/>
          </rPr>
          <t xml:space="preserve">Glorious Breadsticks of the Spagetti Air Force
</t>
        </r>
      </text>
    </comment>
    <comment ref="G23" authorId="0" shapeId="0" xr:uid="{00000000-0006-0000-0200-00002F000000}">
      <text>
        <r>
          <rPr>
            <sz val="10"/>
            <color rgb="FF000000"/>
            <rFont val="Arial"/>
          </rPr>
          <t>Kind of odd that the 15mm is better at ground strafting than its 20mm cousin?</t>
        </r>
      </text>
    </comment>
    <comment ref="H23" authorId="0" shapeId="0" xr:uid="{00000000-0006-0000-0200-000030000000}">
      <text>
        <r>
          <rPr>
            <sz val="10"/>
            <color rgb="FF000000"/>
            <rFont val="Arial"/>
          </rPr>
          <t>He 112A-0 only
Basically its the air variant of the Flak 30</t>
        </r>
      </text>
    </comment>
    <comment ref="K23" authorId="0" shapeId="0" xr:uid="{00000000-0006-0000-0200-000031000000}">
      <text>
        <r>
          <rPr>
            <sz val="10"/>
            <color rgb="FF000000"/>
            <rFont val="Arial"/>
          </rPr>
          <t>All ship models of the same class have the same health
i.e Yamato and Bismark will both take 2x 1000kg bombs to kill</t>
        </r>
      </text>
    </comment>
    <comment ref="M23" authorId="0" shapeId="0" xr:uid="{00000000-0006-0000-0200-000032000000}">
      <text>
        <r>
          <rPr>
            <sz val="10"/>
            <color rgb="FF000000"/>
            <rFont val="Arial"/>
          </rPr>
          <t>I really dislike this gun. Sounds weak and has poor ballistics. Sometimes I wish I had a 7.7mm instead.</t>
        </r>
      </text>
    </comment>
    <comment ref="P23" authorId="0" shapeId="0" xr:uid="{00000000-0006-0000-0200-000033000000}">
      <text>
        <r>
          <rPr>
            <sz val="10"/>
            <color rgb="FF000000"/>
            <rFont val="Arial"/>
          </rPr>
          <t xml:space="preserve">Me 262 unicorn only
</t>
        </r>
      </text>
    </comment>
    <comment ref="Q23" authorId="0" shapeId="0" xr:uid="{00000000-0006-0000-0200-000034000000}">
      <text>
        <r>
          <rPr>
            <sz val="10"/>
            <color rgb="FF000000"/>
            <rFont val="Arial"/>
          </rPr>
          <t>Some gen</t>
        </r>
      </text>
    </comment>
    <comment ref="R23" authorId="0" shapeId="0" xr:uid="{00000000-0006-0000-0200-000035000000}">
      <text>
        <r>
          <rPr>
            <sz val="10"/>
            <color rgb="FF000000"/>
            <rFont val="Arial"/>
          </rPr>
          <t>Me 262 A-1 only
Holy mother of God that is a lot of rockets</t>
        </r>
      </text>
    </comment>
    <comment ref="S23" authorId="0" shapeId="0" xr:uid="{00000000-0006-0000-0200-000036000000}">
      <text>
        <r>
          <rPr>
            <sz val="10"/>
            <color rgb="FF000000"/>
            <rFont val="Arial"/>
          </rPr>
          <t>Bf 109 F-2 only
Air-Air rocket</t>
        </r>
      </text>
    </comment>
    <comment ref="T23" authorId="0" shapeId="0" xr:uid="{00000000-0006-0000-0200-000037000000}">
      <text>
        <r>
          <rPr>
            <sz val="10"/>
            <color rgb="FF000000"/>
            <rFont val="Arial"/>
          </rPr>
          <t>1. BR.21 should only be used to explode B-17s
2. Why are you using this?
----
Overkill much?
	-Andrew J</t>
        </r>
      </text>
    </comment>
    <comment ref="U23" authorId="0" shapeId="0" xr:uid="{00000000-0006-0000-0200-000038000000}">
      <text>
        <r>
          <rPr>
            <sz val="10"/>
            <color rgb="FF000000"/>
            <rFont val="Arial"/>
          </rPr>
          <t>Max drop speed: 301km/h
Max drop alt: 120m</t>
        </r>
      </text>
    </comment>
    <comment ref="V23" authorId="0" shapeId="0" xr:uid="{00000000-0006-0000-0200-000039000000}">
      <text>
        <r>
          <rPr>
            <sz val="10"/>
            <color rgb="FF000000"/>
            <rFont val="Arial"/>
          </rPr>
          <t>Max drop speed: 301km/h
Max drop alt: 120m</t>
        </r>
      </text>
    </comment>
    <comment ref="X25" authorId="0" shapeId="0" xr:uid="{00000000-0006-0000-0200-00005D000000}">
      <text>
        <r>
          <rPr>
            <sz val="10"/>
            <color rgb="FF000000"/>
            <rFont val="Arial"/>
          </rPr>
          <t>Air targets for both Mk 103 and 108 apparently work just as well...
	-Anonymous</t>
        </r>
      </text>
    </comment>
    <comment ref="A26" authorId="0" shapeId="0" xr:uid="{00000000-0006-0000-0200-00003A000000}">
      <text>
        <r>
          <rPr>
            <sz val="10"/>
            <color rgb="FF000000"/>
            <rFont val="Arial"/>
          </rPr>
          <t xml:space="preserve">On Norway, half the landing boats are underwater. How do you strafe that?
</t>
        </r>
      </text>
    </comment>
    <comment ref="K26" authorId="0" shapeId="0" xr:uid="{00000000-0006-0000-0200-00003B000000}">
      <text>
        <r>
          <rPr>
            <sz val="10"/>
            <color rgb="FF000000"/>
            <rFont val="Arial"/>
          </rPr>
          <t xml:space="preserve">On Norway, half the landing boats are underwater. How do you strafe that?
</t>
        </r>
      </text>
    </comment>
    <comment ref="O26" authorId="0" shapeId="0" xr:uid="{00000000-0006-0000-0200-00003C000000}">
      <text>
        <r>
          <rPr>
            <sz val="10"/>
            <color rgb="FF000000"/>
            <rFont val="Arial"/>
          </rPr>
          <t>Odd that a High-Explosive 50mm doesn't blow apart the entire boat in one hit</t>
        </r>
      </text>
    </comment>
    <comment ref="K28" authorId="0" shapeId="0" xr:uid="{00000000-0006-0000-0200-000060000000}">
      <text>
        <r>
          <rPr>
            <sz val="10"/>
            <color rgb="FF000000"/>
            <rFont val="Arial"/>
          </rPr>
          <t>may want to relook at that I have recently started to get hit markers.
	-Rolston Dyer
_Marked as resolved_
	-Gunnar Konig
_Re-opened_
Did you test it? because 30 mills can destroy it now.
	-Rolston Dyer
I had no idea I was in edit mode or that clicking that would instantly
change it without confirmation, sorry.
I don't use google docs usually, I just keep this chart open because it's
very useful.
My bad, please ignore it.
	-Gunnar Konig
Looks like you can actually kill cargo ships with certain weapons. Only HE is effective though and requires a lot of ammo to kill.
	-ACT Sucks</t>
        </r>
      </text>
    </comment>
    <comment ref="L28" authorId="0" shapeId="0" xr:uid="{00000000-0006-0000-0200-00003D000000}">
      <text>
        <r>
          <rPr>
            <sz val="10"/>
            <color rgb="FF000000"/>
            <rFont val="Arial"/>
          </rPr>
          <t>Turns out some of the more explosive weapons can actually kill cargo ships, takes a while though
HE only, HVAP does not work</t>
        </r>
      </text>
    </comment>
    <comment ref="A38" authorId="0" shapeId="0" xr:uid="{00000000-0006-0000-0200-00003E000000}">
      <text>
        <r>
          <rPr>
            <sz val="10"/>
            <color rgb="FF000000"/>
            <rFont val="Arial"/>
          </rPr>
          <t>Japanese Carriers actually have a sweet spot, located aft of 2nd engine exhaust and forward of the 
250kg bombs and bigger can OHKO the carrier</t>
        </r>
      </text>
    </comment>
    <comment ref="K38" authorId="0" shapeId="0" xr:uid="{00000000-0006-0000-0200-00003F000000}">
      <text>
        <r>
          <rPr>
            <sz val="10"/>
            <color rgb="FF000000"/>
            <rFont val="Arial"/>
          </rPr>
          <t>Japanese Carriers actually have a sweet spot, located aft of 2nd engine exhaust and forward of the 
250kg bombs and bigger can OHKO the carrier</t>
        </r>
      </text>
    </comment>
    <comment ref="U38" authorId="0" shapeId="0" xr:uid="{00000000-0006-0000-0200-000054000000}">
      <text>
        <r>
          <rPr>
            <sz val="10"/>
            <color rgb="FF000000"/>
            <rFont val="Arial"/>
          </rPr>
          <t>2 needed to destroy carrier, tested with Do 217 K-1 in RB on Norway
	-Karasu
2 F5W for Lexington AI Carrier on Norway, tested in RB with He 111H-6
	-Erster Mensch</t>
        </r>
      </text>
    </comment>
    <comment ref="V38" authorId="0" shapeId="0" xr:uid="{00000000-0006-0000-0200-000055000000}">
      <text>
        <r>
          <rPr>
            <sz val="10"/>
            <color rgb="FF000000"/>
            <rFont val="Arial"/>
          </rPr>
          <t>2 Italian Torps on Allied Carrier. Tested with P109B
	-Keta</t>
        </r>
      </text>
    </comment>
    <comment ref="C40" authorId="0" shapeId="0" xr:uid="{00000000-0006-0000-0200-000040000000}">
      <text>
        <r>
          <rPr>
            <sz val="10"/>
            <color rgb="FF000000"/>
            <rFont val="Arial"/>
          </rPr>
          <t>Otherwise mostly seen on bombers in the 81Z config, still not useful though</t>
        </r>
      </text>
    </comment>
    <comment ref="D40" authorId="0" shapeId="0" xr:uid="{00000000-0006-0000-0200-000041000000}">
      <text>
        <r>
          <rPr>
            <sz val="10"/>
            <color rgb="FF000000"/>
            <rFont val="Arial"/>
          </rPr>
          <t>Wonder what kinds of pasta it fires?
Maybe Ziti, or Fettuccine.
I hope its Fusilli.</t>
        </r>
      </text>
    </comment>
    <comment ref="E40" authorId="0" shapeId="0" xr:uid="{00000000-0006-0000-0200-000042000000}">
      <text>
        <r>
          <rPr>
            <sz val="10"/>
            <color rgb="FF000000"/>
            <rFont val="Arial"/>
          </rPr>
          <t>Olive Garden breadsticks are actually quite good, even if they are basic</t>
        </r>
      </text>
    </comment>
    <comment ref="G40" authorId="0" shapeId="0" xr:uid="{00000000-0006-0000-0200-000043000000}">
      <text>
        <r>
          <rPr>
            <sz val="10"/>
            <color rgb="FF000000"/>
            <rFont val="Arial"/>
          </rPr>
          <t>Credit to Khangai3977 and 김성윤 for researching this info</t>
        </r>
      </text>
    </comment>
    <comment ref="H40" authorId="0" shapeId="0" xr:uid="{00000000-0006-0000-0200-000044000000}">
      <text>
        <r>
          <rPr>
            <sz val="10"/>
            <color rgb="FF000000"/>
            <rFont val="Arial"/>
          </rPr>
          <t>Historically the 112A-0 was used this way</t>
        </r>
      </text>
    </comment>
    <comment ref="M40" authorId="0" shapeId="0" xr:uid="{00000000-0006-0000-0200-000045000000}">
      <text>
        <r>
          <rPr>
            <sz val="10"/>
            <color rgb="FF000000"/>
            <rFont val="Arial"/>
          </rPr>
          <t>No AP rounds means the Mk. 108 is only effective against aircraft and lightly armored vehicles</t>
        </r>
      </text>
    </comment>
    <comment ref="P40" authorId="0" shapeId="0" xr:uid="{00000000-0006-0000-0200-000046000000}">
      <text>
        <r>
          <rPr>
            <sz val="10"/>
            <color rgb="FF000000"/>
            <rFont val="Arial"/>
          </rPr>
          <t xml:space="preserve">RoF: 160rpm
Muzzle Velocity: 920m/s
</t>
        </r>
      </text>
    </comment>
    <comment ref="Q40" authorId="0" shapeId="0" xr:uid="{00000000-0006-0000-0200-000047000000}">
      <text>
        <r>
          <rPr>
            <sz val="10"/>
            <color rgb="FF000000"/>
            <rFont val="Arial"/>
          </rPr>
          <t>Battle Duck only 
(Hs 129B-3)</t>
        </r>
      </text>
    </comment>
    <comment ref="R40" authorId="0" shapeId="0" xr:uid="{00000000-0006-0000-0200-000048000000}">
      <text>
        <r>
          <rPr>
            <sz val="10"/>
            <color rgb="FF000000"/>
            <rFont val="Arial"/>
          </rPr>
          <t>Thanks to 김성윤 for this discovery as well as the RZ 65 rockets</t>
        </r>
      </text>
    </comment>
    <comment ref="U40" authorId="0" shapeId="0" xr:uid="{00000000-0006-0000-0200-000049000000}">
      <text>
        <r>
          <rPr>
            <sz val="10"/>
            <color rgb="FF000000"/>
            <rFont val="Arial"/>
          </rPr>
          <t>Max drop speed: 301km/h
Max drop alt: 120m</t>
        </r>
      </text>
    </comment>
    <comment ref="V40" authorId="0" shapeId="0" xr:uid="{00000000-0006-0000-0200-00004A000000}">
      <text>
        <r>
          <rPr>
            <sz val="10"/>
            <color rgb="FF000000"/>
            <rFont val="Arial"/>
          </rPr>
          <t>Max drop speed: 301km/h
Max drop alt: 120m</t>
        </r>
      </text>
    </comment>
    <comment ref="W40" authorId="0" shapeId="0" xr:uid="{00000000-0006-0000-0200-00005F000000}">
      <text>
        <r>
          <rPr>
            <sz val="10"/>
            <color rgb="FF000000"/>
            <rFont val="Arial"/>
          </rPr>
          <t>can u plz do it? it would be FUN!
F@@@ing
Ute@@d
Night
	-김성윤</t>
        </r>
      </text>
    </comment>
    <comment ref="A42" authorId="0" shapeId="0" xr:uid="{00000000-0006-0000-0200-00004B000000}">
      <text>
        <r>
          <rPr>
            <sz val="10"/>
            <color rgb="FF000000"/>
            <rFont val="Arial"/>
          </rPr>
          <t>Not sure why you would attack a point with anything except a bomb</t>
        </r>
      </text>
    </comment>
    <comment ref="K42" authorId="0" shapeId="0" xr:uid="{00000000-0006-0000-0200-00004C000000}">
      <text>
        <r>
          <rPr>
            <sz val="10"/>
            <color rgb="FF000000"/>
            <rFont val="Arial"/>
          </rPr>
          <t>Not sure why you would attack a point with anything except a bomb</t>
        </r>
      </text>
    </comment>
    <comment ref="R48" authorId="0" shapeId="0" xr:uid="{00000000-0006-0000-0200-00005A000000}">
      <text>
        <r>
          <rPr>
            <sz val="10"/>
            <color rgb="FF000000"/>
            <rFont val="Arial"/>
          </rPr>
          <t>All 48 rockets on the 262 can destroy the bombing point.
	-Lebron Jordan</t>
        </r>
      </text>
    </comment>
    <comment ref="T48" authorId="0" shapeId="0" xr:uid="{00000000-0006-0000-0200-00004D000000}">
      <text>
        <r>
          <rPr>
            <sz val="10"/>
            <color rgb="FF000000"/>
            <rFont val="Arial"/>
          </rPr>
          <t>German engineering</t>
        </r>
      </text>
    </comment>
    <comment ref="W48" authorId="0" shapeId="0" xr:uid="{00000000-0006-0000-0200-00005C000000}">
      <text>
        <r>
          <rPr>
            <sz val="10"/>
            <color rgb="FF000000"/>
            <rFont val="Arial"/>
          </rPr>
          <t>47
	-Anonymous</t>
        </r>
      </text>
    </comment>
    <comment ref="A56" authorId="0" shapeId="0" xr:uid="{00000000-0006-0000-0200-00004E000000}">
      <text>
        <r>
          <rPr>
            <sz val="10"/>
            <color rgb="FF000000"/>
            <rFont val="Arial"/>
          </rPr>
          <t>Airfield in some low tier maps like Essen have less health
Otherwise, seems airfield should have same health</t>
        </r>
      </text>
    </comment>
    <comment ref="K56" authorId="0" shapeId="0" xr:uid="{00000000-0006-0000-0200-00004F000000}">
      <text>
        <r>
          <rPr>
            <sz val="10"/>
            <color rgb="FF000000"/>
            <rFont val="Arial"/>
          </rPr>
          <t>Airfield in some low tier maps like Essen have less health
Otherwise, seems airfield should have same health</t>
        </r>
      </text>
    </comment>
    <comment ref="W56" authorId="0" shapeId="0" xr:uid="{00000000-0006-0000-0200-00005B000000}">
      <text>
        <r>
          <rPr>
            <sz val="10"/>
            <color rgb="FF000000"/>
            <rFont val="Arial"/>
          </rPr>
          <t>313
	-Anonymous
How do you know this
	-Andrew Johnson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00000000-0006-0000-0500-000001000000}">
      <text>
        <r>
          <rPr>
            <sz val="10"/>
            <color rgb="FF000000"/>
            <rFont val="Arial"/>
          </rPr>
          <t>Arcade and RB units have the same health</t>
        </r>
      </text>
    </comment>
    <comment ref="B6" authorId="0" shapeId="0" xr:uid="{00000000-0006-0000-0500-000002000000}">
      <text>
        <r>
          <rPr>
            <sz val="10"/>
            <color rgb="FF000000"/>
            <rFont val="Arial"/>
          </rPr>
          <t>RoF: 900rpm
Muzzle Velocity: 810m/s</t>
        </r>
      </text>
    </comment>
    <comment ref="C6" authorId="0" shapeId="0" xr:uid="{00000000-0006-0000-0500-000003000000}">
      <text>
        <r>
          <rPr>
            <sz val="10"/>
            <color rgb="FF000000"/>
            <rFont val="Arial"/>
          </rPr>
          <t>RoF: 900rpm
Muzzle Velocity: 750m/s</t>
        </r>
      </text>
    </comment>
    <comment ref="D6" authorId="0" shapeId="0" xr:uid="{00000000-0006-0000-0500-000004000000}">
      <text>
        <r>
          <rPr>
            <sz val="10"/>
            <color rgb="FF000000"/>
            <rFont val="Arial"/>
          </rPr>
          <t>RoF: 800-900rpm
Muzzle Velocity: 765m/s</t>
        </r>
      </text>
    </comment>
    <comment ref="E6" authorId="0" shapeId="0" xr:uid="{00000000-0006-0000-0500-000005000000}">
      <text>
        <r>
          <rPr>
            <sz val="10"/>
            <color rgb="FF000000"/>
            <rFont val="Arial"/>
          </rPr>
          <t>RoF: 800rpm
Muzzle Velocity: 795m/s</t>
        </r>
      </text>
    </comment>
    <comment ref="F6" authorId="0" shapeId="0" xr:uid="{00000000-0006-0000-0500-000006000000}">
      <text>
        <r>
          <rPr>
            <sz val="10"/>
            <color rgb="FF000000"/>
            <rFont val="Arial"/>
          </rPr>
          <t>RoF: 520rpm
Muzzle Velocity: 525m/s</t>
        </r>
      </text>
    </comment>
    <comment ref="G6" authorId="0" shapeId="0" xr:uid="{00000000-0006-0000-0500-000007000000}">
      <text>
        <r>
          <rPr>
            <sz val="10"/>
            <color rgb="FF000000"/>
            <rFont val="Arial"/>
          </rPr>
          <t>RoF: 490rpm
Muzzle Velocity: 750m/s</t>
        </r>
      </text>
    </comment>
    <comment ref="H6" authorId="0" shapeId="0" xr:uid="{00000000-0006-0000-0500-000008000000}">
      <text>
        <r>
          <rPr>
            <sz val="10"/>
            <color rgb="FF000000"/>
            <rFont val="Arial"/>
          </rPr>
          <t>RoF: 400rpm
Muzzle Velocity: 805m/s</t>
        </r>
      </text>
    </comment>
    <comment ref="I6" authorId="0" shapeId="0" xr:uid="{00000000-0006-0000-0500-000009000000}">
      <text>
        <r>
          <rPr>
            <sz val="10"/>
            <color rgb="FF000000"/>
            <rFont val="Arial"/>
          </rPr>
          <t>RoF: 750-850rpm
Muzzle Velocity: 715m/s</t>
        </r>
      </text>
    </comment>
    <comment ref="J6" authorId="0" shapeId="0" xr:uid="{00000000-0006-0000-0500-00000A000000}">
      <text>
        <r>
          <rPr>
            <sz val="10"/>
            <color rgb="FF000000"/>
            <rFont val="Arial"/>
          </rPr>
          <t>RoF: 500rpm
Muzzle Velocity: 760m/s</t>
        </r>
      </text>
    </comment>
    <comment ref="K6" authorId="0" shapeId="0" xr:uid="{00000000-0006-0000-0500-00000B000000}">
      <text>
        <r>
          <rPr>
            <sz val="10"/>
            <color rgb="FF000000"/>
            <rFont val="Arial"/>
          </rPr>
          <t>RoF: 300-400rpm
Muzzle Velocity: 650m/s</t>
        </r>
      </text>
    </comment>
    <comment ref="L6" authorId="0" shapeId="0" xr:uid="{00000000-0006-0000-0500-00000C000000}">
      <text>
        <r>
          <rPr>
            <sz val="10"/>
            <color rgb="FF000000"/>
            <rFont val="Arial"/>
          </rPr>
          <t>RoF: ?
Muzzle Velocity: 580m/s
----
Rof: ~20rpm
	-Steffen Grashoff</t>
        </r>
      </text>
    </comment>
    <comment ref="M6" authorId="0" shapeId="0" xr:uid="{00000000-0006-0000-0500-00000D000000}">
      <text>
        <r>
          <rPr>
            <sz val="10"/>
            <color rgb="FF000000"/>
            <rFont val="Arial"/>
          </rPr>
          <t>RoF: 120rpm
Muzzle Velocity: 570m/s</t>
        </r>
      </text>
    </comment>
    <comment ref="N6" authorId="0" shapeId="0" xr:uid="{00000000-0006-0000-0500-00000E000000}">
      <text>
        <r>
          <rPr>
            <sz val="10"/>
            <color rgb="FF000000"/>
            <rFont val="Arial"/>
          </rPr>
          <t>RoF: 300-400rpm
Muzzle Velocity:710m/s</t>
        </r>
      </text>
    </comment>
    <comment ref="O6" authorId="0" shapeId="0" xr:uid="{00000000-0006-0000-0500-00000F000000}">
      <text>
        <r>
          <rPr>
            <sz val="10"/>
            <color rgb="FF000000"/>
            <rFont val="Arial"/>
          </rPr>
          <t>RoF:80rpm
Muzzle Velocity:495m/s</t>
        </r>
      </text>
    </comment>
    <comment ref="P6" authorId="0" shapeId="0" xr:uid="{00000000-0006-0000-0500-000010000000}">
      <text>
        <r>
          <rPr>
            <sz val="10"/>
            <color rgb="FF000000"/>
            <rFont val="Arial"/>
          </rPr>
          <t>Launch speed: 270m/s</t>
        </r>
      </text>
    </comment>
    <comment ref="Q6" authorId="0" shapeId="0" xr:uid="{00000000-0006-0000-0500-000011000000}">
      <text>
        <r>
          <rPr>
            <sz val="10"/>
            <color rgb="FF000000"/>
            <rFont val="Arial"/>
          </rPr>
          <t>Max drop speed: 481km/h
Max drop alt: 300m</t>
        </r>
      </text>
    </comment>
    <comment ref="R6" authorId="0" shapeId="0" xr:uid="{00000000-0006-0000-0500-000012000000}">
      <text>
        <r>
          <rPr>
            <sz val="10"/>
            <color rgb="FF000000"/>
            <rFont val="Arial"/>
          </rPr>
          <t>Max drop speed: 556km/h
Max drop alt: 300m</t>
        </r>
      </text>
    </comment>
    <comment ref="S6" authorId="0" shapeId="0" xr:uid="{00000000-0006-0000-0500-000013000000}">
      <text>
        <r>
          <rPr>
            <sz val="10"/>
            <color rgb="FF000000"/>
            <rFont val="Arial"/>
          </rPr>
          <t>Arcade and RB units have the same health</t>
        </r>
      </text>
    </comment>
    <comment ref="T6" authorId="0" shapeId="0" xr:uid="{00000000-0006-0000-0500-000061000000}">
      <text>
        <r>
          <rPr>
            <sz val="10"/>
            <color rgb="FF000000"/>
            <rFont val="Arial"/>
          </rPr>
          <t>They also have the 75mm, which from my experience needs 2 shots to kill a light pillbox.
	-Andrew Johnson</t>
        </r>
      </text>
    </comment>
    <comment ref="C9" authorId="0" shapeId="0" xr:uid="{00000000-0006-0000-0500-000060000000}">
      <text>
        <r>
          <rPr>
            <sz val="10"/>
            <color rgb="FF000000"/>
            <rFont val="Arial"/>
          </rPr>
          <t>On Khalkin Gol, will defeat pillboxes
	-Anonymous</t>
        </r>
      </text>
    </comment>
    <comment ref="G9" authorId="0" shapeId="0" xr:uid="{00000000-0006-0000-0500-000014000000}">
      <text>
        <r>
          <rPr>
            <sz val="10"/>
            <color rgb="FF000000"/>
            <rFont val="Arial"/>
          </rPr>
          <t>Effective within ~150m
AP only
Japanese planes are maneuverable enough, still not a good idea though</t>
        </r>
      </text>
    </comment>
    <comment ref="J9" authorId="0" shapeId="0" xr:uid="{00000000-0006-0000-0500-000015000000}">
      <text>
        <r>
          <rPr>
            <sz val="10"/>
            <color rgb="FF000000"/>
            <rFont val="Arial"/>
          </rPr>
          <t>PT shells actually work
Takes forever to kill one though</t>
        </r>
      </text>
    </comment>
    <comment ref="K9" authorId="0" shapeId="0" xr:uid="{00000000-0006-0000-0500-000016000000}">
      <text>
        <r>
          <rPr>
            <sz val="10"/>
            <color rgb="FF000000"/>
            <rFont val="Arial"/>
          </rPr>
          <t>Odd that the Ho-155 has little effect on light pills</t>
        </r>
      </text>
    </comment>
    <comment ref="D15" authorId="0" shapeId="0" xr:uid="{00000000-0006-0000-0500-000017000000}">
      <text>
        <r>
          <rPr>
            <sz val="10"/>
            <color rgb="FF000000"/>
            <rFont val="Arial"/>
          </rPr>
          <t xml:space="preserve">Effective within ~250m
AP only
Rear only
</t>
        </r>
      </text>
    </comment>
    <comment ref="F15" authorId="0" shapeId="0" xr:uid="{00000000-0006-0000-0500-000018000000}">
      <text>
        <r>
          <rPr>
            <sz val="10"/>
            <color rgb="FF000000"/>
            <rFont val="Arial"/>
          </rPr>
          <t>Rear gives hit markers, but doesn't seem to do damage</t>
        </r>
      </text>
    </comment>
    <comment ref="G15" authorId="0" shapeId="0" xr:uid="{00000000-0006-0000-0500-000063000000}">
      <text>
        <r>
          <rPr>
            <sz val="10"/>
            <color rgb="FF000000"/>
            <rFont val="Arial"/>
          </rPr>
          <t>Can't kill them with Air Targets
	-notthehitman</t>
        </r>
      </text>
    </comment>
    <comment ref="H15" authorId="0" shapeId="0" xr:uid="{00000000-0006-0000-0500-000019000000}">
      <text>
        <r>
          <rPr>
            <sz val="10"/>
            <color rgb="FF000000"/>
            <rFont val="Arial"/>
          </rPr>
          <t xml:space="preserve">Effective within ~250m
AP only
Rear only
</t>
        </r>
      </text>
    </comment>
    <comment ref="K15" authorId="0" shapeId="0" xr:uid="{00000000-0006-0000-0500-00001A000000}">
      <text>
        <r>
          <rPr>
            <sz val="10"/>
            <color rgb="FF000000"/>
            <rFont val="Arial"/>
          </rPr>
          <t>Effective within ~300m
PT only</t>
        </r>
      </text>
    </comment>
    <comment ref="E17" authorId="0" shapeId="0" xr:uid="{00000000-0006-0000-0500-00001B000000}">
      <text>
        <r>
          <rPr>
            <sz val="10"/>
            <color rgb="FF000000"/>
            <rFont val="Arial"/>
          </rPr>
          <t xml:space="preserve">Effective within ~300m
AP only
Why are you strafing with 1 MG again?
</t>
        </r>
      </text>
    </comment>
    <comment ref="G17" authorId="0" shapeId="0" xr:uid="{00000000-0006-0000-0500-00001C000000}">
      <text>
        <r>
          <rPr>
            <sz val="10"/>
            <color rgb="FF000000"/>
            <rFont val="Arial"/>
          </rPr>
          <t>No longer possible</t>
        </r>
      </text>
    </comment>
    <comment ref="J17" authorId="0" shapeId="0" xr:uid="{00000000-0006-0000-0500-00001D000000}">
      <text>
        <r>
          <rPr>
            <sz val="10"/>
            <color rgb="FF000000"/>
            <rFont val="Arial"/>
          </rPr>
          <t>No longer effective in 1.47</t>
        </r>
      </text>
    </comment>
    <comment ref="K17" authorId="0" shapeId="0" xr:uid="{00000000-0006-0000-0500-00001E000000}">
      <text>
        <r>
          <rPr>
            <sz val="10"/>
            <color rgb="FF000000"/>
            <rFont val="Arial"/>
          </rPr>
          <t>Effective within ~300m
PT only
Side and rear</t>
        </r>
      </text>
    </comment>
    <comment ref="A19" authorId="0" shapeId="0" xr:uid="{00000000-0006-0000-0500-00001F000000}">
      <text>
        <r>
          <rPr>
            <sz val="10"/>
            <color rgb="FF000000"/>
            <rFont val="Arial"/>
          </rPr>
          <t>Japanese Tier 5 heavy tank</t>
        </r>
      </text>
    </comment>
    <comment ref="P19" authorId="0" shapeId="0" xr:uid="{00000000-0006-0000-0500-000020000000}">
      <text>
        <r>
          <rPr>
            <sz val="10"/>
            <color rgb="FF000000"/>
            <rFont val="Arial"/>
          </rPr>
          <t>Rear only</t>
        </r>
      </text>
    </comment>
    <comment ref="S19" authorId="0" shapeId="0" xr:uid="{00000000-0006-0000-0500-000021000000}">
      <text>
        <r>
          <rPr>
            <sz val="10"/>
            <color rgb="FF000000"/>
            <rFont val="Arial"/>
          </rPr>
          <t>Japanese Tier 5 heavy tank</t>
        </r>
      </text>
    </comment>
    <comment ref="A21" authorId="0" shapeId="0" xr:uid="{00000000-0006-0000-0500-000022000000}">
      <text>
        <r>
          <rPr>
            <sz val="10"/>
            <color rgb="FF000000"/>
            <rFont val="Arial"/>
          </rPr>
          <t>"Words build bridges into unexplored regions." - Adolf Hitler   
:|, legit quote too</t>
        </r>
      </text>
    </comment>
    <comment ref="S21" authorId="0" shapeId="0" xr:uid="{00000000-0006-0000-0500-000023000000}">
      <text>
        <r>
          <rPr>
            <sz val="10"/>
            <color rgb="FF000000"/>
            <rFont val="Arial"/>
          </rPr>
          <t>"Words build bridges into unexplored regions." - Adolf Hitler   
:|, legit quote too</t>
        </r>
      </text>
    </comment>
    <comment ref="A23" authorId="0" shapeId="0" xr:uid="{00000000-0006-0000-0500-000024000000}">
      <text>
        <r>
          <rPr>
            <sz val="10"/>
            <color rgb="FF000000"/>
            <rFont val="Arial"/>
          </rPr>
          <t>All ship models of the same class have the same health
i.e Yamato and Bismark will both take 2x 1000kg bombs to kill</t>
        </r>
      </text>
    </comment>
    <comment ref="B23" authorId="0" shapeId="0" xr:uid="{00000000-0006-0000-0500-000025000000}">
      <text>
        <r>
          <rPr>
            <sz val="10"/>
            <color rgb="FF000000"/>
            <rFont val="Arial"/>
          </rPr>
          <t>Army MG, practically a Vickers MG</t>
        </r>
      </text>
    </comment>
    <comment ref="C23" authorId="0" shapeId="0" xr:uid="{00000000-0006-0000-0500-000026000000}">
      <text>
        <r>
          <rPr>
            <sz val="10"/>
            <color rgb="FF000000"/>
            <rFont val="Arial"/>
          </rPr>
          <t>RoF: 900rpm
Muzzle Velocity: 750m/s</t>
        </r>
      </text>
    </comment>
    <comment ref="D23" authorId="0" shapeId="0" xr:uid="{00000000-0006-0000-0500-000027000000}">
      <text>
        <r>
          <rPr>
            <sz val="10"/>
            <color rgb="FF000000"/>
            <rFont val="Arial"/>
          </rPr>
          <t>RoF: 800-900rpm
Muzzle Velocity: 765m/s</t>
        </r>
      </text>
    </comment>
    <comment ref="E23" authorId="0" shapeId="0" xr:uid="{00000000-0006-0000-0500-000028000000}">
      <text>
        <r>
          <rPr>
            <sz val="10"/>
            <color rgb="FF000000"/>
            <rFont val="Arial"/>
          </rPr>
          <t>RoF: 800rpm
Muzzle Velocity: 795m/s</t>
        </r>
      </text>
    </comment>
    <comment ref="F23" authorId="0" shapeId="0" xr:uid="{00000000-0006-0000-0500-000029000000}">
      <text>
        <r>
          <rPr>
            <sz val="10"/>
            <color rgb="FF000000"/>
            <rFont val="Arial"/>
          </rPr>
          <t>RoF: 520rpm
Muzzle Velocity: 525m/s</t>
        </r>
      </text>
    </comment>
    <comment ref="G23" authorId="0" shapeId="0" xr:uid="{00000000-0006-0000-0500-00002A000000}">
      <text>
        <r>
          <rPr>
            <sz val="10"/>
            <color rgb="FF000000"/>
            <rFont val="Arial"/>
          </rPr>
          <t>RoF: 490rpm
Muzzle Velocity: 750m/s</t>
        </r>
      </text>
    </comment>
    <comment ref="H23" authorId="0" shapeId="0" xr:uid="{00000000-0006-0000-0500-00002B000000}">
      <text>
        <r>
          <rPr>
            <sz val="10"/>
            <color rgb="FF000000"/>
            <rFont val="Arial"/>
          </rPr>
          <t>RoF: 400rpm
Muzzle Velocity: 805m/s</t>
        </r>
      </text>
    </comment>
    <comment ref="I23" authorId="0" shapeId="0" xr:uid="{00000000-0006-0000-0500-00002C000000}">
      <text>
        <r>
          <rPr>
            <sz val="10"/>
            <color rgb="FF000000"/>
            <rFont val="Arial"/>
          </rPr>
          <t>RoF: 750-850rpm
Muzzle Velocity: 715m/s</t>
        </r>
      </text>
    </comment>
    <comment ref="J23" authorId="0" shapeId="0" xr:uid="{00000000-0006-0000-0500-00002D000000}">
      <text>
        <r>
          <rPr>
            <sz val="10"/>
            <color rgb="FF000000"/>
            <rFont val="Arial"/>
          </rPr>
          <t>RoF: 500rpm
Muzzle Velocity: 760m/s</t>
        </r>
      </text>
    </comment>
    <comment ref="K23" authorId="0" shapeId="0" xr:uid="{00000000-0006-0000-0500-00002E000000}">
      <text>
        <r>
          <rPr>
            <sz val="10"/>
            <color rgb="FF000000"/>
            <rFont val="Arial"/>
          </rPr>
          <t>RoF: 300-400rpm
Muzzle Velocity: 650m/s</t>
        </r>
      </text>
    </comment>
    <comment ref="L23" authorId="0" shapeId="0" xr:uid="{00000000-0006-0000-0500-00002F000000}">
      <text>
        <r>
          <rPr>
            <sz val="10"/>
            <color rgb="FF000000"/>
            <rFont val="Arial"/>
          </rPr>
          <t>RoF: ?
Muzzle Velocity: 580m/s</t>
        </r>
      </text>
    </comment>
    <comment ref="M23" authorId="0" shapeId="0" xr:uid="{00000000-0006-0000-0500-000030000000}">
      <text>
        <r>
          <rPr>
            <sz val="10"/>
            <color rgb="FF000000"/>
            <rFont val="Arial"/>
          </rPr>
          <t>RoF: 120rpm
Muzzle Velocity: 570m/s</t>
        </r>
      </text>
    </comment>
    <comment ref="N23" authorId="0" shapeId="0" xr:uid="{00000000-0006-0000-0500-000031000000}">
      <text>
        <r>
          <rPr>
            <sz val="10"/>
            <color rgb="FF000000"/>
            <rFont val="Arial"/>
          </rPr>
          <t>RoF: 300-400rpm
Muzzle Velocity:710m/s</t>
        </r>
      </text>
    </comment>
    <comment ref="O23" authorId="0" shapeId="0" xr:uid="{00000000-0006-0000-0500-000032000000}">
      <text>
        <r>
          <rPr>
            <sz val="10"/>
            <color rgb="FF000000"/>
            <rFont val="Arial"/>
          </rPr>
          <t>RoF:80rpm
Muzzle Velocity:495m/s</t>
        </r>
      </text>
    </comment>
    <comment ref="P23" authorId="0" shapeId="0" xr:uid="{00000000-0006-0000-0500-000033000000}">
      <text>
        <r>
          <rPr>
            <sz val="10"/>
            <color rgb="FF000000"/>
            <rFont val="Arial"/>
          </rPr>
          <t>Launch speed: 270m/s</t>
        </r>
      </text>
    </comment>
    <comment ref="Q23" authorId="0" shapeId="0" xr:uid="{00000000-0006-0000-0500-000034000000}">
      <text>
        <r>
          <rPr>
            <sz val="10"/>
            <color rgb="FF000000"/>
            <rFont val="Arial"/>
          </rPr>
          <t>Max drop speed: 481km/h
Max drop alt: 300m</t>
        </r>
      </text>
    </comment>
    <comment ref="R23" authorId="0" shapeId="0" xr:uid="{00000000-0006-0000-0500-000035000000}">
      <text>
        <r>
          <rPr>
            <sz val="10"/>
            <color rgb="FF000000"/>
            <rFont val="Arial"/>
          </rPr>
          <t>Max drop speed: 556km/h
Max drop alt: 300m</t>
        </r>
      </text>
    </comment>
    <comment ref="S23" authorId="0" shapeId="0" xr:uid="{00000000-0006-0000-0500-000036000000}">
      <text>
        <r>
          <rPr>
            <sz val="10"/>
            <color rgb="FF000000"/>
            <rFont val="Arial"/>
          </rPr>
          <t>All ship models of the same class have the same health
i.e Yamato and Bismark will both take 2x 1000kg bombs to kill</t>
        </r>
      </text>
    </comment>
    <comment ref="A25" authorId="0" shapeId="0" xr:uid="{00000000-0006-0000-0500-000037000000}">
      <text>
        <r>
          <rPr>
            <sz val="10"/>
            <color rgb="FF000000"/>
            <rFont val="Arial"/>
          </rPr>
          <t>Use your Machine Guns
don't waste bombs</t>
        </r>
      </text>
    </comment>
    <comment ref="S25" authorId="0" shapeId="0" xr:uid="{00000000-0006-0000-0500-000038000000}">
      <text>
        <r>
          <rPr>
            <sz val="10"/>
            <color rgb="FF000000"/>
            <rFont val="Arial"/>
          </rPr>
          <t>Use your Machine Guns
don't waste bombs</t>
        </r>
      </text>
    </comment>
    <comment ref="A27" authorId="0" shapeId="0" xr:uid="{00000000-0006-0000-0500-000039000000}">
      <text>
        <r>
          <rPr>
            <sz val="10"/>
            <color rgb="FF000000"/>
            <rFont val="Arial"/>
          </rPr>
          <t>More like "Technically" effective, most weapons deal minimal damage to landing craft</t>
        </r>
      </text>
    </comment>
    <comment ref="A31" authorId="0" shapeId="0" xr:uid="{00000000-0006-0000-0500-00003A000000}">
      <text>
        <r>
          <rPr>
            <sz val="10"/>
            <color rgb="FF000000"/>
            <rFont val="Arial"/>
          </rPr>
          <t>Notorious for randomly sniping your plane out of the sky, only 2nd to the Airfield AAA</t>
        </r>
      </text>
    </comment>
    <comment ref="S31" authorId="0" shapeId="0" xr:uid="{00000000-0006-0000-0500-00003B000000}">
      <text>
        <r>
          <rPr>
            <sz val="10"/>
            <color rgb="FF000000"/>
            <rFont val="Arial"/>
          </rPr>
          <t>Notorious for randomly sniping your plane out of the sky, only 2nd to the Airfield AAA</t>
        </r>
      </text>
    </comment>
    <comment ref="Q37" authorId="0" shapeId="0" xr:uid="{00000000-0006-0000-0500-000062000000}">
      <text>
        <r>
          <rPr>
            <sz val="10"/>
            <color rgb="FF000000"/>
            <rFont val="Arial"/>
          </rPr>
          <t>Took only three Type 91 mod2 from a H8K to kill the BB on Iwo Jima
	-Anonymous</t>
        </r>
      </text>
    </comment>
    <comment ref="Q39" authorId="0" shapeId="0" xr:uid="{00000000-0006-0000-0500-000064000000}">
      <text>
        <r>
          <rPr>
            <sz val="10"/>
            <color rgb="FF000000"/>
            <rFont val="Arial"/>
          </rPr>
          <t>Now 2 (current as of 1.63)
	-Anonymous
In RB, regularly kill carriers with 2 of these.
	-Anonymous
Hit the side of a US carrier on the bow with two of these, blew up instantly.
	-Anonymous
_Marked as resolved_
	-Raymond Fung
_Re-opened_
	-Raymond Fung</t>
        </r>
      </text>
    </comment>
    <comment ref="A41" authorId="0" shapeId="0" xr:uid="{00000000-0006-0000-0500-00003C000000}">
      <text>
        <r>
          <rPr>
            <sz val="10"/>
            <color rgb="FF000000"/>
            <rFont val="Arial"/>
          </rPr>
          <t>Strategic targets are hard to test for since custom battles are inaccurate, multiple tiers, and health indicators are not very accurate for some reason</t>
        </r>
      </text>
    </comment>
    <comment ref="B41" authorId="0" shapeId="0" xr:uid="{00000000-0006-0000-0500-00003D000000}">
      <text>
        <r>
          <rPr>
            <sz val="10"/>
            <color rgb="FF000000"/>
            <rFont val="Arial"/>
          </rPr>
          <t>RoF: 900rpm
Muzzle Velocity: 810m/s</t>
        </r>
      </text>
    </comment>
    <comment ref="C41" authorId="0" shapeId="0" xr:uid="{00000000-0006-0000-0500-00003E000000}">
      <text>
        <r>
          <rPr>
            <sz val="10"/>
            <color rgb="FF000000"/>
            <rFont val="Arial"/>
          </rPr>
          <t>RoF: 900rpm
Muzzle Velocity: 750m/s</t>
        </r>
      </text>
    </comment>
    <comment ref="D41" authorId="0" shapeId="0" xr:uid="{00000000-0006-0000-0500-00003F000000}">
      <text>
        <r>
          <rPr>
            <sz val="10"/>
            <color rgb="FF000000"/>
            <rFont val="Arial"/>
          </rPr>
          <t>RoF: 800-900rpm
Muzzle Velocity: 765m/s</t>
        </r>
      </text>
    </comment>
    <comment ref="E41" authorId="0" shapeId="0" xr:uid="{00000000-0006-0000-0500-000040000000}">
      <text>
        <r>
          <rPr>
            <sz val="10"/>
            <color rgb="FF000000"/>
            <rFont val="Arial"/>
          </rPr>
          <t>RoF: 800rpm
Muzzle Velocity: 795m/s</t>
        </r>
      </text>
    </comment>
    <comment ref="F41" authorId="0" shapeId="0" xr:uid="{00000000-0006-0000-0500-000041000000}">
      <text>
        <r>
          <rPr>
            <sz val="10"/>
            <color rgb="FF000000"/>
            <rFont val="Arial"/>
          </rPr>
          <t>RoF: 520rpm
Muzzle Velocity: 525m/s</t>
        </r>
      </text>
    </comment>
    <comment ref="G41" authorId="0" shapeId="0" xr:uid="{00000000-0006-0000-0500-000042000000}">
      <text>
        <r>
          <rPr>
            <sz val="10"/>
            <color rgb="FF000000"/>
            <rFont val="Arial"/>
          </rPr>
          <t>RoF: 490rpm
Muzzle Velocity: 750m/s</t>
        </r>
      </text>
    </comment>
    <comment ref="H41" authorId="0" shapeId="0" xr:uid="{00000000-0006-0000-0500-000043000000}">
      <text>
        <r>
          <rPr>
            <sz val="10"/>
            <color rgb="FF000000"/>
            <rFont val="Arial"/>
          </rPr>
          <t>RoF: 400rpm
Muzzle Velocity: 805m/s</t>
        </r>
      </text>
    </comment>
    <comment ref="I41" authorId="0" shapeId="0" xr:uid="{00000000-0006-0000-0500-000044000000}">
      <text>
        <r>
          <rPr>
            <sz val="10"/>
            <color rgb="FF000000"/>
            <rFont val="Arial"/>
          </rPr>
          <t>RoF: 750-850rpm
Muzzle Velocity: 715m/s</t>
        </r>
      </text>
    </comment>
    <comment ref="J41" authorId="0" shapeId="0" xr:uid="{00000000-0006-0000-0500-000045000000}">
      <text>
        <r>
          <rPr>
            <sz val="10"/>
            <color rgb="FF000000"/>
            <rFont val="Arial"/>
          </rPr>
          <t>RoF: 500rpm
Muzzle Velocity: 760m/s</t>
        </r>
      </text>
    </comment>
    <comment ref="K41" authorId="0" shapeId="0" xr:uid="{00000000-0006-0000-0500-000046000000}">
      <text>
        <r>
          <rPr>
            <sz val="10"/>
            <color rgb="FF000000"/>
            <rFont val="Arial"/>
          </rPr>
          <t>RoF: 300-400rpm
Muzzle Velocity: 650m/s</t>
        </r>
      </text>
    </comment>
    <comment ref="L41" authorId="0" shapeId="0" xr:uid="{00000000-0006-0000-0500-000047000000}">
      <text>
        <r>
          <rPr>
            <sz val="10"/>
            <color rgb="FF000000"/>
            <rFont val="Arial"/>
          </rPr>
          <t>RoF: ?
Muzzle Velocity: 580m/s</t>
        </r>
      </text>
    </comment>
    <comment ref="M41" authorId="0" shapeId="0" xr:uid="{00000000-0006-0000-0500-000048000000}">
      <text>
        <r>
          <rPr>
            <sz val="10"/>
            <color rgb="FF000000"/>
            <rFont val="Arial"/>
          </rPr>
          <t>RoF: 120rpm
Muzzle Velocity: 570m/s</t>
        </r>
      </text>
    </comment>
    <comment ref="N41" authorId="0" shapeId="0" xr:uid="{00000000-0006-0000-0500-000049000000}">
      <text>
        <r>
          <rPr>
            <sz val="10"/>
            <color rgb="FF000000"/>
            <rFont val="Arial"/>
          </rPr>
          <t>RoF: 300-400rpm
Muzzle Velocity:710m/s</t>
        </r>
      </text>
    </comment>
    <comment ref="O41" authorId="0" shapeId="0" xr:uid="{00000000-0006-0000-0500-00004A000000}">
      <text>
        <r>
          <rPr>
            <sz val="10"/>
            <color rgb="FF000000"/>
            <rFont val="Arial"/>
          </rPr>
          <t>RoF:80rpm
Muzzle Velocity:495m/s</t>
        </r>
      </text>
    </comment>
    <comment ref="P41" authorId="0" shapeId="0" xr:uid="{00000000-0006-0000-0500-00004B000000}">
      <text>
        <r>
          <rPr>
            <sz val="10"/>
            <color rgb="FF000000"/>
            <rFont val="Arial"/>
          </rPr>
          <t>Launch speed: 270m/s</t>
        </r>
      </text>
    </comment>
    <comment ref="Q41" authorId="0" shapeId="0" xr:uid="{00000000-0006-0000-0500-00004C000000}">
      <text>
        <r>
          <rPr>
            <sz val="10"/>
            <color rgb="FF000000"/>
            <rFont val="Arial"/>
          </rPr>
          <t>Max drop speed: 481km/h
Max drop alt: 300m</t>
        </r>
      </text>
    </comment>
    <comment ref="R41" authorId="0" shapeId="0" xr:uid="{00000000-0006-0000-0500-00004D000000}">
      <text>
        <r>
          <rPr>
            <sz val="10"/>
            <color rgb="FF000000"/>
            <rFont val="Arial"/>
          </rPr>
          <t>Max drop speed: 556km/h
Max drop alt: 300m</t>
        </r>
      </text>
    </comment>
    <comment ref="S41" authorId="0" shapeId="0" xr:uid="{00000000-0006-0000-0500-00004E000000}">
      <text>
        <r>
          <rPr>
            <sz val="10"/>
            <color rgb="FF000000"/>
            <rFont val="Arial"/>
          </rPr>
          <t>Strategic targets are hard to test for since custom battles are inaccurate, multiple tiers, and health indicators are not very accurate for some reason</t>
        </r>
      </text>
    </comment>
    <comment ref="A43" authorId="0" shapeId="0" xr:uid="{00000000-0006-0000-0500-00004F000000}">
      <text>
        <r>
          <rPr>
            <sz val="10"/>
            <color rgb="FF000000"/>
            <rFont val="Arial"/>
          </rPr>
          <t xml:space="preserve">Or Strategic points, whatever its called.
Low tier and High tier battles seem to have different health values
</t>
        </r>
      </text>
    </comment>
    <comment ref="S43" authorId="0" shapeId="0" xr:uid="{00000000-0006-0000-0500-000050000000}">
      <text>
        <r>
          <rPr>
            <sz val="10"/>
            <color rgb="FF000000"/>
            <rFont val="Arial"/>
          </rPr>
          <t xml:space="preserve">Or Strategic points, whatever its called.
Low tier and High tier battles seem to have different health values
</t>
        </r>
      </text>
    </comment>
    <comment ref="A45" authorId="0" shapeId="0" xr:uid="{00000000-0006-0000-0500-000051000000}">
      <text>
        <r>
          <rPr>
            <sz val="10"/>
            <color rgb="FF000000"/>
            <rFont val="Arial"/>
          </rPr>
          <t>(probably tiers 2 - 3)</t>
        </r>
      </text>
    </comment>
    <comment ref="P45" authorId="0" shapeId="0" xr:uid="{00000000-0006-0000-0500-000052000000}">
      <text>
        <r>
          <rPr>
            <sz val="10"/>
            <color rgb="FF000000"/>
            <rFont val="Arial"/>
          </rPr>
          <t>N1K2 are high tier aircraft</t>
        </r>
      </text>
    </comment>
    <comment ref="S45" authorId="0" shapeId="0" xr:uid="{00000000-0006-0000-0500-000053000000}">
      <text>
        <r>
          <rPr>
            <sz val="10"/>
            <color rgb="FF000000"/>
            <rFont val="Arial"/>
          </rPr>
          <t>(probably tiers 2 - 3)</t>
        </r>
      </text>
    </comment>
    <comment ref="A47" authorId="0" shapeId="0" xr:uid="{00000000-0006-0000-0500-000054000000}">
      <text>
        <r>
          <rPr>
            <sz val="10"/>
            <color rgb="FF000000"/>
            <rFont val="Arial"/>
          </rPr>
          <t>Probably 4-5</t>
        </r>
      </text>
    </comment>
    <comment ref="S47" authorId="0" shapeId="0" xr:uid="{00000000-0006-0000-0500-000055000000}">
      <text>
        <r>
          <rPr>
            <sz val="10"/>
            <color rgb="FF000000"/>
            <rFont val="Arial"/>
          </rPr>
          <t>Probably 4-5</t>
        </r>
      </text>
    </comment>
    <comment ref="A49" authorId="0" shapeId="0" xr:uid="{00000000-0006-0000-0500-000056000000}">
      <text>
        <r>
          <rPr>
            <sz val="10"/>
            <color rgb="FF000000"/>
            <rFont val="Arial"/>
          </rPr>
          <t>RB bomb points seems to be consistant</t>
        </r>
      </text>
    </comment>
    <comment ref="P49" authorId="0" shapeId="0" xr:uid="{00000000-0006-0000-0500-000057000000}">
      <text>
        <r>
          <rPr>
            <sz val="10"/>
            <color rgb="FF000000"/>
            <rFont val="Arial"/>
          </rPr>
          <t>No Japanese maps with strategic targets</t>
        </r>
      </text>
    </comment>
    <comment ref="S49" authorId="0" shapeId="0" xr:uid="{00000000-0006-0000-0500-000058000000}">
      <text>
        <r>
          <rPr>
            <sz val="10"/>
            <color rgb="FF000000"/>
            <rFont val="Arial"/>
          </rPr>
          <t>RB bomb points seems to be consistant</t>
        </r>
      </text>
    </comment>
    <comment ref="A51" authorId="0" shapeId="0" xr:uid="{00000000-0006-0000-0500-000059000000}">
      <text>
        <r>
          <rPr>
            <sz val="10"/>
            <color rgb="FF000000"/>
            <rFont val="Arial"/>
          </rPr>
          <t>Airfield health indicator is fairly inconsistent
Best I can offer is estimates</t>
        </r>
      </text>
    </comment>
    <comment ref="S51" authorId="0" shapeId="0" xr:uid="{00000000-0006-0000-0500-00005A000000}">
      <text>
        <r>
          <rPr>
            <sz val="10"/>
            <color rgb="FF000000"/>
            <rFont val="Arial"/>
          </rPr>
          <t>Airfield health indicator is fairly inconsistent
Best I can offer is estimates</t>
        </r>
      </text>
    </comment>
    <comment ref="A53" authorId="0" shapeId="0" xr:uid="{00000000-0006-0000-0500-00005B000000}">
      <text>
        <r>
          <rPr>
            <sz val="10"/>
            <color rgb="FF000000"/>
            <rFont val="Arial"/>
          </rPr>
          <t>Some airfields</t>
        </r>
      </text>
    </comment>
    <comment ref="P53" authorId="0" shapeId="0" xr:uid="{00000000-0006-0000-0500-00005C000000}">
      <text>
        <r>
          <rPr>
            <sz val="10"/>
            <color rgb="FF000000"/>
            <rFont val="Arial"/>
          </rPr>
          <t>N1K2 are high tier aircraft</t>
        </r>
      </text>
    </comment>
    <comment ref="S53" authorId="0" shapeId="0" xr:uid="{00000000-0006-0000-0500-00005D000000}">
      <text>
        <r>
          <rPr>
            <sz val="10"/>
            <color rgb="FF000000"/>
            <rFont val="Arial"/>
          </rPr>
          <t>Some airfields</t>
        </r>
      </text>
    </comment>
    <comment ref="A57" authorId="0" shapeId="0" xr:uid="{00000000-0006-0000-0500-00005E000000}">
      <text>
        <r>
          <rPr>
            <sz val="10"/>
            <color rgb="FF000000"/>
            <rFont val="Arial"/>
          </rPr>
          <t>Airfield in some low tier maps like Essen have less health
Otherwise, seems airfield should have same health</t>
        </r>
      </text>
    </comment>
    <comment ref="S57" authorId="0" shapeId="0" xr:uid="{00000000-0006-0000-0500-00005F000000}">
      <text>
        <r>
          <rPr>
            <sz val="10"/>
            <color rgb="FF000000"/>
            <rFont val="Arial"/>
          </rPr>
          <t>Airfield in some low tier maps like Essen have less health
Otherwise, seems airfield should have same health</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A38" authorId="0" shapeId="0" xr:uid="{00000000-0006-0000-0700-000001000000}">
      <text>
        <r>
          <rPr>
            <sz val="10"/>
            <color rgb="FF000000"/>
            <rFont val="Arial"/>
            <scheme val="minor"/>
          </rPr>
          <t>Baseline being a MiG-15 going Mach 0.8 with 100% throttle at sea level</t>
        </r>
      </text>
    </comment>
    <comment ref="A39" authorId="0" shapeId="0" xr:uid="{00000000-0006-0000-0700-000002000000}">
      <text>
        <r>
          <rPr>
            <sz val="10"/>
            <color rgb="FF000000"/>
            <rFont val="Arial"/>
            <scheme val="minor"/>
          </rPr>
          <t>Baseline being a MiG-15 going Mach 0.8 with 100% throttle at sea level</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800-000001000000}">
      <text>
        <r>
          <rPr>
            <sz val="10"/>
            <color rgb="FF000000"/>
            <rFont val="Arial"/>
            <scheme val="minor"/>
          </rPr>
          <t>Baseline being a MiG-15 going Mach 0.8 with 100% throttle at sea level</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A38" authorId="0" shapeId="0" xr:uid="{00000000-0006-0000-0900-000001000000}">
      <text>
        <r>
          <rPr>
            <sz val="10"/>
            <color rgb="FF000000"/>
            <rFont val="Arial"/>
            <scheme val="minor"/>
          </rPr>
          <t>Baseline being a MiG-15 going Mach 0.8 with 100% throttle at sea level</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s>
  <commentList>
    <comment ref="A36" authorId="0" shapeId="0" xr:uid="{00000000-0006-0000-0A00-000001000000}">
      <text>
        <r>
          <rPr>
            <sz val="10"/>
            <color rgb="FF000000"/>
            <rFont val="Arial"/>
            <scheme val="minor"/>
          </rPr>
          <t>Baseline being a MiG-15 going Mach 0.8 with 100% throttle at sea level</t>
        </r>
      </text>
    </comment>
  </commentList>
</comments>
</file>

<file path=xl/sharedStrings.xml><?xml version="1.0" encoding="utf-8"?>
<sst xmlns="http://schemas.openxmlformats.org/spreadsheetml/2006/main" count="21482" uniqueCount="2044">
  <si>
    <r>
      <rPr>
        <b/>
        <sz val="10"/>
        <rFont val="Arial"/>
      </rPr>
      <t xml:space="preserve">Huge thanks to the RideR2 who measured all this data. Source: </t>
    </r>
    <r>
      <rPr>
        <b/>
        <u/>
        <sz val="10"/>
        <color rgb="FF1155CC"/>
        <rFont val="Arial"/>
      </rPr>
      <t>https://docs.google.com/spreadsheets/d/126rvgs9iRGxtL9DsbI0SSDMHXMr3uDf-hSeFkZVvk1Y/edit?gid=785557311#gid=785557311</t>
    </r>
  </si>
  <si>
    <t>(Rate / Radius) x Normalizing Constant  x 100 -  This index tries to quantify overall turn performance judging the rate AGAINST the radius.
Tight radius and good rate will score high.
Large radius and good rate or tight radius but bad rate will score average.
Large radius and bad rate will score low.
The normalizing constant is just a number to make sure the largest result equals 100.
Take this with a massive grain of salt.</t>
  </si>
  <si>
    <t>Legend</t>
  </si>
  <si>
    <t>x/xx</t>
  </si>
  <si>
    <t>means data not collected or plane unable to fly</t>
  </si>
  <si>
    <t>These values are purely theoretical, based on the experimentally measured turn rate. r= v/ω where: v is the speed , ω is the angular velocity in radians per second. ω radians =ω degrees × (π/180)</t>
  </si>
  <si>
    <t>Bolded red turn rate means unsustainable due to G-Tolerances</t>
  </si>
  <si>
    <t>For additional info, hover the mouse over the table headers or individual fields</t>
  </si>
  <si>
    <t>Experimentally measured data on 30 minutes of fuel (or as close as possible) @ sea level</t>
  </si>
  <si>
    <t>Turn Rate (deg/s) and Speed (kt)</t>
  </si>
  <si>
    <t>Turn Radius (m) and Speed (kt)</t>
  </si>
  <si>
    <t>Turn Performance Index</t>
  </si>
  <si>
    <t>BR</t>
  </si>
  <si>
    <t>Aircraft</t>
  </si>
  <si>
    <t>F-15E/I</t>
  </si>
  <si>
    <t>xx</t>
  </si>
  <si>
    <t>Rafale CF3</t>
  </si>
  <si>
    <t>Eurofighter Typhoon</t>
  </si>
  <si>
    <t>F-16C Block 50 (30 min)</t>
  </si>
  <si>
    <t>F-15C / Improved Baz (30 min)</t>
  </si>
  <si>
    <t>x</t>
  </si>
  <si>
    <t>F-16D Block 40 (30min)</t>
  </si>
  <si>
    <t>Su-27 SM (30 min)</t>
  </si>
  <si>
    <t>Outdated</t>
  </si>
  <si>
    <t>J-10A</t>
  </si>
  <si>
    <t>Mirage 2000 (valid for all variants)</t>
  </si>
  <si>
    <t>JAS39C Gripen (30 min)</t>
  </si>
  <si>
    <t>F-4F KWS</t>
  </si>
  <si>
    <t>F-4F</t>
  </si>
  <si>
    <t>MiG-29SMT 9.19</t>
  </si>
  <si>
    <t>Su-27(30 min)</t>
  </si>
  <si>
    <t>Tornado ADV / F.3</t>
  </si>
  <si>
    <t>Tornado ADV / F.3 (combat flaps)</t>
  </si>
  <si>
    <t>JF-17</t>
  </si>
  <si>
    <t>F-16A Block 15 / 20 (30 min)</t>
  </si>
  <si>
    <t>F-15A (30 min)</t>
  </si>
  <si>
    <t>Sea Harrier FA 2 (100%) (with cannons)</t>
  </si>
  <si>
    <t>J-8F</t>
  </si>
  <si>
    <t>AV-8B Plus (100%)</t>
  </si>
  <si>
    <t>AV-8B Plus (WEP)</t>
  </si>
  <si>
    <t>Mirage 4000</t>
  </si>
  <si>
    <t>JAS39A Gripen (30 min)</t>
  </si>
  <si>
    <t>F-16A Block 10 (30 min)</t>
  </si>
  <si>
    <t>F-14B (30 min) | 0% wings</t>
  </si>
  <si>
    <t>F-14B (combat flaps) (30 min) | 0% wings</t>
  </si>
  <si>
    <t>F-20</t>
  </si>
  <si>
    <t>MiG-29 9.13</t>
  </si>
  <si>
    <t>Yak-141</t>
  </si>
  <si>
    <t>F-14A (30 min) | 0% wings</t>
  </si>
  <si>
    <t>F-14A (combat flaps) (30 min) | 0% wings</t>
  </si>
  <si>
    <t>Harrier II GR.7 (100%)</t>
  </si>
  <si>
    <t>Harrier II GR.7 (WEP)</t>
  </si>
  <si>
    <t>MiG-21Bis / “Lazur-M” / UPG</t>
  </si>
  <si>
    <t>F-4EJ</t>
  </si>
  <si>
    <t>JH-7A</t>
  </si>
  <si>
    <t>F-4S (w/ gunpod | + ~0.8 deg/s w/o)</t>
  </si>
  <si>
    <t>F-4J/J (UK) (without gunpod)</t>
  </si>
  <si>
    <t>Kurnass (30 min)</t>
  </si>
  <si>
    <t>A-10C</t>
  </si>
  <si>
    <t>F-111F</t>
  </si>
  <si>
    <t>AV-8B NA (100%)</t>
  </si>
  <si>
    <t>AV-8B NA (WEP)</t>
  </si>
  <si>
    <t>Su-39</t>
  </si>
  <si>
    <t>Tornado GR.1</t>
  </si>
  <si>
    <t>Tornado GR.1 (combat flaps)</t>
  </si>
  <si>
    <t>F-5E FCU</t>
  </si>
  <si>
    <t>J-8B</t>
  </si>
  <si>
    <t>Tornado IDS</t>
  </si>
  <si>
    <t>Mirage F1C / F1CT</t>
  </si>
  <si>
    <t>JA37D</t>
  </si>
  <si>
    <t>Kfir C.7</t>
  </si>
  <si>
    <t>F-5E</t>
  </si>
  <si>
    <t>MiG-23MLA (min % sweep) (outdated)</t>
  </si>
  <si>
    <t>MiG-23ML (min % sweep) (outdated)</t>
  </si>
  <si>
    <t>MiG-23MLD (min % sweep) (outdated)</t>
  </si>
  <si>
    <t>Su-24</t>
  </si>
  <si>
    <t>Tornado IDS WTD</t>
  </si>
  <si>
    <t>Sea Harrier FRS.1 (100%)</t>
  </si>
  <si>
    <r>
      <rPr>
        <b/>
        <sz val="10"/>
        <color theme="1"/>
        <rFont val="arial,sans,sans-serif"/>
      </rPr>
      <t>Phantom FG.1</t>
    </r>
    <r>
      <rPr>
        <b/>
        <sz val="8"/>
        <color theme="1"/>
        <rFont val="arial,sans,sans-serif"/>
      </rPr>
      <t xml:space="preserve"> (w/ gunpod  | + ~1.1 deg/s w/o)</t>
    </r>
  </si>
  <si>
    <r>
      <rPr>
        <b/>
        <sz val="10"/>
        <color theme="1"/>
        <rFont val="arial,sans,sans-serif"/>
      </rPr>
      <t>Phantom FG.1</t>
    </r>
    <r>
      <rPr>
        <b/>
        <sz val="8"/>
        <color theme="1"/>
        <rFont val="arial,sans,sans-serif"/>
      </rPr>
      <t xml:space="preserve"> (w/ gunpod  | + ~1.1 deg/s w/o)</t>
    </r>
  </si>
  <si>
    <r>
      <rPr>
        <b/>
        <sz val="10"/>
        <color theme="1"/>
        <rFont val="arial,sans,sans-serif"/>
      </rPr>
      <t>Phantom FG.1</t>
    </r>
    <r>
      <rPr>
        <b/>
        <sz val="8"/>
        <color theme="1"/>
        <rFont val="arial,sans,sans-serif"/>
      </rPr>
      <t xml:space="preserve"> (w/ gunpod  | + ~1.1 deg/s w/o)</t>
    </r>
  </si>
  <si>
    <r>
      <rPr>
        <b/>
        <sz val="10"/>
        <color rgb="FF000000"/>
        <rFont val="arial,sans,sans-serif"/>
      </rPr>
      <t>Phantom FGR.2</t>
    </r>
    <r>
      <rPr>
        <b/>
        <sz val="8"/>
        <color rgb="FF000000"/>
        <rFont val="arial,sans,sans-serif"/>
      </rPr>
      <t xml:space="preserve"> (w/ gunpod  | + ~1.1 deg/s w/o)</t>
    </r>
  </si>
  <si>
    <r>
      <rPr>
        <b/>
        <sz val="10"/>
        <color rgb="FF000000"/>
        <rFont val="arial,sans,sans-serif"/>
      </rPr>
      <t>Phantom FGR.2</t>
    </r>
    <r>
      <rPr>
        <b/>
        <sz val="8"/>
        <color rgb="FF000000"/>
        <rFont val="arial,sans,sans-serif"/>
      </rPr>
      <t xml:space="preserve"> (w/ gunpod  | + ~1.1 deg/s w/o)</t>
    </r>
  </si>
  <si>
    <r>
      <rPr>
        <b/>
        <sz val="10"/>
        <color rgb="FF000000"/>
        <rFont val="arial,sans,sans-serif"/>
      </rPr>
      <t>Phantom FGR.2</t>
    </r>
    <r>
      <rPr>
        <b/>
        <sz val="8"/>
        <color rgb="FF000000"/>
        <rFont val="arial,sans,sans-serif"/>
      </rPr>
      <t xml:space="preserve"> (w/ gunpod  | + ~1.1 deg/s w/o)</t>
    </r>
  </si>
  <si>
    <t>J-7D</t>
  </si>
  <si>
    <t>AMX / AMX A-1A</t>
  </si>
  <si>
    <t>JA37C/AJS37</t>
  </si>
  <si>
    <t>Kfir C.2</t>
  </si>
  <si>
    <r>
      <rPr>
        <b/>
        <sz val="10"/>
        <color theme="1"/>
        <rFont val="arial,sans,sans-serif"/>
      </rPr>
      <t>Su-17/Su-22M4</t>
    </r>
    <r>
      <rPr>
        <b/>
        <sz val="8"/>
        <color theme="1"/>
        <rFont val="arial,sans,sans-serif"/>
      </rPr>
      <t xml:space="preserve"> (min % sweep)</t>
    </r>
  </si>
  <si>
    <r>
      <rPr>
        <b/>
        <sz val="10"/>
        <color theme="1"/>
        <rFont val="arial,sans,sans-serif"/>
      </rPr>
      <t>Su-17/Su-22M4</t>
    </r>
    <r>
      <rPr>
        <b/>
        <sz val="8"/>
        <color theme="1"/>
        <rFont val="arial,sans,sans-serif"/>
      </rPr>
      <t xml:space="preserve"> (min % sweep)</t>
    </r>
  </si>
  <si>
    <r>
      <rPr>
        <b/>
        <sz val="10"/>
        <color theme="1"/>
        <rFont val="arial,sans,sans-serif"/>
      </rPr>
      <t>Su-17/Su-22M4</t>
    </r>
    <r>
      <rPr>
        <b/>
        <sz val="8"/>
        <color theme="1"/>
        <rFont val="arial,sans,sans-serif"/>
      </rPr>
      <t xml:space="preserve"> (min % sweep)</t>
    </r>
  </si>
  <si>
    <t>Su-22M3 (min % sweep)</t>
  </si>
  <si>
    <t xml:space="preserve">MiG-21Bis </t>
  </si>
  <si>
    <t>J-7E (24 min)</t>
  </si>
  <si>
    <t>Mirage IIIE</t>
  </si>
  <si>
    <t>AJ37 Viggen (with countermeasures)</t>
  </si>
  <si>
    <t>J35XS Draken</t>
  </si>
  <si>
    <t>Kfir Canard</t>
  </si>
  <si>
    <t>A-10A</t>
  </si>
  <si>
    <t>A-6E TRAM</t>
  </si>
  <si>
    <t>A-7K</t>
  </si>
  <si>
    <t>F-4C (w/ gunpod | + ~1.1 deg/s w/o)</t>
  </si>
  <si>
    <t>F-4E/F (30 min)</t>
  </si>
  <si>
    <t>F-5A/F-5C</t>
  </si>
  <si>
    <t>F-104G</t>
  </si>
  <si>
    <t>MiG-21MF</t>
  </si>
  <si>
    <t>MiG-21SMT (with countermeasures)</t>
  </si>
  <si>
    <t>Su-17M2 (min % sweep)</t>
  </si>
  <si>
    <t>Su-25K</t>
  </si>
  <si>
    <t>Jaguar A</t>
  </si>
  <si>
    <t>Buccanneer S.2B (no bombs)</t>
  </si>
  <si>
    <t>Q-5L (30 min)</t>
  </si>
  <si>
    <t>A-5C</t>
  </si>
  <si>
    <t>F-8E</t>
  </si>
  <si>
    <t>A-7E</t>
  </si>
  <si>
    <t>F-111A (48 min)  | 0% wings</t>
  </si>
  <si>
    <t>F-111A (combat flaps)  (48 min)  | 0% wings</t>
  </si>
  <si>
    <t>Jaguar GR.1A</t>
  </si>
  <si>
    <t>F-1</t>
  </si>
  <si>
    <t>Q-5A</t>
  </si>
  <si>
    <t>Mirage IIIC/Shahak</t>
  </si>
  <si>
    <t>Super Etenard IVM</t>
  </si>
  <si>
    <t>F8U-2 (30 min)</t>
  </si>
  <si>
    <t>MiG-21S</t>
  </si>
  <si>
    <t xml:space="preserve">MiG-21PFM </t>
  </si>
  <si>
    <t>Su-7BKL</t>
  </si>
  <si>
    <t>F-104J</t>
  </si>
  <si>
    <t>F-8E(FN)</t>
  </si>
  <si>
    <t>Mirage 5F</t>
  </si>
  <si>
    <t>F-100A</t>
  </si>
  <si>
    <t>F-100D</t>
  </si>
  <si>
    <t>F-100F</t>
  </si>
  <si>
    <t>F-104A</t>
  </si>
  <si>
    <t>F-104C</t>
  </si>
  <si>
    <t>AV-8A/C (100%)</t>
  </si>
  <si>
    <t>AV-8A/C (WEP)</t>
  </si>
  <si>
    <t>MiG-19S</t>
  </si>
  <si>
    <t>Hunter F.58</t>
  </si>
  <si>
    <t>MiG-23BN (min % sweep) (outdated)</t>
  </si>
  <si>
    <t>MiG-19PT / J-6A</t>
  </si>
  <si>
    <t>MiG-21F-13</t>
  </si>
  <si>
    <t>Su-7B</t>
  </si>
  <si>
    <t>Hunter F.6</t>
  </si>
  <si>
    <t>Lightning F.6</t>
  </si>
  <si>
    <t>Harrier GR.1/3 (100%)</t>
  </si>
  <si>
    <t>T-2</t>
  </si>
  <si>
    <t>J-7 II</t>
  </si>
  <si>
    <t>G.91 YS</t>
  </si>
  <si>
    <t>J32B</t>
  </si>
  <si>
    <t>Ayit(A-4N)</t>
  </si>
  <si>
    <t>F3H-2</t>
  </si>
  <si>
    <t>A-4E Early</t>
  </si>
  <si>
    <t>F4D-1</t>
  </si>
  <si>
    <t>F-86K</t>
  </si>
  <si>
    <t>CL-13B Mk.6</t>
  </si>
  <si>
    <t>Yak-38</t>
  </si>
  <si>
    <t>Yak-38M</t>
  </si>
  <si>
    <t>Yak-28B (no bombs)</t>
  </si>
  <si>
    <t>Buccanneer S.2 (no bombs)</t>
  </si>
  <si>
    <t>F-86F-40</t>
  </si>
  <si>
    <t>Q-5 Early</t>
  </si>
  <si>
    <t>Shenyang F-5</t>
  </si>
  <si>
    <t xml:space="preserve">G.91 Y </t>
  </si>
  <si>
    <t>Etendard IVM</t>
  </si>
  <si>
    <t>J34</t>
  </si>
  <si>
    <t>F-86F-2/F-25</t>
  </si>
  <si>
    <t>A-4B</t>
  </si>
  <si>
    <t>F11F-1</t>
  </si>
  <si>
    <t>FJ-4B</t>
  </si>
  <si>
    <t>FJ-4B VMF-232</t>
  </si>
  <si>
    <t>CL-13A Mk.5</t>
  </si>
  <si>
    <t>Alpha Jet A/E</t>
  </si>
  <si>
    <t>FFA P-16</t>
  </si>
  <si>
    <t>MiG-17F / Lim-5P</t>
  </si>
  <si>
    <t>G.91 R</t>
  </si>
  <si>
    <t>Hunter F.1</t>
  </si>
  <si>
    <t>Venom FB.4</t>
  </si>
  <si>
    <t>Buccaneer S.1</t>
  </si>
  <si>
    <t>MiG-17 / J-4 / MiG-17AS</t>
  </si>
  <si>
    <t>Ariete</t>
  </si>
  <si>
    <t>A32A</t>
  </si>
  <si>
    <t>S.O.4050 IIA</t>
  </si>
  <si>
    <t>F-86A-5</t>
  </si>
  <si>
    <t>F-84F</t>
  </si>
  <si>
    <t>MiG-15bis / J-2</t>
  </si>
  <si>
    <t>Swift F.7</t>
  </si>
  <si>
    <t>Javelin F. Mk.9</t>
  </si>
  <si>
    <t>Scimitar F Mk.1</t>
  </si>
  <si>
    <t>F-86F-30</t>
  </si>
  <si>
    <t>M.D 452C</t>
  </si>
  <si>
    <t>Mystere IVA</t>
  </si>
  <si>
    <t>J29F</t>
  </si>
  <si>
    <t>F9F-2</t>
  </si>
  <si>
    <t>F9F-5</t>
  </si>
  <si>
    <t>F9F-8</t>
  </si>
  <si>
    <t>Me-163 B-0 (w/o pods)</t>
  </si>
  <si>
    <t>MiG-15</t>
  </si>
  <si>
    <t>Swift F.1</t>
  </si>
  <si>
    <t>Sea Vixen FAW Mk.2</t>
  </si>
  <si>
    <t>G.91 pre</t>
  </si>
  <si>
    <t>M.D 452A</t>
  </si>
  <si>
    <t>A29B</t>
  </si>
  <si>
    <t>SAAB 105OE (gunpods)</t>
  </si>
  <si>
    <t>SAAB 105G (gunpods)</t>
  </si>
  <si>
    <t>A-4H</t>
  </si>
  <si>
    <t>F-84G</t>
  </si>
  <si>
    <t>F2H-2 (with fuel tanks)</t>
  </si>
  <si>
    <t>B-57B (no bombs)</t>
  </si>
  <si>
    <t>Me-163B</t>
  </si>
  <si>
    <t>Me-262C2 (booster)</t>
  </si>
  <si>
    <t>Me-262C2 (no booster)</t>
  </si>
  <si>
    <t>IL-28 (no bombs/rockets)</t>
  </si>
  <si>
    <t>Yak-30D</t>
  </si>
  <si>
    <t>La-200</t>
  </si>
  <si>
    <t>La-15</t>
  </si>
  <si>
    <t>La-174</t>
  </si>
  <si>
    <t>Meteor F.4 G.41G</t>
  </si>
  <si>
    <t>Sea Venom FAW 20</t>
  </si>
  <si>
    <t>Meteor F.8</t>
  </si>
  <si>
    <t>Ki-200</t>
  </si>
  <si>
    <t>Sagittario 2</t>
  </si>
  <si>
    <t>Sea Hawk Mk.50</t>
  </si>
  <si>
    <t>J29A</t>
  </si>
  <si>
    <t>F-84B</t>
  </si>
  <si>
    <t>Me-262C1 (no booster)</t>
  </si>
  <si>
    <t>Me-262C1 (booster)</t>
  </si>
  <si>
    <t>Yak-23 (110%)</t>
  </si>
  <si>
    <t>Mig-9(I) (100%)</t>
  </si>
  <si>
    <t>Mig-9(I)(100%)</t>
  </si>
  <si>
    <t>Ho-229</t>
  </si>
  <si>
    <t>Meteor F.4 G41F</t>
  </si>
  <si>
    <t>Vampire FB 5</t>
  </si>
  <si>
    <t>R2Y2 v3</t>
  </si>
  <si>
    <t>Vampire FB 52 / A28B</t>
  </si>
  <si>
    <t>M.D. 450B Ouragan</t>
  </si>
  <si>
    <t>M.D. 450B Bouragan</t>
  </si>
  <si>
    <t>Meteor NF.13</t>
  </si>
  <si>
    <t>F-80C (100%)</t>
  </si>
  <si>
    <t>F-89B</t>
  </si>
  <si>
    <t>Me-262A-Jabo</t>
  </si>
  <si>
    <t>Ar-234C3 (no bombs)</t>
  </si>
  <si>
    <t>Mig-9</t>
  </si>
  <si>
    <t>Sea Meteor F.3</t>
  </si>
  <si>
    <t>Sea Hawk FGA.6</t>
  </si>
  <si>
    <t>Attacker FB1/2</t>
  </si>
  <si>
    <t>R2Y2 v2</t>
  </si>
  <si>
    <t>SK60B (gunpods)</t>
  </si>
  <si>
    <t>F-80A</t>
  </si>
  <si>
    <t>F3D-1</t>
  </si>
  <si>
    <t>A2D-1</t>
  </si>
  <si>
    <t>Me-262A1</t>
  </si>
  <si>
    <t>Yak-17</t>
  </si>
  <si>
    <t>Su-9</t>
  </si>
  <si>
    <t>Su-11</t>
  </si>
  <si>
    <t>Meteor F.3</t>
  </si>
  <si>
    <t>R2Y2 v1</t>
  </si>
  <si>
    <t>A-21RB</t>
  </si>
  <si>
    <t>He-162 A-2</t>
  </si>
  <si>
    <t>P-59A</t>
  </si>
  <si>
    <t>Yak-15/15P (100%)</t>
  </si>
  <si>
    <t>Kikka (100%)</t>
  </si>
  <si>
    <t>J-21RA</t>
  </si>
  <si>
    <t>Missile Data DB</t>
  </si>
  <si>
    <t>Credit to Koppany99 aka JohnWick(9) and ♥ gszabi99 ♥</t>
  </si>
  <si>
    <t>Name</t>
  </si>
  <si>
    <t>Initial Mass (kg)</t>
  </si>
  <si>
    <t>Mass after boost phase (kg)</t>
  </si>
  <si>
    <t>Booster Thrust (N)</t>
  </si>
  <si>
    <t>Boost time (s)</t>
  </si>
  <si>
    <t>Booster ΔV (m/s)</t>
  </si>
  <si>
    <t>Mass after sustainer phase (kg)</t>
  </si>
  <si>
    <t>Sustainer Thrust (N)</t>
  </si>
  <si>
    <t>Sustainer time (s)</t>
  </si>
  <si>
    <t>Sustainer ΔV (m/s)</t>
  </si>
  <si>
    <t>Total ΔV (m/s)</t>
  </si>
  <si>
    <t>Max Speed (m/s)</t>
  </si>
  <si>
    <t>Proximity Fuse Range (m)</t>
  </si>
  <si>
    <t>Guidance type</t>
  </si>
  <si>
    <t>Guidance Delay</t>
  </si>
  <si>
    <t>Lock Range (Rear aspect)</t>
  </si>
  <si>
    <t>Lock-on Range (All aspect)  / Pitbull range (FOX3) (km)</t>
  </si>
  <si>
    <t>Max G-load</t>
  </si>
  <si>
    <t>Time until pull reaches 40%</t>
  </si>
  <si>
    <t>Time until pull reaches 100%</t>
  </si>
  <si>
    <t>Max Launch Angle (FOX1/3) Seeker Limit (FOX2) (deg)</t>
  </si>
  <si>
    <t>Flare and IRCM detection range (km)</t>
  </si>
  <si>
    <t>DIRCM detection range: [km]</t>
  </si>
  <si>
    <t>Head-on lock-on range against afterburning target: [km]</t>
  </si>
  <si>
    <t>Un-caged Seeker</t>
  </si>
  <si>
    <t>Can be slaved to radar:</t>
  </si>
  <si>
    <t>IRCCM Type</t>
  </si>
  <si>
    <t>Seeker FOV (deg)</t>
  </si>
  <si>
    <t>AIM-7C</t>
  </si>
  <si>
    <t>-</t>
  </si>
  <si>
    <t>SARH</t>
  </si>
  <si>
    <t>N/A</t>
  </si>
  <si>
    <t>AIM-7D</t>
  </si>
  <si>
    <t>AIM-7E</t>
  </si>
  <si>
    <t>AIM-7E-2 (dogfight)</t>
  </si>
  <si>
    <t>AIM-7F</t>
  </si>
  <si>
    <t>AIM-7M</t>
  </si>
  <si>
    <t>AIM-9C</t>
  </si>
  <si>
    <t>Sedjil</t>
  </si>
  <si>
    <t>R-3R</t>
  </si>
  <si>
    <t>R-23R</t>
  </si>
  <si>
    <t>R-24R</t>
  </si>
  <si>
    <t>SARH + IOG</t>
  </si>
  <si>
    <t>R-27R</t>
  </si>
  <si>
    <t>SARH+IOG+DL</t>
  </si>
  <si>
    <t>R-27R1</t>
  </si>
  <si>
    <t>R-27ER / ER1</t>
  </si>
  <si>
    <t>Skyflash</t>
  </si>
  <si>
    <t>Skyflash (dogfight)</t>
  </si>
  <si>
    <t>Skyflash SuperTEMP</t>
  </si>
  <si>
    <t>PL-11 / Aspide-1A</t>
  </si>
  <si>
    <t>R511</t>
  </si>
  <si>
    <t>R530</t>
  </si>
  <si>
    <t>Super 530F</t>
  </si>
  <si>
    <t>Super 530D</t>
  </si>
  <si>
    <t>Rb 71</t>
  </si>
  <si>
    <t>Red means 'Rear Aspect'</t>
  </si>
  <si>
    <t>Green means 'All Aspect'</t>
  </si>
  <si>
    <t>AIM-9B / RB 24</t>
  </si>
  <si>
    <t>IR</t>
  </si>
  <si>
    <t>No</t>
  </si>
  <si>
    <t>AIM-9B FGW. 2</t>
  </si>
  <si>
    <t>AIM-9D</t>
  </si>
  <si>
    <t>AIM-9E</t>
  </si>
  <si>
    <t>Yes</t>
  </si>
  <si>
    <t>AIM-9G/H</t>
  </si>
  <si>
    <t>AIM-9J/ 9N /Flz.Lwf. LL 63/80</t>
  </si>
  <si>
    <t>AIM-9P / RB 24J</t>
  </si>
  <si>
    <t>R-3S</t>
  </si>
  <si>
    <t>R-13M</t>
  </si>
  <si>
    <t>R-13M1</t>
  </si>
  <si>
    <t>R-60</t>
  </si>
  <si>
    <t>Firestreak</t>
  </si>
  <si>
    <t>Red Top</t>
  </si>
  <si>
    <t>SRAAM</t>
  </si>
  <si>
    <t>PL-2</t>
  </si>
  <si>
    <t>PL-5B</t>
  </si>
  <si>
    <t>PL-7</t>
  </si>
  <si>
    <t>R530E</t>
  </si>
  <si>
    <t>R550 Magic 1</t>
  </si>
  <si>
    <t>Shafrir</t>
  </si>
  <si>
    <t>Shafrir 2</t>
  </si>
  <si>
    <t>AIM-9L / RB 74</t>
  </si>
  <si>
    <t>AIM-9L/I</t>
  </si>
  <si>
    <t>Seeker shut off</t>
  </si>
  <si>
    <t>AIM-9M / RB 74M</t>
  </si>
  <si>
    <t>AIM-9P-4</t>
  </si>
  <si>
    <t>R-23T</t>
  </si>
  <si>
    <t>R-24T</t>
  </si>
  <si>
    <t>R-27T</t>
  </si>
  <si>
    <t>FOV</t>
  </si>
  <si>
    <t>R-27T1</t>
  </si>
  <si>
    <t>R-27ET / ET1</t>
  </si>
  <si>
    <t>R-60M / MK</t>
  </si>
  <si>
    <t>R-73 / E</t>
  </si>
  <si>
    <t>AAM-3</t>
  </si>
  <si>
    <t>PL-5C</t>
  </si>
  <si>
    <t>PL-5E2</t>
  </si>
  <si>
    <t>PL-8</t>
  </si>
  <si>
    <t>PL-9</t>
  </si>
  <si>
    <t>R550 Magic 2</t>
  </si>
  <si>
    <t>Python 3</t>
  </si>
  <si>
    <t>Python 4</t>
  </si>
  <si>
    <t>FOV + Seeker shut off</t>
  </si>
  <si>
    <t>MAA-1 Piranha</t>
  </si>
  <si>
    <t>Loft</t>
  </si>
  <si>
    <t>Loft Angle</t>
  </si>
  <si>
    <t>Thrust Vectoring</t>
  </si>
  <si>
    <t>AIM-54A / B</t>
  </si>
  <si>
    <t>ARH + IOG + DL</t>
  </si>
  <si>
    <t>AIM-54C</t>
  </si>
  <si>
    <t>Fakour-90</t>
  </si>
  <si>
    <t>AIM-120A / B / RB 99</t>
  </si>
  <si>
    <t>AIM-120C-5</t>
  </si>
  <si>
    <t>R-77 / RVV-AE</t>
  </si>
  <si>
    <t>R-77-1</t>
  </si>
  <si>
    <t>PL-12 / SD-10A</t>
  </si>
  <si>
    <t>MICA-EM</t>
  </si>
  <si>
    <t>R-DARTER</t>
  </si>
  <si>
    <t>DERBY</t>
  </si>
  <si>
    <t>AAM-4</t>
  </si>
  <si>
    <t>Disclaimer: This is DCS experimental data and should be considered only rough estimates      (I would personally just use the airspeed as a guide and disregard the actual turn rates).                 I will add some flight manual graphs whenever possible.                                                                            I would also recommend using the Ctrl+F function to easily search for the diagrams.</t>
  </si>
  <si>
    <t>Credit for DCS data to Contact Light @ DCS Dogfighters Discord</t>
  </si>
  <si>
    <t>Disclaimer 2: All data is presented at sea level (except when no other is available i.e. F-4E,F-5N)</t>
  </si>
  <si>
    <t xml:space="preserve">List of aircraft available: A-10C, AV-8B NA, F-86F, MiG-15bis, MiG-19P, MiG-21bis, F-5E, F-5N, Mirage F1CE, F-4E, MiG-29S, Su-27, Mirage 2000C, JF-17, F-14B, F-15C, F-16 A, F-16C </t>
  </si>
  <si>
    <t>F-16C</t>
  </si>
  <si>
    <t>*Flight Manual Data</t>
  </si>
  <si>
    <t>F-16A</t>
  </si>
  <si>
    <t>F-15C</t>
  </si>
  <si>
    <t>F-14B</t>
  </si>
  <si>
    <t xml:space="preserve">F-14B Flaps </t>
  </si>
  <si>
    <t>Mirage 2000C</t>
  </si>
  <si>
    <t>MiG-29S</t>
  </si>
  <si>
    <t>Su-27</t>
  </si>
  <si>
    <t>F-4E</t>
  </si>
  <si>
    <t>Mirage F1CE</t>
  </si>
  <si>
    <t>F-5N</t>
  </si>
  <si>
    <t>MiG-19P</t>
  </si>
  <si>
    <t>MiG-21bis</t>
  </si>
  <si>
    <t>F-86F</t>
  </si>
  <si>
    <t>MiG-15bis</t>
  </si>
  <si>
    <t>AV-8B NA</t>
  </si>
  <si>
    <t>Top Speed at Sea Level</t>
  </si>
  <si>
    <t xml:space="preserve">Fastest to slowest, per BR </t>
  </si>
  <si>
    <t>Main author: dogeness 
Coauthor: Adam514</t>
  </si>
  <si>
    <t>MPH</t>
  </si>
  <si>
    <t>KPH</t>
  </si>
  <si>
    <t>Knots</t>
  </si>
  <si>
    <t>Source https://docs.google.com/spreadsheets/d/1cYUunWdLvyrJGf6IIo2IvPccb6KYTIDl1szFIHAOWj4/edit?gid=0#gid=0</t>
  </si>
  <si>
    <t>Travel times are calculated @ mach 1, sea level (667 kt, 1235 kmh, 767 mph, 343 m/s)</t>
  </si>
  <si>
    <t xml:space="preserve">Map Data </t>
  </si>
  <si>
    <t>Map</t>
  </si>
  <si>
    <t>Size (km)</t>
  </si>
  <si>
    <t>Grid Size (m)</t>
  </si>
  <si>
    <t>Travel Time per grid (s)</t>
  </si>
  <si>
    <t>Travel Time per diag. grid (s)</t>
  </si>
  <si>
    <t>Base no.</t>
  </si>
  <si>
    <t>Contrail Altitude (m)</t>
  </si>
  <si>
    <t>Contrail Altitude (ft)</t>
  </si>
  <si>
    <t>Afghanistan</t>
  </si>
  <si>
    <t>128x128</t>
  </si>
  <si>
    <t>Bulge</t>
  </si>
  <si>
    <t>64x64</t>
  </si>
  <si>
    <t>Denmark</t>
  </si>
  <si>
    <t>Dover Strait</t>
  </si>
  <si>
    <t>86x86</t>
  </si>
  <si>
    <t>Khalkhin Gol</t>
  </si>
  <si>
    <t>Korsun</t>
  </si>
  <si>
    <t>Kursk</t>
  </si>
  <si>
    <t>Maginot Line</t>
  </si>
  <si>
    <t>Port Moresby</t>
  </si>
  <si>
    <t>Rocky Canyon</t>
  </si>
  <si>
    <t>AV-8B Plus</t>
  </si>
  <si>
    <t>Ruhr</t>
  </si>
  <si>
    <t xml:space="preserve">Sea Harrier FA 2 </t>
  </si>
  <si>
    <t>Sicily</t>
  </si>
  <si>
    <t>Sinai</t>
  </si>
  <si>
    <t>Smolensk</t>
  </si>
  <si>
    <t>Spain</t>
  </si>
  <si>
    <t>Stalingrad</t>
  </si>
  <si>
    <t>Tunisia</t>
  </si>
  <si>
    <t>Vietnam</t>
  </si>
  <si>
    <t>F-14A</t>
  </si>
  <si>
    <t>Winter Stalingrad</t>
  </si>
  <si>
    <t>Zhengzhou</t>
  </si>
  <si>
    <r>
      <rPr>
        <sz val="10"/>
        <rFont val="Arial"/>
      </rPr>
      <t xml:space="preserve">thanks to Termx and bsveera                                                                                                                                                                                                                  source </t>
    </r>
    <r>
      <rPr>
        <u/>
        <sz val="10"/>
        <color rgb="FF1155CC"/>
        <rFont val="Arial"/>
      </rPr>
      <t>https://docs.google.com/spreadsheets/d/1MRIUI0kbGzS3-qvJGZGWk-BN4crV_z8uHzug82ho4Sg/edit?gid=791410855#gid=791410855</t>
    </r>
  </si>
  <si>
    <t>Harrier II GR.7</t>
  </si>
  <si>
    <t xml:space="preserve">F-4J/J (UK) </t>
  </si>
  <si>
    <t>F-4S</t>
  </si>
  <si>
    <t xml:space="preserve">MiG-23MLA </t>
  </si>
  <si>
    <t>MiG-23ML</t>
  </si>
  <si>
    <t>MiG-23MLD</t>
  </si>
  <si>
    <r>
      <rPr>
        <b/>
        <sz val="10"/>
        <color theme="1"/>
        <rFont val="arial,sans,sans-serif"/>
      </rPr>
      <t>Phantom FG.1</t>
    </r>
    <r>
      <rPr>
        <b/>
        <sz val="8"/>
        <color theme="1"/>
        <rFont val="arial,sans,sans-serif"/>
      </rPr>
      <t xml:space="preserve"> </t>
    </r>
  </si>
  <si>
    <r>
      <rPr>
        <b/>
        <sz val="10"/>
        <color rgb="FF000000"/>
        <rFont val="arial,sans,sans-serif"/>
      </rPr>
      <t>Phantom FGR.2</t>
    </r>
    <r>
      <rPr>
        <b/>
        <sz val="8"/>
        <color rgb="FF000000"/>
        <rFont val="arial,sans,sans-serif"/>
      </rPr>
      <t xml:space="preserve"> </t>
    </r>
  </si>
  <si>
    <t xml:space="preserve">Sea Harrier FRS.1 </t>
  </si>
  <si>
    <t>AJ37 Viggen</t>
  </si>
  <si>
    <r>
      <rPr>
        <b/>
        <sz val="10"/>
        <color theme="1"/>
        <rFont val="arial,sans,sans-serif"/>
      </rPr>
      <t>Su-17/Su-22M4</t>
    </r>
    <r>
      <rPr>
        <b/>
        <sz val="8"/>
        <color theme="1"/>
        <rFont val="arial,sans,sans-serif"/>
      </rPr>
      <t xml:space="preserve"> </t>
    </r>
  </si>
  <si>
    <t>Su-22M3</t>
  </si>
  <si>
    <t xml:space="preserve">Su-17M2 </t>
  </si>
  <si>
    <t xml:space="preserve">MiG-21SMT </t>
  </si>
  <si>
    <t>F-111A</t>
  </si>
  <si>
    <t>Jaguar GR.1</t>
  </si>
  <si>
    <t xml:space="preserve">MiG-23BN </t>
  </si>
  <si>
    <t xml:space="preserve">AV-8A/C </t>
  </si>
  <si>
    <t xml:space="preserve">Harrier GR.1/3 </t>
  </si>
  <si>
    <t>SAAB 105OE</t>
  </si>
  <si>
    <t xml:space="preserve">SAAB 105G </t>
  </si>
  <si>
    <t xml:space="preserve">Me-163 B-0 </t>
  </si>
  <si>
    <t xml:space="preserve">Me-262C2 </t>
  </si>
  <si>
    <t xml:space="preserve">F2H-2 </t>
  </si>
  <si>
    <t xml:space="preserve">Me-262C1 </t>
  </si>
  <si>
    <t>Mig-9(I)</t>
  </si>
  <si>
    <t xml:space="preserve">Yak-23 </t>
  </si>
  <si>
    <t xml:space="preserve">F-80C </t>
  </si>
  <si>
    <t xml:space="preserve">Ar-234C3 </t>
  </si>
  <si>
    <t xml:space="preserve">SK60B </t>
  </si>
  <si>
    <t xml:space="preserve">Kikka </t>
  </si>
  <si>
    <t>Yak-15/15P</t>
  </si>
  <si>
    <t>Rewards in Sim EC are awarded every 15 minutes (since you spawn in) based on the amount of mission points you acumulate in that period.                           Dieing or J-ing out will trigger the rewards to be awarded, but only as a percentage of the time spent alive (ex: die/J-out after 5 minutes will award 24% of the rewards gained, after 7.5 minutes 40% and so on to 15 minutes and 80%)                                                                                                                         If you perform a landing AFTER the 15 minute timer runs out and the 'Useful Actions' prompt is shown, you will receive an additional 20% SL/RP.                                                                                                                                                                          The graph below shows the amount of rewards you can receive for a given amount of points in that 15 minute period, with 100% representing the maximum amount of rewards your aircraft can generate.                                                                                                                                                       The reward cap (92% of the theoretical cap for reasons only Gaijin understands) can be reached by getting 1050 points, but reasonable rewards can be achieved with just 500 points (awarding ~82.5% of the rewards).                                                                                                                                            This reward system highlights the importance of staying alive over performing well, if you want to keep your SL balance positive.                                                                                                  This has various impacts on overall gameplay but i will not go into the repercussions.</t>
  </si>
  <si>
    <r>
      <t xml:space="preserve">Special thanks to Heliboys Sim for doing the research                                                                                   Source:    </t>
    </r>
    <r>
      <rPr>
        <u/>
        <sz val="10"/>
        <color rgb="FF1155CC"/>
        <rFont val="Arial"/>
      </rPr>
      <t>https://docs.google.com/spreadsheets/d/1elUK6q-ujEgfb-QYwt4II1u3z-leh_8LqeJdHgWttGU/edit?gid=0#gid=0</t>
    </r>
    <r>
      <rPr>
        <sz val="10"/>
        <color rgb="FF000000"/>
        <rFont val="Arial"/>
        <scheme val="minor"/>
      </rPr>
      <t xml:space="preserve">  </t>
    </r>
  </si>
  <si>
    <t>TLDR</t>
  </si>
  <si>
    <t>200 points = 54% reward</t>
  </si>
  <si>
    <t>400 points = 75% reward</t>
  </si>
  <si>
    <t>600 points = 86% reward</t>
  </si>
  <si>
    <t>800 points = 90% reward</t>
  </si>
  <si>
    <t>1050+ points = 92% reward</t>
  </si>
  <si>
    <t>For bombing charts visit :</t>
  </si>
  <si>
    <t>War Thunder Bomb Chart - EC Sim</t>
  </si>
  <si>
    <t>Useful Links</t>
  </si>
  <si>
    <t>Description</t>
  </si>
  <si>
    <t>Links</t>
  </si>
  <si>
    <t>Author:</t>
  </si>
  <si>
    <t>Turn Rate and G data</t>
  </si>
  <si>
    <t>Sustained turn rate tests - War Thunder</t>
  </si>
  <si>
    <t>RideR2</t>
  </si>
  <si>
    <t>Sea Level Speed data</t>
  </si>
  <si>
    <t>War Thunder Top Speeds at Sea Level</t>
  </si>
  <si>
    <t>Dogeness and Adam514</t>
  </si>
  <si>
    <t>Farming data</t>
  </si>
  <si>
    <t>HeliBoys Sim EC Sheet</t>
  </si>
  <si>
    <t>Heliboy</t>
  </si>
  <si>
    <t>Bombing Charts</t>
  </si>
  <si>
    <t>Termx and bsveera</t>
  </si>
  <si>
    <t>Sim BR Calendar</t>
  </si>
  <si>
    <t>https://warthunder.highwaymen.space/SimCal/</t>
  </si>
  <si>
    <t>Capo</t>
  </si>
  <si>
    <t>Missile DB</t>
  </si>
  <si>
    <t>Guided weaponry data (in-game values)         Honorable mention for Jaek_ for making amazing videos on missile on YouTube      If you want to reach enlightment, then you have to spade the Italian heli line, no talisman/ premium/ boosters</t>
  </si>
  <si>
    <t>Koppany99 aka JohnWick(9) and ♥ gszabi99 ♥</t>
  </si>
  <si>
    <t>Aircraft Perfomance DB</t>
  </si>
  <si>
    <t>F5 - Aircraft Performance Database</t>
  </si>
  <si>
    <t>DCS EM charts</t>
  </si>
  <si>
    <t>Contact Light @ DCS Dogfighters Discord</t>
  </si>
  <si>
    <t>WT Sim Cheat Sheet</t>
  </si>
  <si>
    <t>Agent Smith #4 aka r/ricaraducanu</t>
  </si>
  <si>
    <t>Evasive Maneuvers</t>
  </si>
  <si>
    <t>Weapon / Scenario</t>
  </si>
  <si>
    <t>Cold @ Deck</t>
  </si>
  <si>
    <t>Cold @ Hi-Alt</t>
  </si>
  <si>
    <t>Side @ Deck</t>
  </si>
  <si>
    <t>Side @ Hi-Alt</t>
  </si>
  <si>
    <t>Hot @ Deck</t>
  </si>
  <si>
    <t>Hot @ Hi-Alt</t>
  </si>
  <si>
    <t>Fox 1</t>
  </si>
  <si>
    <t>MultiPath + Snake</t>
  </si>
  <si>
    <t>Dive + MultiPath</t>
  </si>
  <si>
    <t>MultiPath + Notch</t>
  </si>
  <si>
    <t>Notch</t>
  </si>
  <si>
    <t>F-Pole / Notch + MultiP</t>
  </si>
  <si>
    <t>F-Pole or Dive + Notch or Split S + Dive</t>
  </si>
  <si>
    <t>&amp; Chaff</t>
  </si>
  <si>
    <t>Fox 2</t>
  </si>
  <si>
    <t>Turn in</t>
  </si>
  <si>
    <t>Turn In + Dive</t>
  </si>
  <si>
    <t>Turn In</t>
  </si>
  <si>
    <t>Dive + Turn In</t>
  </si>
  <si>
    <t xml:space="preserve">Barrel Roll </t>
  </si>
  <si>
    <t>&amp; Flare</t>
  </si>
  <si>
    <t>Fox 3</t>
  </si>
  <si>
    <t>Notch + MultiPath</t>
  </si>
  <si>
    <t>Dive + Notch</t>
  </si>
  <si>
    <t>Cold + Snake</t>
  </si>
  <si>
    <t>Dive + Cold</t>
  </si>
  <si>
    <t>FPole or Split S + Sh.Dive</t>
  </si>
  <si>
    <t xml:space="preserve">Guns </t>
  </si>
  <si>
    <t>Roll + Yaw Jink</t>
  </si>
  <si>
    <t>70-90° Jink</t>
  </si>
  <si>
    <t>Name:</t>
  </si>
  <si>
    <t>AIM-9L</t>
  </si>
  <si>
    <t>AIM-9M</t>
  </si>
  <si>
    <t>R-27ET</t>
  </si>
  <si>
    <t>R-27ET1</t>
  </si>
  <si>
    <t>R-60M</t>
  </si>
  <si>
    <t>R-60MK</t>
  </si>
  <si>
    <t>R-73</t>
  </si>
  <si>
    <t>R-73E</t>
  </si>
  <si>
    <t>Rb 74</t>
  </si>
  <si>
    <t>Rb 74M</t>
  </si>
  <si>
    <t>Physical properties</t>
  </si>
  <si>
    <t>Mass: [kg]</t>
  </si>
  <si>
    <t>Mass at end of booster burn: [kg]</t>
  </si>
  <si>
    <t>Mass at end of sustainer burn: [kg]</t>
  </si>
  <si>
    <t>Calibre: [mm]</t>
  </si>
  <si>
    <t>Length: [m]</t>
  </si>
  <si>
    <t xml:space="preserve">Engine properties </t>
  </si>
  <si>
    <t>Force exerted by booster: [N]</t>
  </si>
  <si>
    <t>Burn time of booster: [s]</t>
  </si>
  <si>
    <t>Specific impulse of booster: [s]</t>
  </si>
  <si>
    <t>ΔV of booster: [m/s]</t>
  </si>
  <si>
    <t>Booster start delay: [s]</t>
  </si>
  <si>
    <t>Force exerted by sustainer: [N]</t>
  </si>
  <si>
    <t>Burn time of sustainer: [s]</t>
  </si>
  <si>
    <t>Specific impulse of sustainer: [s]</t>
  </si>
  <si>
    <t>ΔV of sustainer: [m/s]</t>
  </si>
  <si>
    <t>Total ΔV: [m/s]</t>
  </si>
  <si>
    <t>Fuse and warhead properties</t>
  </si>
  <si>
    <t>Explosive mass: [kg of TNT equivalent]</t>
  </si>
  <si>
    <t>Proximity fuse:</t>
  </si>
  <si>
    <t>Proximity fuse range: [m]</t>
  </si>
  <si>
    <t>Proximity fuse shell detection (80-200 mm):</t>
  </si>
  <si>
    <t>Proximity fuse delay: [s]</t>
  </si>
  <si>
    <t>Guidance properties</t>
  </si>
  <si>
    <t>Guidance type:</t>
  </si>
  <si>
    <t>Guidance start delay: [s]</t>
  </si>
  <si>
    <t>Guidance duration: [s]</t>
  </si>
  <si>
    <t>Seeker warm up time: [s]</t>
  </si>
  <si>
    <t>Seeker search duration: [s]</t>
  </si>
  <si>
    <t>Field of view: [degrees]</t>
  </si>
  <si>
    <t>Gimbal limit: [degrees]</t>
  </si>
  <si>
    <t>Track rate: [degrees/second]</t>
  </si>
  <si>
    <t>Uncaged seeker before launch:</t>
  </si>
  <si>
    <t>Maximum lock angle before launch: [degrees]</t>
  </si>
  <si>
    <t xml:space="preserve">Minimum angle of incidence of the seeker to the Sun for it to not capture the Sun: [degrees] </t>
  </si>
  <si>
    <t>Lock-on range from rear-aspect: [km]</t>
  </si>
  <si>
    <t>Lock-on range from all-aspect: [km]</t>
  </si>
  <si>
    <t>Flare detection range: [km]</t>
  </si>
  <si>
    <t>IRCM detection range: [km]</t>
  </si>
  <si>
    <t>IRCCM:</t>
  </si>
  <si>
    <t>IRCCM type:</t>
  </si>
  <si>
    <t>IRCCM field of view: [degrees]</t>
  </si>
  <si>
    <t xml:space="preserve">IRCCM rejection treshold: </t>
  </si>
  <si>
    <t>IRCCM reaction time: [s]</t>
  </si>
  <si>
    <t>Maximum break lock time: [s]</t>
  </si>
  <si>
    <t>Proportional navigation multiplier: (affects how far ahead it attempts to lead)</t>
  </si>
  <si>
    <t>Base indicated air speed: [m/s]</t>
  </si>
  <si>
    <t>PID proportional term:</t>
  </si>
  <si>
    <t>Not</t>
  </si>
  <si>
    <t>PID integral term:</t>
  </si>
  <si>
    <t>applicable</t>
  </si>
  <si>
    <t>PID integral term limit:</t>
  </si>
  <si>
    <t>dependent</t>
  </si>
  <si>
    <t>PID derivative term:</t>
  </si>
  <si>
    <t>on flight time</t>
  </si>
  <si>
    <t xml:space="preserve">Flight characteristics </t>
  </si>
  <si>
    <t>Maximum fin angle of attack: [degrees]</t>
  </si>
  <si>
    <t>Maximum fin lateral acceleration:</t>
  </si>
  <si>
    <t>Maximum AOA: [degrees]</t>
  </si>
  <si>
    <t>Wing area multiplier:</t>
  </si>
  <si>
    <t>Start speed: [m/s]</t>
  </si>
  <si>
    <t>Maximum speed: [m/s]</t>
  </si>
  <si>
    <t>Maximum statcard (useless) speed: [Mach]</t>
  </si>
  <si>
    <t>Maximum statcard (useless) launch range: [km]</t>
  </si>
  <si>
    <t>Flight time until guidance starts (delay): [s]</t>
  </si>
  <si>
    <t>Flight time when pull limit reaches 40%: [s]</t>
  </si>
  <si>
    <t>Flight time when pull limit reaches 100%: [s]</t>
  </si>
  <si>
    <t>Minimum range: [m]</t>
  </si>
  <si>
    <t>Maximum (flight) range: [km]</t>
  </si>
  <si>
    <t>Maximum G-load: [G]</t>
  </si>
  <si>
    <t>Maximum statcard (useless) G-load: [G]</t>
  </si>
  <si>
    <t>Thrust vectoring:</t>
  </si>
  <si>
    <t>Thrust vectoring angle: [degrees]</t>
  </si>
  <si>
    <t xml:space="preserve">Additional Notes: </t>
  </si>
  <si>
    <t>AIM-9M with smoke</t>
  </si>
  <si>
    <t xml:space="preserve">AIM-9L with IRCCM against flares              
Low visiblity smoke motor                                                      Image found under artist Atamonica </t>
  </si>
  <si>
    <t>Export version of T, no changes</t>
  </si>
  <si>
    <t>Export version of ET, no changes</t>
  </si>
  <si>
    <t>Identical to the R-60M currently.</t>
  </si>
  <si>
    <t>Export version, no changes</t>
  </si>
  <si>
    <t xml:space="preserve"> Low visiblity smoke motor</t>
  </si>
  <si>
    <t>Chinese Python 3.</t>
  </si>
  <si>
    <t xml:space="preserve">AIM-9M copy </t>
  </si>
  <si>
    <t>R-27ER</t>
  </si>
  <si>
    <t>R-27ER1</t>
  </si>
  <si>
    <t>Aspide-1A</t>
  </si>
  <si>
    <t>PL-11</t>
  </si>
  <si>
    <t>Can lock after launch:</t>
  </si>
  <si>
    <t>Band:</t>
  </si>
  <si>
    <t>I</t>
  </si>
  <si>
    <t>Angular speed rejection threshold: [degrees/second]</t>
  </si>
  <si>
    <t>Acceleration rejection threshold range: [m/s^2]</t>
  </si>
  <si>
    <t>100-250</t>
  </si>
  <si>
    <t>50-100</t>
  </si>
  <si>
    <t>Sidelobe attenuation:</t>
  </si>
  <si>
    <t>Transmitter power:</t>
  </si>
  <si>
    <t>Transmitter angle of half sensitivity:</t>
  </si>
  <si>
    <t>Transmitter sidelobe sensitivity:</t>
  </si>
  <si>
    <t>Receiver angle of half sensitivity:</t>
  </si>
  <si>
    <t>Receiver sidelobe sensitivity:</t>
  </si>
  <si>
    <t>Distance minimum value:</t>
  </si>
  <si>
    <t>Distance maximum value:</t>
  </si>
  <si>
    <t>Distance width:</t>
  </si>
  <si>
    <t>Distance minimum signal gate:</t>
  </si>
  <si>
    <t>Distance refWidth:</t>
  </si>
  <si>
    <t>Distance gate alpha filter:</t>
  </si>
  <si>
    <t>Distance gate beta filter:</t>
  </si>
  <si>
    <t>Doppler speed minimum value: [m/s]</t>
  </si>
  <si>
    <t>Doppler speed maximum value: [m/s]</t>
  </si>
  <si>
    <t>Doppler speed width: [m/s]</t>
  </si>
  <si>
    <t>Doppler speed ref width: [m/s]</t>
  </si>
  <si>
    <t>Doppler speed minimum signal gate: [m/s]</t>
  </si>
  <si>
    <t>Doppler speed gate search range: [m/s]</t>
  </si>
  <si>
    <t>Doppler speed gate alpha filter:</t>
  </si>
  <si>
    <t>Doppler speed gate beta filter:</t>
  </si>
  <si>
    <t>ETA to impact when prop multiplier reaches 30%: [s]</t>
  </si>
  <si>
    <t>40/0,05</t>
  </si>
  <si>
    <t>ETA to impact when prop multiplier reaches 50%: [s]</t>
  </si>
  <si>
    <t>25/0,1</t>
  </si>
  <si>
    <t>ETA to impact when prop multiplier reaches 80%: [s]</t>
  </si>
  <si>
    <t>15/0,15</t>
  </si>
  <si>
    <t>ETA to impact when prop multiplier reaches 90%: [s]</t>
  </si>
  <si>
    <t>8/0,7</t>
  </si>
  <si>
    <t>ETA to impact when prop multiplier reaches 100%: [s]</t>
  </si>
  <si>
    <t>Loft:</t>
  </si>
  <si>
    <t>Loft angle: [degrees]</t>
  </si>
  <si>
    <t>Target elevation: [degrees]</t>
  </si>
  <si>
    <t>Maximum target angular change:  [degrees/s]</t>
  </si>
  <si>
    <t xml:space="preserve"> Image found under artist Atamonica</t>
  </si>
  <si>
    <t>Can use inertial navigation if radar lock is broken, Internal navigation drift speed is 5.</t>
  </si>
  <si>
    <t>Can use inertial navigation with data link, Internal navigation drift speed is 10. Can reconnect datalink if connection is broken.</t>
  </si>
  <si>
    <t>Chinese Aspide-1A</t>
  </si>
  <si>
    <t>Same ETA table just the percantages arent the usual, shows time/prop multiplier multiplier</t>
  </si>
  <si>
    <t>Swedish Skyflash</t>
  </si>
  <si>
    <t>Export version of R, no changes</t>
  </si>
  <si>
    <t>AIM-9B</t>
  </si>
  <si>
    <t>AIM-9G</t>
  </si>
  <si>
    <t>AIM-9H</t>
  </si>
  <si>
    <t>AIM-9J</t>
  </si>
  <si>
    <t>AIM-9N</t>
  </si>
  <si>
    <t>AIM-9P</t>
  </si>
  <si>
    <t>Flz.Lwf. LL 63/80</t>
  </si>
  <si>
    <t>Rb 24</t>
  </si>
  <si>
    <t>Rb 24J</t>
  </si>
  <si>
    <t>Flare and IRCM detection range: [km]</t>
  </si>
  <si>
    <t xml:space="preserve">Maximum fin lateral acceleration: </t>
  </si>
  <si>
    <t>Identical to the AIM-9J currently.</t>
  </si>
  <si>
    <t>AIM-9J with radar slaving</t>
  </si>
  <si>
    <t>Swiss copy of AIM-9J</t>
  </si>
  <si>
    <t>Chinese Magic1</t>
  </si>
  <si>
    <t>Swedish AIM-9B</t>
  </si>
  <si>
    <t>Swedish AIM-9P-3</t>
  </si>
  <si>
    <t>AIM-54A</t>
  </si>
  <si>
    <t>AIM-54B</t>
  </si>
  <si>
    <t>AIM-120A</t>
  </si>
  <si>
    <t>AIM-120B</t>
  </si>
  <si>
    <t>R-77</t>
  </si>
  <si>
    <t>RVV-AE</t>
  </si>
  <si>
    <t>PL-12</t>
  </si>
  <si>
    <t>SD-10A</t>
  </si>
  <si>
    <t>RB99</t>
  </si>
  <si>
    <t>Distance minimum value: [m]</t>
  </si>
  <si>
    <t>Distance maximum value: [km]</t>
  </si>
  <si>
    <t>Distance minimum signal gate: [m]</t>
  </si>
  <si>
    <t>Distance width: [m]</t>
  </si>
  <si>
    <t>Distance ref width: [m]</t>
  </si>
  <si>
    <t>Distance gate search range: [m]</t>
  </si>
  <si>
    <t>Inertial guidance drift speed:</t>
  </si>
  <si>
    <t>ETA to impact when prop multiplier reaches x%: [s/%]</t>
  </si>
  <si>
    <t>80/10</t>
  </si>
  <si>
    <t>60/20</t>
  </si>
  <si>
    <t>50/50</t>
  </si>
  <si>
    <t>25/80</t>
  </si>
  <si>
    <t>10/100</t>
  </si>
  <si>
    <t>Copy-paste AIM-54A</t>
  </si>
  <si>
    <t>Image found under artist Atamonica</t>
  </si>
  <si>
    <t>Same as A</t>
  </si>
  <si>
    <t>Export R-77</t>
  </si>
  <si>
    <t>PL-12 copy</t>
  </si>
  <si>
    <t>Swedish AIM120</t>
  </si>
  <si>
    <t>This page is pink, cuz fu thats why</t>
  </si>
  <si>
    <t>If you want you can tip me on kofi</t>
  </si>
  <si>
    <t>If you found a mistake or have a suggestion fill out this form</t>
  </si>
  <si>
    <r>
      <t xml:space="preserve">For the better understanding of the PID terms, read this wiki article: </t>
    </r>
    <r>
      <rPr>
        <u/>
        <sz val="10"/>
        <color rgb="FF1155CC"/>
        <rFont val="Arial"/>
      </rPr>
      <t>https://en.wikipedia.org/wiki/PID_controller#Controller_theory</t>
    </r>
  </si>
  <si>
    <t>Last change in stats was in 2.43.0.87</t>
  </si>
  <si>
    <t>Co-Author: ♥ gszabi99 ♥</t>
  </si>
  <si>
    <t>Author: Koppany99 aka JohnWick(9)</t>
  </si>
  <si>
    <t>This sheet contains most of the useful values of guided weapons.</t>
  </si>
  <si>
    <t>Chinese R550 Magic 1</t>
  </si>
  <si>
    <t>Swiss AIM-9J</t>
  </si>
  <si>
    <t>Swiss AIM-9B</t>
  </si>
  <si>
    <t>Romanian R-3S</t>
  </si>
  <si>
    <t>0,45 s / 100%</t>
  </si>
  <si>
    <t>2,5 s / 100%</t>
  </si>
  <si>
    <t>Flight time when pull limit reaches x%: [s/%]</t>
  </si>
  <si>
    <t>0,3 s / 0%</t>
  </si>
  <si>
    <t>0,5 s / 0%</t>
  </si>
  <si>
    <t>Flight range limit: [km]</t>
  </si>
  <si>
    <t>Impact fuse delay: [m]</t>
  </si>
  <si>
    <t>Impact fuse sensitivity: [mm]</t>
  </si>
  <si>
    <t>Penetration: [mm]</t>
  </si>
  <si>
    <t>SAPHE</t>
  </si>
  <si>
    <t>Warhead:</t>
  </si>
  <si>
    <t>RB 24J</t>
  </si>
  <si>
    <t>RB 24</t>
  </si>
  <si>
    <t>Flz.Lwf. 63/80</t>
  </si>
  <si>
    <t>Flz.Lwf. 63</t>
  </si>
  <si>
    <t>AIM-9P Sidewinder</t>
  </si>
  <si>
    <t>AIM-9N Sidewinder</t>
  </si>
  <si>
    <t>AIM-9J Sidewinder</t>
  </si>
  <si>
    <t>AIM-9H Sidewinder</t>
  </si>
  <si>
    <t>AIM-9G Sidewinder</t>
  </si>
  <si>
    <t>AIM-9E Sidewinder</t>
  </si>
  <si>
    <t>AIM-9D Sidewinder</t>
  </si>
  <si>
    <t>AIM-9B FGW. 2 Sidewinder</t>
  </si>
  <si>
    <t>AIM-9B Sidewinder</t>
  </si>
  <si>
    <t>A-91</t>
  </si>
  <si>
    <t>Swedish AIM-9M</t>
  </si>
  <si>
    <t>0,4 s / 100%</t>
  </si>
  <si>
    <t>1 s / 100%</t>
  </si>
  <si>
    <t>0,35 s / 0%</t>
  </si>
  <si>
    <t>RB 74M</t>
  </si>
  <si>
    <t>RB 74</t>
  </si>
  <si>
    <t>PL-5EII</t>
  </si>
  <si>
    <t>AIM-9P-4 Sidewinder</t>
  </si>
  <si>
    <t>AIM-9M Sidewinder</t>
  </si>
  <si>
    <t>AIM-9L/I-1 Sidewinder</t>
  </si>
  <si>
    <t>AIM-9L/I Sidewinder</t>
  </si>
  <si>
    <t>AIM-9L Sidewinder</t>
  </si>
  <si>
    <t>IRCCM field of view is the FoV after lock-on, outside of this FoV other heat sources are ignored. This basically means, that for the seeker to not reject other heat source, like a flare, it must be inside the IRCCM field of view. For a quick comparison (Stinger values) 3° FoV means a 104 m radius circle at 4 km distance, while 1.25° FoV means a 44 m radius circle. At closer than 2 km range, the circle would be as large or smaller than the target, effectively making flaring useless.</t>
  </si>
  <si>
    <t>Fins lateral acceleration:</t>
  </si>
  <si>
    <t>TY-90</t>
  </si>
  <si>
    <t>Mistral SATCP</t>
  </si>
  <si>
    <t>AIM-92A ATAS</t>
  </si>
  <si>
    <t>9M342 Igla-S</t>
  </si>
  <si>
    <t>9M336 Verba</t>
  </si>
  <si>
    <t>9M39V Igla-V</t>
  </si>
  <si>
    <t>Variant used by Mirage 2000 C S4, Mirage 2000 C S5, Mirage 2000-5 F</t>
  </si>
  <si>
    <t>Default</t>
  </si>
  <si>
    <t>Variant used by Tornado F. Mk. 3 and Tornado F. Mk. 3 [ITA]</t>
  </si>
  <si>
    <t>Export version of ER, no changes</t>
  </si>
  <si>
    <t>Can use Inertial guidance if radar lock is broken, Internal navigation drift speed is 5.</t>
  </si>
  <si>
    <t>Image found under artist Atamonica
Variant used by F-16AM-15, F-16C-50, F-16D-40 Barak II</t>
  </si>
  <si>
    <t>Image found under artist Atamonica
Variant used by F-15A, F-15A Baz, F-15C, F-15C Baz Mshupar, F-15E, F-15I Ra'am, F-15J, F-15J(M)</t>
  </si>
  <si>
    <t>Image found under artist Atamonica
Variant used by F-14B</t>
  </si>
  <si>
    <t>Image found under artist Atamonica
Default</t>
  </si>
  <si>
    <t>Variant used by F-14A and F-20A</t>
  </si>
  <si>
    <t>5 s / 100%</t>
  </si>
  <si>
    <t>ETA to impact when prop multiplier reaches x%: [s / %]</t>
  </si>
  <si>
    <t>8 s / 70%</t>
  </si>
  <si>
    <t>8 s / 90%</t>
  </si>
  <si>
    <t>15 s / 15%</t>
  </si>
  <si>
    <t>12 s / 80%</t>
  </si>
  <si>
    <t>25 s / 10%</t>
  </si>
  <si>
    <t>25 s / 50%</t>
  </si>
  <si>
    <t>40 s / 5%</t>
  </si>
  <si>
    <t>60 s / 30%</t>
  </si>
  <si>
    <t>45 s / 30%</t>
  </si>
  <si>
    <t>50 s / 30%</t>
  </si>
  <si>
    <t>4,5 s / 100%</t>
  </si>
  <si>
    <t>1,5 s / 100%</t>
  </si>
  <si>
    <t>0,7 s / 100%</t>
  </si>
  <si>
    <t>2,5 s / 40%</t>
  </si>
  <si>
    <t>2 s / 100%</t>
  </si>
  <si>
    <t>1,8 s / 0%</t>
  </si>
  <si>
    <t>1,7 s / 0%</t>
  </si>
  <si>
    <t>1,5 s / 0%</t>
  </si>
  <si>
    <t>2 s / 0%</t>
  </si>
  <si>
    <t>Can datalink reconnect:</t>
  </si>
  <si>
    <t>Datalink:</t>
  </si>
  <si>
    <t>Inertial guidance drift speed: [m/s]</t>
  </si>
  <si>
    <t>J</t>
  </si>
  <si>
    <t>SARH + IOG + DL</t>
  </si>
  <si>
    <t>Skyflash (DF)</t>
  </si>
  <si>
    <t>RB 71</t>
  </si>
  <si>
    <t>AIM-9C Sidewinder</t>
  </si>
  <si>
    <t>AIM-7M Sparrow</t>
  </si>
  <si>
    <t>AIM-7F Sparrow</t>
  </si>
  <si>
    <t>AIM-7E-2 (DF) Sparrow</t>
  </si>
  <si>
    <t>AIM-7E Sparrow</t>
  </si>
  <si>
    <t>AIM-7D Sparrow</t>
  </si>
  <si>
    <t>AIM-7C Sparrow</t>
  </si>
  <si>
    <t>10 s / 100%</t>
  </si>
  <si>
    <t>25 s / 80%</t>
  </si>
  <si>
    <t>50 s / 50%</t>
  </si>
  <si>
    <t>60 s / 20%</t>
  </si>
  <si>
    <t>80 s / 10%</t>
  </si>
  <si>
    <t>0,31 s / 100%</t>
  </si>
  <si>
    <t>0,16 s / 100%</t>
  </si>
  <si>
    <t>3,5 s / 100%</t>
  </si>
  <si>
    <t>0,15 s / 0%</t>
  </si>
  <si>
    <t>2,5 s / 0%</t>
  </si>
  <si>
    <t>RB 99</t>
  </si>
  <si>
    <t>R-Darter</t>
  </si>
  <si>
    <t>Fakour 90</t>
  </si>
  <si>
    <t>Derby</t>
  </si>
  <si>
    <t>AIM-120C-5 AMRAAM</t>
  </si>
  <si>
    <t>AIM-120B AMRAAM</t>
  </si>
  <si>
    <t>AIM-120A AMRAAM</t>
  </si>
  <si>
    <t>AIM-54C Phoenix</t>
  </si>
  <si>
    <t>AIM-54B Phoenix</t>
  </si>
  <si>
    <t>AIM-54A Phoenix</t>
  </si>
  <si>
    <t>Has a tracer in its tail:</t>
  </si>
  <si>
    <t>Maximum statcard (useless) speed: [m/s] or [Mach]</t>
  </si>
  <si>
    <t>Maximum lateral acceleration:</t>
  </si>
  <si>
    <t>0.01</t>
  </si>
  <si>
    <t>Maximum axis values:</t>
  </si>
  <si>
    <t>Aim sensitivity:</t>
  </si>
  <si>
    <t>Guidance max lead: [degrees]</t>
  </si>
  <si>
    <t>Guidance FOV: [degrees]</t>
  </si>
  <si>
    <t>Guidance range: [km]</t>
  </si>
  <si>
    <t>LOSBR</t>
  </si>
  <si>
    <t>SACLOS</t>
  </si>
  <si>
    <t>MCLOS</t>
  </si>
  <si>
    <t>HE</t>
  </si>
  <si>
    <t>Starstreak (dart)</t>
  </si>
  <si>
    <t>Starstreak</t>
  </si>
  <si>
    <t>Fireflash</t>
  </si>
  <si>
    <t>AA.20 Nord 5103</t>
  </si>
  <si>
    <t>Swedish AGM-65A.</t>
  </si>
  <si>
    <t>Swiss AGM-65B</t>
  </si>
  <si>
    <t>15 / 15</t>
  </si>
  <si>
    <t>Maximum launch angle (horizontally / vertically): [degrees]</t>
  </si>
  <si>
    <t>Lock-on range (target): [km]</t>
  </si>
  <si>
    <t>Lock-on range (ground): [km]</t>
  </si>
  <si>
    <t>Optical / TV</t>
  </si>
  <si>
    <t>Optical / TV + IOG</t>
  </si>
  <si>
    <t>29.46x</t>
  </si>
  <si>
    <t>14.74x</t>
  </si>
  <si>
    <t>6.15x - 14.74x</t>
  </si>
  <si>
    <t>6.15x - 25.4x</t>
  </si>
  <si>
    <t>Default zoom:</t>
  </si>
  <si>
    <t>HEAT</t>
  </si>
  <si>
    <t>RB 75T</t>
  </si>
  <si>
    <t>RB 75</t>
  </si>
  <si>
    <t>PGM 2000</t>
  </si>
  <si>
    <t>PGM 500</t>
  </si>
  <si>
    <t>Kh-29TE</t>
  </si>
  <si>
    <t>Kh-29TD</t>
  </si>
  <si>
    <t>Kh-29T</t>
  </si>
  <si>
    <t xml:space="preserve"> Flz.Lwf. LB 82</t>
  </si>
  <si>
    <t>AJ.168 Martel</t>
  </si>
  <si>
    <t>AGM-130A</t>
  </si>
  <si>
    <t>AGM-65K Maverick</t>
  </si>
  <si>
    <t>AGM-65H Maverick</t>
  </si>
  <si>
    <t>AGM-65B Maverick</t>
  </si>
  <si>
    <t>AGM-65A Maverick</t>
  </si>
  <si>
    <t>Copy of G</t>
  </si>
  <si>
    <t>IR + IOG</t>
  </si>
  <si>
    <t>7.38x - 24.56x</t>
  </si>
  <si>
    <t>2.48x - 4.92x</t>
  </si>
  <si>
    <t>6.7x - 14.74x</t>
  </si>
  <si>
    <t>Tandem HEAT</t>
  </si>
  <si>
    <t>UMTAS</t>
  </si>
  <si>
    <t>Spike ER</t>
  </si>
  <si>
    <t>PGM 2000/3</t>
  </si>
  <si>
    <t>PGM 500/3</t>
  </si>
  <si>
    <t>PARS 3 LR</t>
  </si>
  <si>
    <t>Kh-38MT</t>
  </si>
  <si>
    <t>AGM-130A-12</t>
  </si>
  <si>
    <t>AGM-119A Penguin</t>
  </si>
  <si>
    <t>AGM-65G Maverick</t>
  </si>
  <si>
    <t>AGM-65F Maverick</t>
  </si>
  <si>
    <t>AGM-65D Maverick</t>
  </si>
  <si>
    <t>AASM 500 HAMMER (SBU 66)</t>
  </si>
  <si>
    <t>AASM 250 HAMMER (SBU 64)</t>
  </si>
  <si>
    <t>Minimum range: [km]</t>
  </si>
  <si>
    <t>GNSS</t>
  </si>
  <si>
    <t>Proximity fuse minimum altitude: [m]</t>
  </si>
  <si>
    <t>Proximity fuse arming distance: [m]</t>
  </si>
  <si>
    <t>Kh-36 Grom-1</t>
  </si>
  <si>
    <t>AASM 250 HAMMER (SBU 38)</t>
  </si>
  <si>
    <t>Variant used by Su-17M2</t>
  </si>
  <si>
    <t>Variant used by everything else</t>
  </si>
  <si>
    <t>SAP-HE rocket, penetration falls with speed</t>
  </si>
  <si>
    <t>Copy of E</t>
  </si>
  <si>
    <t>20 / 40</t>
  </si>
  <si>
    <t>12.5 / 30</t>
  </si>
  <si>
    <t>20 / 20</t>
  </si>
  <si>
    <t>30 / 30</t>
  </si>
  <si>
    <t>180 / 90</t>
  </si>
  <si>
    <t>Seeker range: [km]</t>
  </si>
  <si>
    <t>Laser + IOG</t>
  </si>
  <si>
    <t>Laser</t>
  </si>
  <si>
    <t>Laser+IOG</t>
  </si>
  <si>
    <t>ZT-6 Mokopa</t>
  </si>
  <si>
    <t>S-25LD</t>
  </si>
  <si>
    <t>S-25L</t>
  </si>
  <si>
    <t>L-UMTAS</t>
  </si>
  <si>
    <t>Kh-38ML</t>
  </si>
  <si>
    <t>Kh-29L</t>
  </si>
  <si>
    <t>Kh-25ML</t>
  </si>
  <si>
    <t>Kh-25</t>
  </si>
  <si>
    <t>GATR</t>
  </si>
  <si>
    <t>CIRIT</t>
  </si>
  <si>
    <t>BRM1</t>
  </si>
  <si>
    <t>Brimstone</t>
  </si>
  <si>
    <t>BA-9</t>
  </si>
  <si>
    <t>BA-7</t>
  </si>
  <si>
    <t>AS.30L</t>
  </si>
  <si>
    <t>AKD10</t>
  </si>
  <si>
    <t>AKD9</t>
  </si>
  <si>
    <t>AGR-20B</t>
  </si>
  <si>
    <t>AGR-20A</t>
  </si>
  <si>
    <t>AGM-123A Skipper II</t>
  </si>
  <si>
    <t>AGM-114K Hellfire</t>
  </si>
  <si>
    <t>AGM-114F Hellfire</t>
  </si>
  <si>
    <t>AGM-114C Hellfire</t>
  </si>
  <si>
    <t>AGM-114B Hellfire</t>
  </si>
  <si>
    <t>AGM-114A Hellfire</t>
  </si>
  <si>
    <t>AGM-65L Maverick</t>
  </si>
  <si>
    <t>AGM-65E2 Maverick</t>
  </si>
  <si>
    <t>AGM-65E Maverick</t>
  </si>
  <si>
    <t>AASM 500 HAMMER (SBU 56)</t>
  </si>
  <si>
    <t>AASM 250 HAMMER (SBU 54)</t>
  </si>
  <si>
    <t>LOSBR missiles trigger LWS, except for the 9M123 in radar guided mode.</t>
  </si>
  <si>
    <t>Variant used by Ka-52, Mi-28NM</t>
  </si>
  <si>
    <t>Variant used by Su-25T, Su-25TM, Ka-50</t>
  </si>
  <si>
    <t>Variant used by Ka-52, Mi-8AMTSh-VN, Mi-28NM</t>
  </si>
  <si>
    <t>0,7 / 30</t>
  </si>
  <si>
    <t>0,29 / 10</t>
  </si>
  <si>
    <t>Statcard (useless) max G-load: [G]</t>
  </si>
  <si>
    <t>Statcard (useless) guaranteed range: [km]</t>
  </si>
  <si>
    <t>Maximum statcard (useless) speed: [m/s]</t>
  </si>
  <si>
    <t>Max lateral acceleration:</t>
  </si>
  <si>
    <t>Guidance launch sector: [degrees]</t>
  </si>
  <si>
    <t>ZT3A2 Ingwe</t>
  </si>
  <si>
    <t>9M133FM-3 Kornet-M</t>
  </si>
  <si>
    <t>9M133M-2 Kornet-M</t>
  </si>
  <si>
    <t>9M127-1 Vikhr'</t>
  </si>
  <si>
    <t>9M127 Vikhr'</t>
  </si>
  <si>
    <t>9M123M Khrizantema-VM</t>
  </si>
  <si>
    <t>9M120-1 Ataka</t>
  </si>
  <si>
    <t>Swedish TOW-2</t>
  </si>
  <si>
    <t>Swedish TOW</t>
  </si>
  <si>
    <t>Swedish AS.11 / SS.11</t>
  </si>
  <si>
    <t>Copy of H</t>
  </si>
  <si>
    <t>Variant used by Mi-28A, Mi-28N</t>
  </si>
  <si>
    <t>0,45 / 4,5</t>
  </si>
  <si>
    <t>0,261 / 4,5</t>
  </si>
  <si>
    <t>1,17 / 4,5</t>
  </si>
  <si>
    <t>0,54 / 18</t>
  </si>
  <si>
    <t>Thrust vectoring angles: [degrees]</t>
  </si>
  <si>
    <t>1 / 60</t>
  </si>
  <si>
    <t>2 / 40</t>
  </si>
  <si>
    <t>0,26 / 20</t>
  </si>
  <si>
    <t>1,25 / 30</t>
  </si>
  <si>
    <t>0,5 / 30</t>
  </si>
  <si>
    <t>Aim tracking sensitivity:</t>
  </si>
  <si>
    <t>Launch sector: [degrees]</t>
  </si>
  <si>
    <t>RB 55C</t>
  </si>
  <si>
    <t>RB 55B</t>
  </si>
  <si>
    <t>RB 53</t>
  </si>
  <si>
    <t>RB 52</t>
  </si>
  <si>
    <t>Kh-66</t>
  </si>
  <si>
    <t>HOT-3</t>
  </si>
  <si>
    <t>HOT-2</t>
  </si>
  <si>
    <t>HOT-1</t>
  </si>
  <si>
    <t>HJ-9</t>
  </si>
  <si>
    <t>HJ-8L</t>
  </si>
  <si>
    <t>HJ-8H</t>
  </si>
  <si>
    <t>HJ-8E</t>
  </si>
  <si>
    <t>HJ-8C</t>
  </si>
  <si>
    <t>HJ-8A</t>
  </si>
  <si>
    <t>BGM-71D TOW-2</t>
  </si>
  <si>
    <t>BGM-71C ITOW</t>
  </si>
  <si>
    <t>AS.12 Nord 5220</t>
  </si>
  <si>
    <t>AS.11 Nord 5210</t>
  </si>
  <si>
    <t>AGM-22</t>
  </si>
  <si>
    <t>AGM-12B Bullpup (Heli)</t>
  </si>
  <si>
    <t>9M120 Ataka</t>
  </si>
  <si>
    <t>9M114 Kokon</t>
  </si>
  <si>
    <t>9M17P Fleyta</t>
  </si>
  <si>
    <t>9M17M Fleyta</t>
  </si>
  <si>
    <t>9M17 Fleyta</t>
  </si>
  <si>
    <t>9M14M Malyutka</t>
  </si>
  <si>
    <t>9M14-2 Malyutka</t>
  </si>
  <si>
    <t>22.1</t>
  </si>
  <si>
    <t>RB 05A</t>
  </si>
  <si>
    <t>Ki 148</t>
  </si>
  <si>
    <t>Kh-25MR</t>
  </si>
  <si>
    <t>Kh-23M</t>
  </si>
  <si>
    <t>AS.30 5401</t>
  </si>
  <si>
    <t>AS.20 5110</t>
  </si>
  <si>
    <t>AGM-12C Bullpup</t>
  </si>
  <si>
    <t>AGM-12B Bullpup</t>
  </si>
  <si>
    <t>Copy of KAB-500Kr-E</t>
  </si>
  <si>
    <t>Target elevation:</t>
  </si>
  <si>
    <t>Loft angle:</t>
  </si>
  <si>
    <t>20 / 85</t>
  </si>
  <si>
    <t>15 / 60</t>
  </si>
  <si>
    <t>10 / 5</t>
  </si>
  <si>
    <t>Lock-on range (vehicle): [km]</t>
  </si>
  <si>
    <t>Warhead properties</t>
  </si>
  <si>
    <t>KAB-1500Kr</t>
  </si>
  <si>
    <t>KAB-500Kr-M</t>
  </si>
  <si>
    <t>KAB-500Kr-E</t>
  </si>
  <si>
    <t>KAB-500Kr</t>
  </si>
  <si>
    <t>KAB-50TV</t>
  </si>
  <si>
    <t>GBU-15(V)21/B</t>
  </si>
  <si>
    <t>GBU-15(V)1/B</t>
  </si>
  <si>
    <t>GBU-8/B</t>
  </si>
  <si>
    <t>AGM-62A Walleye I ER</t>
  </si>
  <si>
    <t>AGM-62A Walleye I</t>
  </si>
  <si>
    <t>Mk. 82 (GCS-1)</t>
  </si>
  <si>
    <t>JM117 (GCS-1)</t>
  </si>
  <si>
    <t>GBU-15(V)22/B</t>
  </si>
  <si>
    <t>GBU-15(V)2/B</t>
  </si>
  <si>
    <t>AF and Navy version are the same</t>
  </si>
  <si>
    <t>UPAB-1500B</t>
  </si>
  <si>
    <t>UPAB-500B</t>
  </si>
  <si>
    <t>LS-6/500</t>
  </si>
  <si>
    <t>LS-6/250</t>
  </si>
  <si>
    <t>Kh-36 Grom-2</t>
  </si>
  <si>
    <t>KAB-500S</t>
  </si>
  <si>
    <t>KAB-50S</t>
  </si>
  <si>
    <t>GBU-39A/B SDB</t>
  </si>
  <si>
    <t>GBU-38(V)2/B JDAM</t>
  </si>
  <si>
    <t>GBU-38(V)1/B JDAM</t>
  </si>
  <si>
    <t>GBU-32(V)1/B JDAM</t>
  </si>
  <si>
    <t>GBU-31(V)2/B JDAM</t>
  </si>
  <si>
    <t>GBU-31(V)1/B JDAM</t>
  </si>
  <si>
    <t>FAB-3000 s UMPK</t>
  </si>
  <si>
    <t>Paveway IV</t>
  </si>
  <si>
    <t>Mk. 18 (LGB Paveway)</t>
  </si>
  <si>
    <t>Mk. 13 (LGB Paveway)</t>
  </si>
  <si>
    <t>KAB-1500LG</t>
  </si>
  <si>
    <t>KAB-1500L</t>
  </si>
  <si>
    <t>KAB-500LG</t>
  </si>
  <si>
    <t>KAB-500L-F-E</t>
  </si>
  <si>
    <t>KAB-250LG</t>
  </si>
  <si>
    <t>KAB-50L</t>
  </si>
  <si>
    <t>GBU-58/B Paveway II</t>
  </si>
  <si>
    <t>GBU-54(V)1/B LJDAM</t>
  </si>
  <si>
    <t>GBU-50/B Paveway II</t>
  </si>
  <si>
    <t>GBU-49(V)1/B Paveway II</t>
  </si>
  <si>
    <t>GBU-48(V)1/B Paveway II</t>
  </si>
  <si>
    <t>GBU-27/B Paveway III</t>
  </si>
  <si>
    <t>GBU-24E/B Paveway III</t>
  </si>
  <si>
    <t>GBU-24/B Paveway III</t>
  </si>
  <si>
    <t>GBU-22/B Paveway III</t>
  </si>
  <si>
    <t>GBU-16/B Paveway II</t>
  </si>
  <si>
    <t>GBU-12/B Paveway II</t>
  </si>
  <si>
    <t>GBU-10C/B Paveway II</t>
  </si>
  <si>
    <t>GB-1000 (GB5)</t>
  </si>
  <si>
    <t>GB-500 (GB1)</t>
  </si>
  <si>
    <t>GB-250 (GB3)</t>
  </si>
  <si>
    <t>BGL-1000</t>
  </si>
  <si>
    <t>BGL-400</t>
  </si>
  <si>
    <t>BAFG-230 (Lizard 2)</t>
  </si>
  <si>
    <t>Countermeasure detection range: [km]</t>
  </si>
  <si>
    <t>MIM-72G Improved Chaparral</t>
  </si>
  <si>
    <t>MIM-72E Improved Chaparral</t>
  </si>
  <si>
    <t>MIM-72C Improved Chaparral</t>
  </si>
  <si>
    <t>HN-6</t>
  </si>
  <si>
    <t>FIM-92K Stinger</t>
  </si>
  <si>
    <t>FIM-92E Stinger</t>
  </si>
  <si>
    <t>C-1</t>
  </si>
  <si>
    <t>9M39 Igla</t>
  </si>
  <si>
    <t>Type 91 (SAM-3)</t>
  </si>
  <si>
    <t>Type 81C (SAM-1C)</t>
  </si>
  <si>
    <t>9M37M</t>
  </si>
  <si>
    <t>Because all of these SAMs are LOS guided, the missiles cannot be guided through clouds.</t>
  </si>
  <si>
    <t>Anti-air variant of 9M133</t>
  </si>
  <si>
    <t>2,01 s / 100%</t>
  </si>
  <si>
    <t>1,5 s / 70%</t>
  </si>
  <si>
    <t>1 s / 50%</t>
  </si>
  <si>
    <t>0 s / 10%</t>
  </si>
  <si>
    <t>Maximum launch angle: [degrees]</t>
  </si>
  <si>
    <t>Starstreak HVM (dart)</t>
  </si>
  <si>
    <t>Starstreak HVM</t>
  </si>
  <si>
    <t>RB 70 Mk. 2</t>
  </si>
  <si>
    <t>RB 70 Mk. 1</t>
  </si>
  <si>
    <t>MIM-146A ADATS</t>
  </si>
  <si>
    <t>BOLIDE</t>
  </si>
  <si>
    <t>Identical to the Roland 1</t>
  </si>
  <si>
    <t>Also used by the airfield SAMs</t>
  </si>
  <si>
    <t>Vertical launch, engine fires 0.75 second after launch, has 12000 Nm torque for orientation, minimum range of 1.2 km</t>
  </si>
  <si>
    <t>Has slight lofting when shooting at low alt targets</t>
  </si>
  <si>
    <t>Anti-air variant of 9M120</t>
  </si>
  <si>
    <t>1,44 / 18</t>
  </si>
  <si>
    <t>1,332 / 11,79</t>
  </si>
  <si>
    <t>3,01 s / 100%</t>
  </si>
  <si>
    <t>3 s / 100%</t>
  </si>
  <si>
    <t>2,5 s / 70%</t>
  </si>
  <si>
    <t>2,11 s / 100%</t>
  </si>
  <si>
    <t>2 s / 50%</t>
  </si>
  <si>
    <t>2,1 s / 0%</t>
  </si>
  <si>
    <t>VT1</t>
  </si>
  <si>
    <t>Roland 3</t>
  </si>
  <si>
    <t>Roland 2</t>
  </si>
  <si>
    <t>Roland 1</t>
  </si>
  <si>
    <t>HQ-17</t>
  </si>
  <si>
    <t>57E6</t>
  </si>
  <si>
    <t>9M331</t>
  </si>
  <si>
    <t>9M311-1M Treugolnik</t>
  </si>
  <si>
    <t>9M311 Treugolnik</t>
  </si>
  <si>
    <t>9M220O</t>
  </si>
  <si>
    <t>9M33M3</t>
  </si>
  <si>
    <t>Spike LR2</t>
  </si>
  <si>
    <t>QN502C</t>
  </si>
  <si>
    <t>287 mm / 5000 m</t>
  </si>
  <si>
    <t>400 mm / 4000 m</t>
  </si>
  <si>
    <t>540 mm / 3000 m</t>
  </si>
  <si>
    <t>611 mm / 2500 m</t>
  </si>
  <si>
    <t>675 mm / 2000 m</t>
  </si>
  <si>
    <t>702 mm / 1750 m</t>
  </si>
  <si>
    <t>729 mm / 1500 m</t>
  </si>
  <si>
    <t>755 mm / 1250 m</t>
  </si>
  <si>
    <t>Penetration &lt;1 km depends on speed, afterwards uses a fixed table instead:
775 mm / 1000 m</t>
  </si>
  <si>
    <t>11.83 kg, 30 mm wide,  Long core APFSDS penetrator</t>
  </si>
  <si>
    <t>Can be used in either laser or in radar beam riding mode. Dual guidance is possible, where one missile is guided by laser, while the other is guided by radar</t>
  </si>
  <si>
    <t>Maximum G-overload:</t>
  </si>
  <si>
    <t>complicated, see below</t>
  </si>
  <si>
    <t>APFSDS</t>
  </si>
  <si>
    <t>ZT3A1 Swift</t>
  </si>
  <si>
    <t>MGM-166A LOSAT</t>
  </si>
  <si>
    <t>GP125</t>
  </si>
  <si>
    <t>Falarick 105</t>
  </si>
  <si>
    <t>APS04-105</t>
  </si>
  <si>
    <t>APS03-100</t>
  </si>
  <si>
    <t>ACRA</t>
  </si>
  <si>
    <t>9M133 Kornet-M</t>
  </si>
  <si>
    <t>9M123M Khrizantema-M</t>
  </si>
  <si>
    <t>9M123F Khrizantema</t>
  </si>
  <si>
    <t>9M119M1 Invar-M</t>
  </si>
  <si>
    <t>9M119 Refleks</t>
  </si>
  <si>
    <t>9M117M1 Arkan</t>
  </si>
  <si>
    <t>9M117 Bastion (3UBK10-2)</t>
  </si>
  <si>
    <t>9M117 Bastion (3UBK10-1/3)</t>
  </si>
  <si>
    <t>Uses Top-down attack.</t>
  </si>
  <si>
    <t>Swedish ITOW</t>
  </si>
  <si>
    <t>The two Shillelagh missiles are identical.</t>
  </si>
  <si>
    <t>1,44 / 4,5</t>
  </si>
  <si>
    <t>2,7 / 4,5</t>
  </si>
  <si>
    <t>2 s / 40%</t>
  </si>
  <si>
    <t>0,5 s / 30%</t>
  </si>
  <si>
    <t>0,45 s / 0%</t>
  </si>
  <si>
    <t>Type 79 ASM</t>
  </si>
  <si>
    <t>Type 79</t>
  </si>
  <si>
    <t>Swingfire Mk. 2</t>
  </si>
  <si>
    <t>Swingfire</t>
  </si>
  <si>
    <t>SS.11B</t>
  </si>
  <si>
    <t>Rubin</t>
  </si>
  <si>
    <t>RB 56 BILL II</t>
  </si>
  <si>
    <t>QN201</t>
  </si>
  <si>
    <t>MILAN 2</t>
  </si>
  <si>
    <t>MILAN</t>
  </si>
  <si>
    <t>MGM-51C Shillelagh</t>
  </si>
  <si>
    <t>MGM-51B Shillelagh</t>
  </si>
  <si>
    <t>HOT</t>
  </si>
  <si>
    <t>BGM-71F TOW-2B</t>
  </si>
  <si>
    <t>BGM-71E TOW-2A</t>
  </si>
  <si>
    <t>BGM-71A TOW</t>
  </si>
  <si>
    <t>AFT09 (HJ-9)</t>
  </si>
  <si>
    <t>AFT07E (HJ-73E)</t>
  </si>
  <si>
    <t>9M120F-1 Ataka</t>
  </si>
  <si>
    <t>9M114 Shturm</t>
  </si>
  <si>
    <t>9M113 Konkurs</t>
  </si>
  <si>
    <t>9M112 Kobra</t>
  </si>
  <si>
    <t>3M7 Drakon</t>
  </si>
  <si>
    <t>Chinese 9M14</t>
  </si>
  <si>
    <t>SS.11</t>
  </si>
  <si>
    <t>ATM-1 (Type 64)</t>
  </si>
  <si>
    <t>AFT07 (HJ-73)</t>
  </si>
  <si>
    <t>9M14 Malyutka</t>
  </si>
  <si>
    <t>Sea skimming:</t>
  </si>
  <si>
    <t>2,3 s / 100%</t>
  </si>
  <si>
    <t>1 s / 60%</t>
  </si>
  <si>
    <t>0,26 s / 20%</t>
  </si>
  <si>
    <t>0,25 s / 0%</t>
  </si>
  <si>
    <t>SSM-1B</t>
  </si>
  <si>
    <t>Otomat Mk. 1</t>
  </si>
  <si>
    <t>Nettuno Mk. 1</t>
  </si>
  <si>
    <t>9M36</t>
  </si>
  <si>
    <t>9M32M</t>
  </si>
  <si>
    <t>V-601</t>
  </si>
  <si>
    <t>RIM-24A Tartar</t>
  </si>
  <si>
    <t>-55 / 38</t>
  </si>
  <si>
    <t>-80 / 15</t>
  </si>
  <si>
    <t>-30 / 30</t>
  </si>
  <si>
    <t>-20 / 20</t>
  </si>
  <si>
    <t>Vertical limits: [degrees]</t>
  </si>
  <si>
    <t>-38 / 38</t>
  </si>
  <si>
    <t>-35 / 35</t>
  </si>
  <si>
    <t>Horizontal limits: [degrees]</t>
  </si>
  <si>
    <t>PGM 500, PGM 2000</t>
  </si>
  <si>
    <t>KAB-500Kr, Kh-29TE</t>
  </si>
  <si>
    <t>KAB-500Kr-M, KAB-1500Kr, Kh-29TD</t>
  </si>
  <si>
    <t>KAB-500Kr, KAB-1500Kr, Kh-29TD</t>
  </si>
  <si>
    <t>KAB-500Kr, Kh-29T</t>
  </si>
  <si>
    <t>KAB-500Kr-E, Kh-29TE</t>
  </si>
  <si>
    <t>KAB-500Kr-M, KAB-1500Kr, Kh-29TE</t>
  </si>
  <si>
    <t>KAB-500Kr-E, Kh-29TD</t>
  </si>
  <si>
    <t>AGM-65H</t>
  </si>
  <si>
    <t>AGM-65B</t>
  </si>
  <si>
    <t>Flz,Lwf, LB 82</t>
  </si>
  <si>
    <t>AGM-65B, GBU-8/B</t>
  </si>
  <si>
    <t>AGM-65D</t>
  </si>
  <si>
    <t>AGM-62A, AGM-65B, GBU-8/B, GBU-15(V)1/B</t>
  </si>
  <si>
    <t>AJ,168</t>
  </si>
  <si>
    <t>RB 75, RB 75T</t>
  </si>
  <si>
    <t>AGM-62A ER</t>
  </si>
  <si>
    <t>AGM-65A, GBU-8/B</t>
  </si>
  <si>
    <t>AGM-62A ER, AGM-65A, GBU-8/B</t>
  </si>
  <si>
    <t>AGM-62A ER, GBU-8/B</t>
  </si>
  <si>
    <t>AGM-62A, GBU-8/B</t>
  </si>
  <si>
    <t>AGM-62A</t>
  </si>
  <si>
    <t>Weapon name:</t>
  </si>
  <si>
    <t>800 x 600</t>
  </si>
  <si>
    <t>1200 x 800</t>
  </si>
  <si>
    <t>500 x 300</t>
  </si>
  <si>
    <t>640 x 512</t>
  </si>
  <si>
    <t>Thermal resolution:</t>
  </si>
  <si>
    <t>-60 / 60</t>
  </si>
  <si>
    <t>PGM 500/3, PGM 2000/3</t>
  </si>
  <si>
    <t>AASM 250 (SBU 64), PGM 500/3, PGM 2000/3</t>
  </si>
  <si>
    <t>AGM-65G</t>
  </si>
  <si>
    <t>AGM-65G, RB 75T</t>
  </si>
  <si>
    <t>AGM-65D, AGM-65G</t>
  </si>
  <si>
    <t>AGM-65D, AGM-65G, AGM-130A-12, GBU-15(V)2/B</t>
  </si>
  <si>
    <t>AGM-65D, GBU-15(V)2/B</t>
  </si>
  <si>
    <t>AGM-65G, AGM-130A-12, GBU-15(V)2/B</t>
  </si>
  <si>
    <t>AGM-65D, GBU-15(V)1/B</t>
  </si>
  <si>
    <t>Weapon sights</t>
  </si>
  <si>
    <t>900 x 500</t>
  </si>
  <si>
    <t>1024 x 768</t>
  </si>
  <si>
    <t>NVD resolution:</t>
  </si>
  <si>
    <t>1080 x 720</t>
  </si>
  <si>
    <t>3,09x / 95,66x</t>
  </si>
  <si>
    <t>7,38x / 30,69x</t>
  </si>
  <si>
    <t>4,11x / 49,11x</t>
  </si>
  <si>
    <t>6,15x / 23,02x</t>
  </si>
  <si>
    <t>12,28x / 147,32x</t>
  </si>
  <si>
    <t>4,11x / 73,66x</t>
  </si>
  <si>
    <t>6,15x / 25,4x</t>
  </si>
  <si>
    <t>3,53x / 94,43x</t>
  </si>
  <si>
    <t>7,38x / 38,77x</t>
  </si>
  <si>
    <t>12,55x / 44,64x</t>
  </si>
  <si>
    <t>3,01x / 9,57x</t>
  </si>
  <si>
    <t>3,95x / 24,56x</t>
  </si>
  <si>
    <t>Zoom:</t>
  </si>
  <si>
    <t>-149 / 29</t>
  </si>
  <si>
    <t>-154 / 34</t>
  </si>
  <si>
    <t>-159 / 14</t>
  </si>
  <si>
    <t>-160 / 15</t>
  </si>
  <si>
    <t>-30 / 5</t>
  </si>
  <si>
    <t>-89 / 89</t>
  </si>
  <si>
    <t>-160 / 160</t>
  </si>
  <si>
    <t>-160 / 110</t>
  </si>
  <si>
    <t>LITENING III</t>
  </si>
  <si>
    <t>TIALD</t>
  </si>
  <si>
    <t>LITENING II</t>
  </si>
  <si>
    <t>CLDP</t>
  </si>
  <si>
    <t>ATLIS II</t>
  </si>
  <si>
    <t>Mercury</t>
  </si>
  <si>
    <t>DAMOCLES</t>
  </si>
  <si>
    <t>K/PSZ01</t>
  </si>
  <si>
    <t>K/JDC03A</t>
  </si>
  <si>
    <t>ASELPOD</t>
  </si>
  <si>
    <t>Pave Tack</t>
  </si>
  <si>
    <t>LANTIRN</t>
  </si>
  <si>
    <t>Pave Spike</t>
  </si>
  <si>
    <t>LANA</t>
  </si>
  <si>
    <t>Targeting pod</t>
  </si>
  <si>
    <t>2,14x / 14,74x</t>
  </si>
  <si>
    <t>5,9x / 147,32x</t>
  </si>
  <si>
    <t>61,38x</t>
  </si>
  <si>
    <t>4,11x / 81,84x</t>
  </si>
  <si>
    <t>20,02x</t>
  </si>
  <si>
    <t>3x / 63,5x</t>
  </si>
  <si>
    <t>10x</t>
  </si>
  <si>
    <t>2,5x / 10x</t>
  </si>
  <si>
    <t>6x</t>
  </si>
  <si>
    <t>3,7x / 92,07x</t>
  </si>
  <si>
    <t>29,94x</t>
  </si>
  <si>
    <t>3,7x / 73,66x</t>
  </si>
  <si>
    <t>9,21x / 36,83x</t>
  </si>
  <si>
    <t>3,3x / 10x</t>
  </si>
  <si>
    <t>8x</t>
  </si>
  <si>
    <t>12,28x / 66,96x</t>
  </si>
  <si>
    <t>2x / 13,02x</t>
  </si>
  <si>
    <t>3x / 12x</t>
  </si>
  <si>
    <t>23,02x</t>
  </si>
  <si>
    <t>15,01x</t>
  </si>
  <si>
    <t>3,2x / 10,81x</t>
  </si>
  <si>
    <t>10x / 19,04x</t>
  </si>
  <si>
    <t>2x / 13x</t>
  </si>
  <si>
    <t>27x</t>
  </si>
  <si>
    <t>6,15x / 46,04x</t>
  </si>
  <si>
    <t>4,92x / 36,83x</t>
  </si>
  <si>
    <t>1,51 x 1,86</t>
  </si>
  <si>
    <t>1,51x / 1,86x</t>
  </si>
  <si>
    <t>73,66x</t>
  </si>
  <si>
    <t>4x / 10x</t>
  </si>
  <si>
    <t>-80 / 19</t>
  </si>
  <si>
    <t>-90 / 90</t>
  </si>
  <si>
    <t>-80 / 30</t>
  </si>
  <si>
    <t>-50 / 25</t>
  </si>
  <si>
    <t>-25 / 30</t>
  </si>
  <si>
    <t>-49 / 24</t>
  </si>
  <si>
    <t>-45 / 8</t>
  </si>
  <si>
    <t>-59 / 24</t>
  </si>
  <si>
    <t>-24 / 39</t>
  </si>
  <si>
    <t>-40 / 20</t>
  </si>
  <si>
    <t>-39 / 24</t>
  </si>
  <si>
    <t>-40 / 25</t>
  </si>
  <si>
    <t>-55 / 25</t>
  </si>
  <si>
    <t>-39 / 12</t>
  </si>
  <si>
    <t>-55 / 3</t>
  </si>
  <si>
    <t>-55 / 15</t>
  </si>
  <si>
    <t>-89 / 60</t>
  </si>
  <si>
    <t>-55 / 8</t>
  </si>
  <si>
    <t>-80 / 20</t>
  </si>
  <si>
    <t>-25 / 25</t>
  </si>
  <si>
    <t>-160 / 1</t>
  </si>
  <si>
    <t>-30 / 6</t>
  </si>
  <si>
    <t>-14 / 60</t>
  </si>
  <si>
    <t>-0,1 / 0,1</t>
  </si>
  <si>
    <t>-140 / -5</t>
  </si>
  <si>
    <t>-15 / 15</t>
  </si>
  <si>
    <t>-180 / 180</t>
  </si>
  <si>
    <t>-115 / 115</t>
  </si>
  <si>
    <t>-115 / 90</t>
  </si>
  <si>
    <t>-75 / 75</t>
  </si>
  <si>
    <t>-114 / 89</t>
  </si>
  <si>
    <t>-119 / 119</t>
  </si>
  <si>
    <t>-50 / 50</t>
  </si>
  <si>
    <t>-49 / 49</t>
  </si>
  <si>
    <t>-125 / 125</t>
  </si>
  <si>
    <t>-109 / 109</t>
  </si>
  <si>
    <t>-95 / 95</t>
  </si>
  <si>
    <t>-135 / 135</t>
  </si>
  <si>
    <t>-114 / 114</t>
  </si>
  <si>
    <t>-12 / 12</t>
  </si>
  <si>
    <t>-45 / 45</t>
  </si>
  <si>
    <t>TV</t>
  </si>
  <si>
    <t>Type:</t>
  </si>
  <si>
    <t>Built-in sights</t>
  </si>
  <si>
    <t>ZALA 421-16EM (Z-16IK35)</t>
  </si>
  <si>
    <t>ZALA 421-16EM</t>
  </si>
  <si>
    <t>Yi Long 1</t>
  </si>
  <si>
    <t>Raven's Eye</t>
  </si>
  <si>
    <t>Orion</t>
  </si>
  <si>
    <t>MQ-1A</t>
  </si>
  <si>
    <t>Z-19E</t>
  </si>
  <si>
    <t>Z-19</t>
  </si>
  <si>
    <t>Z-11WA</t>
  </si>
  <si>
    <t>Z-10</t>
  </si>
  <si>
    <t>Z-9WA</t>
  </si>
  <si>
    <t>Z-9W</t>
  </si>
  <si>
    <t>YAH-64A</t>
  </si>
  <si>
    <t>Wessex H.U. Mk. 5</t>
  </si>
  <si>
    <t>Wasp H.A.S. Mk. 1</t>
  </si>
  <si>
    <t>UH-1D</t>
  </si>
  <si>
    <t>UH-1C (XM30)</t>
  </si>
  <si>
    <t>UH-1C</t>
  </si>
  <si>
    <t>UH-1B</t>
  </si>
  <si>
    <t>UH Tiger</t>
  </si>
  <si>
    <t>Tigre HAP/F</t>
  </si>
  <si>
    <t>Tigre HAD/F B2</t>
  </si>
  <si>
    <t>Tigre HAD/F B1</t>
  </si>
  <si>
    <t>T129</t>
  </si>
  <si>
    <t>SuperHind</t>
  </si>
  <si>
    <t>Scout A.H. Mk. 1</t>
  </si>
  <si>
    <t>SA 342 M</t>
  </si>
  <si>
    <t>SA 342 L1</t>
  </si>
  <si>
    <t>SA 341 F</t>
  </si>
  <si>
    <t>SA 316 B</t>
  </si>
  <si>
    <t>SE 313 B [DEU]</t>
  </si>
  <si>
    <t>SE 313 B</t>
  </si>
  <si>
    <t>Rooivalk Mk. 1</t>
  </si>
  <si>
    <t>OH-58D [CHN]</t>
  </si>
  <si>
    <t>OH-58D</t>
  </si>
  <si>
    <t>Mi-35M [CHN]</t>
  </si>
  <si>
    <t>Mi-35M</t>
  </si>
  <si>
    <t>Mi-28NM</t>
  </si>
  <si>
    <t>Mi-28N</t>
  </si>
  <si>
    <t>Mi-28A</t>
  </si>
  <si>
    <t>Mi-24V [ITA]</t>
  </si>
  <si>
    <t>Mi-24V</t>
  </si>
  <si>
    <t>Mi-24P [ITA]</t>
  </si>
  <si>
    <t>Mi-24P (HFS 80)</t>
  </si>
  <si>
    <t>Mi-24P [DEU]</t>
  </si>
  <si>
    <t>Mi-24P</t>
  </si>
  <si>
    <t>Mi-24D [ITA]</t>
  </si>
  <si>
    <t>Mi-24D</t>
  </si>
  <si>
    <t>Mi-24A</t>
  </si>
  <si>
    <t>Mi-8TV</t>
  </si>
  <si>
    <t>Mi-8TBK ("Mi-8TB") [DEU]</t>
  </si>
  <si>
    <t>Mi-8AMTSh-VN</t>
  </si>
  <si>
    <t>Mi-8AMTSh</t>
  </si>
  <si>
    <t>Mi-4AV</t>
  </si>
  <si>
    <t>MH-60L DAP</t>
  </si>
  <si>
    <t>MD 500/Orev "Lahatut"</t>
  </si>
  <si>
    <t>Lynx A.H. Mk. 1</t>
  </si>
  <si>
    <t>Ka-52</t>
  </si>
  <si>
    <t>Ka-50</t>
  </si>
  <si>
    <t>Ka-29</t>
  </si>
  <si>
    <t>I.A.R.316 B</t>
  </si>
  <si>
    <t>hkp 9A (FC)</t>
  </si>
  <si>
    <t>hkp 9A</t>
  </si>
  <si>
    <t>hkp 3C</t>
  </si>
  <si>
    <t>hkp 2</t>
  </si>
  <si>
    <t>H-34A [FRA]</t>
  </si>
  <si>
    <t>CH-34A</t>
  </si>
  <si>
    <t>G-LYNX</t>
  </si>
  <si>
    <t>BO 105 PAH 1 A1</t>
  </si>
  <si>
    <t>BO 105 PAH 1</t>
  </si>
  <si>
    <t>BO 105 CB-2 (HeliTOW)</t>
  </si>
  <si>
    <t>Apache A.H. Mk. 1</t>
  </si>
  <si>
    <t>AH-64D Saraph</t>
  </si>
  <si>
    <t>AH-64D [JPN]</t>
  </si>
  <si>
    <t>AH-64D [FRA]</t>
  </si>
  <si>
    <t>AH-64D</t>
  </si>
  <si>
    <t>AH-64A
("AHS") [SWE]</t>
  </si>
  <si>
    <t>AH-64A Peten (PV624)</t>
  </si>
  <si>
    <t>AH-64A Peten [USA]</t>
  </si>
  <si>
    <t>AH-64A Peten</t>
  </si>
  <si>
    <t>AH-64A ([GRC])</t>
  </si>
  <si>
    <t>AH-64A</t>
  </si>
  <si>
    <t>ABH Demonstrator
("AH-60")</t>
  </si>
  <si>
    <t>AH-6M</t>
  </si>
  <si>
    <t>AH-1Z</t>
  </si>
  <si>
    <t>AH-1W [CHN]</t>
  </si>
  <si>
    <t>AH-1W</t>
  </si>
  <si>
    <t>AH-1S (4th ATHU) "Kisarazu"</t>
  </si>
  <si>
    <t>AH-1S</t>
  </si>
  <si>
    <t>AH-1Q Tzefa</t>
  </si>
  <si>
    <t>AH-1F Tzefa</t>
  </si>
  <si>
    <t>AH-1F</t>
  </si>
  <si>
    <t>AH-1E</t>
  </si>
  <si>
    <t>AH-129D</t>
  </si>
  <si>
    <t>AH-129C</t>
  </si>
  <si>
    <t>A129 (ATP)</t>
  </si>
  <si>
    <t>MRH-109A
("A109 EOA-2")</t>
  </si>
  <si>
    <t>Tornado G.R. Mk. 4</t>
  </si>
  <si>
    <t>Tornado G.R. Mk. 1</t>
  </si>
  <si>
    <t>IDS-Tornado (ASSTA 1)</t>
  </si>
  <si>
    <t>A-200A (1995) ("Italian IDS-Tornado (1995)")</t>
  </si>
  <si>
    <t>Super Étendard</t>
  </si>
  <si>
    <t>Su-25TM ("Su-39")</t>
  </si>
  <si>
    <t>Su-34 NVO</t>
  </si>
  <si>
    <t>Su-27SM</t>
  </si>
  <si>
    <t>Su-25T</t>
  </si>
  <si>
    <t>Su-25SM3</t>
  </si>
  <si>
    <t>Su-25 (558-j ARZ) ("Su-25BM")</t>
  </si>
  <si>
    <t>Su-25</t>
  </si>
  <si>
    <t>Su-24M2</t>
  </si>
  <si>
    <t>Su-22UM3K</t>
  </si>
  <si>
    <t>Su-22M4 (WTD 61)</t>
  </si>
  <si>
    <t>Su-22M4</t>
  </si>
  <si>
    <t>Su-22M3 [ITA]</t>
  </si>
  <si>
    <t>Su-17M4</t>
  </si>
  <si>
    <t>Rafale C</t>
  </si>
  <si>
    <t>Q-5L</t>
  </si>
  <si>
    <t>Mirage 2000 D RMV</t>
  </si>
  <si>
    <t>Mirage 2000 D R2</t>
  </si>
  <si>
    <t>Mirage 2000-5 F</t>
  </si>
  <si>
    <t>MiG-29SMT</t>
  </si>
  <si>
    <t>MiG-27M</t>
  </si>
  <si>
    <t>MiG-27K</t>
  </si>
  <si>
    <t>MiG-21 Bison</t>
  </si>
  <si>
    <t>Kfir Block 60</t>
  </si>
  <si>
    <t>JAS 39C EBS HU</t>
  </si>
  <si>
    <t>B.Kh.20 ("JAS 39C") [JPN]</t>
  </si>
  <si>
    <t>JAS 39C</t>
  </si>
  <si>
    <t>Gripen C [GBR]</t>
  </si>
  <si>
    <t>JAS 39A</t>
  </si>
  <si>
    <t>Jaguar IS (DARIN II)</t>
  </si>
  <si>
    <t>Jaguar G.R. Mk. 1A</t>
  </si>
  <si>
    <t>Jaguar E</t>
  </si>
  <si>
    <t>Hunter Mk. 58A</t>
  </si>
  <si>
    <t>Harrier G.R. Mk. 7</t>
  </si>
  <si>
    <t>F-117A OCIP II</t>
  </si>
  <si>
    <t>F-111C</t>
  </si>
  <si>
    <t>F-20A</t>
  </si>
  <si>
    <t>F-16D-40 Barak II</t>
  </si>
  <si>
    <t>F-16C-50</t>
  </si>
  <si>
    <t>F-16C-40 Barak II</t>
  </si>
  <si>
    <t>F-16AM-15</t>
  </si>
  <si>
    <t>F-16AJ</t>
  </si>
  <si>
    <t>F-16A-20 [CHN]</t>
  </si>
  <si>
    <t>B.Kh.19 ("F-16A-15OCU") [JPN]</t>
  </si>
  <si>
    <t>F-16A-15 [FRA]</t>
  </si>
  <si>
    <t>F-16A-10 Netz</t>
  </si>
  <si>
    <t>F-16A-10</t>
  </si>
  <si>
    <t>F-15I Ra'am</t>
  </si>
  <si>
    <t>F-15E</t>
  </si>
  <si>
    <t>F-15C Baz Mshupar</t>
  </si>
  <si>
    <t>F-15A Baz</t>
  </si>
  <si>
    <t>F-15A</t>
  </si>
  <si>
    <t>B.Kh.18Kh (2003) ("F-5T")</t>
  </si>
  <si>
    <t>B.Kh.18Kh
("F-5E FCU")</t>
  </si>
  <si>
    <t>F-5E [CHN]</t>
  </si>
  <si>
    <t>F-4F KWS-LV</t>
  </si>
  <si>
    <t>F-4F (late)</t>
  </si>
  <si>
    <t>F-4E Kurnass 2000</t>
  </si>
  <si>
    <t>F-4E Kurnass</t>
  </si>
  <si>
    <t>Typhoon F.G.R. Mk. 4</t>
  </si>
  <si>
    <t>F-2000A</t>
  </si>
  <si>
    <t>Eurofighter [DEU]</t>
  </si>
  <si>
    <t>Buccaneer S. Mk. 2B</t>
  </si>
  <si>
    <t>AV-8B Plus [ITA]</t>
  </si>
  <si>
    <t>AV-8B Radar
("AV-8B Plus")</t>
  </si>
  <si>
    <t>A-11A
("AMX")</t>
  </si>
  <si>
    <t>A-1A
("AMX A-1A")</t>
  </si>
  <si>
    <t>AJS 37</t>
  </si>
  <si>
    <t>AJ 37</t>
  </si>
  <si>
    <t>A-10A (late)</t>
  </si>
  <si>
    <t>A-10A (early)</t>
  </si>
  <si>
    <t>B.JT.1K
("A-7E") [JPN]</t>
  </si>
  <si>
    <t>A-7D</t>
  </si>
  <si>
    <t>A-4N Ayit</t>
  </si>
  <si>
    <t>A-4E Ayit (late)</t>
  </si>
  <si>
    <t>A-4E Ayit (early)</t>
  </si>
  <si>
    <t>A-4E</t>
  </si>
  <si>
    <t>Freeze top row and left column, difficult to compare without
Add time for IRCCM FOV reduction if possible
Otherwise great sheet, I reference this a lot o7</t>
  </si>
  <si>
    <t xml:space="preserve">F-15A can let go of the target and then lock again after and the sparrow tracks. My testing showed that its not limited by time(the reconnect).
my discord if u wanna talk bout it or u want me to show u what I mean: gg_games.idk
</t>
  </si>
  <si>
    <t>AIM-7F no datalink reconnect</t>
  </si>
  <si>
    <t>Fix it if it is an error, or add something to additional notes explaining it if it is not</t>
  </si>
  <si>
    <t>The J-10A and the JH-7A use the same K/JDC03A targeting pod, but on the TGP and sights tab they have different zoom and thermal resolution figures.</t>
  </si>
  <si>
    <t>Maybe make it say something like "AIM-7M Sparrow (F-15)" and etc?</t>
  </si>
  <si>
    <t>Disregard 2025.01.02. 22:57:10, I found the difference</t>
  </si>
  <si>
    <t>confirm its not just me?</t>
  </si>
  <si>
    <t>AASM 250 HAMMER (SBU 64) target lock range seems to be 10 km, above that it just locks ground</t>
  </si>
  <si>
    <t>Fix it!</t>
  </si>
  <si>
    <t>The AIM-7M and Super 530F and maybe more have multiplied.</t>
  </si>
  <si>
    <t>The rb05a is both an air to ground and air to air missile, but seeing as the spreadsheet only has the option for one, it would make more sense for it to be listed as an air to air missile.</t>
  </si>
  <si>
    <t>Placement of the rb05a</t>
  </si>
  <si>
    <t>add back TC-1L to SAM(IR)</t>
  </si>
  <si>
    <t>TC-1L seems to be missing</t>
  </si>
  <si>
    <t>Guidance start delay: [s]	-(AIM-54A)	2,5(AIM--54B)
thus
Additional Notes: Copy-paste AIM-54A(AIM-54B) 
is not entirely true</t>
  </si>
  <si>
    <t>Also add property names to missle GBUs pls 👉👈</t>
  </si>
  <si>
    <t>Update A4 on first sheet</t>
  </si>
  <si>
    <t>this sheet is always a great fucking help, so know that you're appreciated :))</t>
  </si>
  <si>
    <t>love the work you all do (however many are on this project)</t>
  </si>
  <si>
    <t>add it lol
love you missile daddies &lt;3</t>
  </si>
  <si>
    <t>missing the agm-130a-12 of the f111f</t>
  </si>
  <si>
    <t>No brimstone missile in doc</t>
  </si>
  <si>
    <t>Appears to perform exactly as AIM-9L/I, but with smokeless motor. Likely able to copy-paste most information for new missile.</t>
  </si>
  <si>
    <t>AIM-9L/I-1 not listed in IR All Aspect (Mounted on EF-2000 (DE))</t>
  </si>
  <si>
    <t>Add the AIM-9L/I-1 found on the German EFT</t>
  </si>
  <si>
    <t>Missing AAM IR</t>
  </si>
  <si>
    <t xml:space="preserve">It's same as KAB-1500L
</t>
  </si>
  <si>
    <t>KAB-1500Kr has Wing Area Multipiler 25</t>
  </si>
  <si>
    <t xml:space="preserve">According to this bug report, proxy fuse got removed from the 9M39 after the Firebirds update. https://community.gaijin.net/issues/p/warthunder/i/EXQzdofD4ObP </t>
  </si>
  <si>
    <t>9M39 proxy fuse</t>
  </si>
  <si>
    <t>when?</t>
  </si>
  <si>
    <t>update</t>
  </si>
  <si>
    <t>leave</t>
  </si>
  <si>
    <t>you</t>
  </si>
  <si>
    <t>Add brimstone to SALH tab</t>
  </si>
  <si>
    <t xml:space="preserve">Brimstone is not found in the table </t>
  </si>
  <si>
    <t>Not yet</t>
  </si>
  <si>
    <t>?</t>
  </si>
  <si>
    <t>Is it abandoned?</t>
  </si>
  <si>
    <t>Done</t>
  </si>
  <si>
    <t>Update it</t>
  </si>
  <si>
    <t>You missed a caliber change for AIM-7M</t>
  </si>
  <si>
    <t>Already in the sheet, row Head-on lock-on range against afterburning target</t>
  </si>
  <si>
    <t>I mean `band7` value that determines seeker's greediness for the afterburner:
https://github.com/gszabi99/War-Thunder-Datamine/blob/71492346d9f55450c848b457aa9289ab9f88a2c1/aces.vromfs.bin_u/gamedata/weapons/rocketguns/us_aim9l_sidewinder.blkx#L114
Saw this on the General Lee video about Sea Vixen: https://youtu.be/tpJn1CjZnOU?si=Nc_SsARZv3-RPq9a&amp;t=324
So can we see this value (or some digestment) that will help to differ flare resistance of the missiles?</t>
  </si>
  <si>
    <t>First feature request was #94: 2024.10.05. 14:01:25 - about AIM-9L flare resistance</t>
  </si>
  <si>
    <t>Gaijin has changed a lot of stuff with laser guided bombs a couple updates ago. For example GBU-24 now has 6km laser pickup range.</t>
  </si>
  <si>
    <t>Laser guided bombs have changed a lot.</t>
  </si>
  <si>
    <t>Maybe</t>
  </si>
  <si>
    <t>Put which ones are smokeless in notes section.</t>
  </si>
  <si>
    <t>Some AGM-65 Variants are smokeless</t>
  </si>
  <si>
    <t>Feel free to do so</t>
  </si>
  <si>
    <t>May i translate this document to other languages (I can do Spanish, as it is my native language)? 
btw lovely chart! its very useful</t>
  </si>
  <si>
    <t>Hi! same guy as the suggestion (and its correction) above</t>
  </si>
  <si>
    <t>sorry for the stupid question, there are ATGM's, didnt realize</t>
  </si>
  <si>
    <t>and, does this include the new AGM'S?  (Groms 1&amp;2, Hs 293), and also, fire snakes when? (the rockets on the JF-17)</t>
  </si>
  <si>
    <t>will you add ground ATGM's sometime?</t>
  </si>
  <si>
    <t>Atamonica has an image of the GBU-39 SDB on their Pixiv. This will help people know what the bomb actually looks like as well.</t>
  </si>
  <si>
    <t>GBU-39 SDB could use an image</t>
  </si>
  <si>
    <t>Add these bombs and missile if it is possible to take info from dev server</t>
  </si>
  <si>
    <t>No KAB-500Kr-M and Kh-36 Grom-2 in GBUs and Kh-36 Grom-1 missile</t>
  </si>
  <si>
    <t>Add it, its the new AGM on the HE-177 A-3</t>
  </si>
  <si>
    <t>Missing MCLOS AGM (Soon™)</t>
  </si>
  <si>
    <t>Fixed, my favorite currently is the mica</t>
  </si>
  <si>
    <t>Fix it please, also what is your favorite missile</t>
  </si>
  <si>
    <t>The Name row in the GBU tab isn't pinned like the other tabs (I'm not using HTML view)</t>
  </si>
  <si>
    <t>I think the correct caliber for it is 230 mm but I may be wrong. for further questions or sth you can contact me in dc: loikkaleo</t>
  </si>
  <si>
    <t xml:space="preserve">is the lizard 2 bomb (in gbu tab) really 0.27 mm in caliber? </t>
  </si>
  <si>
    <t>r-60</t>
  </si>
  <si>
    <t>What do you mean by this?</t>
  </si>
  <si>
    <t>Was about to prove that AIM-9L is the most flare resistant AAM (without IRCCM) and I know that game has separate value in config for this matter, but did not found anything in the table.</t>
  </si>
  <si>
    <t>Add the missing Chinese glide bombs (LS-6 500, PL-6 250)</t>
  </si>
  <si>
    <t>Missing Chinese glide bombs</t>
  </si>
  <si>
    <t>Change the (can be slaved to radar) form no to yes</t>
  </si>
  <si>
    <t>The TC-1L can be slaved to radar. If u lock a target and then start the seeker on the missle, it will slave to the lock.</t>
  </si>
  <si>
    <t>Added</t>
  </si>
  <si>
    <t>update the data.</t>
  </si>
  <si>
    <t>The PL-5EII data hasn't been updated yet with its IRCCM and new G-Limit.</t>
  </si>
  <si>
    <t>IRCCM for PL-5E2</t>
  </si>
  <si>
    <t>add the missing BA-FG-230 Lizard 2 gbu</t>
  </si>
  <si>
    <t>Update it pookie bears</t>
  </si>
  <si>
    <t>PL-5E2 has been updated on live server with flight performance changes and IRCCM</t>
  </si>
  <si>
    <t>If you go to the github datamine, linked here.https://github.com/gszabi99/War-Thunder-Datamine/blob/master/aces.vromfs.bin_u/gamedata/weapons/rocketguns/su_pl5e2.blkx
and go to line 128, you'll see it has IRCCM with an FOV gatewidth of 0.75 degrees</t>
  </si>
  <si>
    <t>All Aspect AAM, PL-5E2 it claims to not have IRCCM</t>
  </si>
  <si>
    <t>Okay</t>
  </si>
  <si>
    <t xml:space="preserve">Apologies, Ignore the drag question I just noticed it was answered before </t>
  </si>
  <si>
    <t>Add Drag value to missiles? Idk if its possible or not but would be great for comparison</t>
  </si>
  <si>
    <t>Good catch, added (I dont play naval so I usually miss aditions there)</t>
  </si>
  <si>
    <t>Well, adding it, unless I'm just missing it.</t>
  </si>
  <si>
    <t>The Strela 2M, found on the German Bernau boat, appears to be missing.</t>
  </si>
  <si>
    <t>It is locked, dont use html view as pinning doesnt work in that view</t>
  </si>
  <si>
    <t xml:space="preserve">Could you freeze or lock the first row and column
 That way I know which missile and data the numbers are referring to even if I am in the middle of the Chart and don't have to scroll up and down constantly </t>
  </si>
  <si>
    <t>Locked</t>
  </si>
  <si>
    <t xml:space="preserve">lock it </t>
  </si>
  <si>
    <t xml:space="preserve">GBU first row isn't locked </t>
  </si>
  <si>
    <t>Fixed</t>
  </si>
  <si>
    <t>It should be 60 not 55</t>
  </si>
  <si>
    <t>AIM-7M has wrong gimbal limit</t>
  </si>
  <si>
    <t>Put this irccm values from R-73 as place holders note under PL-9 till they are added</t>
  </si>
  <si>
    <t>PL-9 IRCCM as the missile is not fully added I expect some values to be changed but the base PL-9 used same seeker as R-73 and upgraded PL-9C used more advanced TY-90 seekerhead both variants having irccm but at different capabilities.</t>
  </si>
  <si>
    <t>Explosive mass: [kg of TNT equivalent]: 1,28*33
Proximity fuse range: [m]: 35</t>
  </si>
  <si>
    <t>SAM (SACLOS/LOSBR):
V-601:
Explosive mass: [kg of TNT equivalent]: 1,24*33
Proximity fuse range: [m]: 40</t>
  </si>
  <si>
    <t>Hi,
Could you lock the first column and the first row on the sheets please ?
On some there is a lot of rows and columns and it is difficult to not get lost in all of those
Thanks for your work !</t>
  </si>
  <si>
    <t>Add parameter name for A74</t>
  </si>
  <si>
    <t xml:space="preserve">A74 in AshM is missing text, yet C74 has value for this parameter </t>
  </si>
  <si>
    <t>May we put maverick image from top gun in AGM65 physical properties please?</t>
  </si>
  <si>
    <t>Sadly not really, it is better to just get the repo and compare files there between versions</t>
  </si>
  <si>
    <t>is there a way to see these value history? its kinda hard to know what change on every update without going thru datamine</t>
  </si>
  <si>
    <t>It is pinned, dont use html view as pinning doesnt work in that view</t>
  </si>
  <si>
    <t>Pin A/1 column/row for ease of visibility</t>
  </si>
  <si>
    <t>N/a</t>
  </si>
  <si>
    <t>Update to reflect in-game values.</t>
  </si>
  <si>
    <t>AGM-123 Skipper has incorrect explosive mass and penetration, likely copied from Hellfire</t>
  </si>
  <si>
    <t>K</t>
  </si>
  <si>
    <t>b</t>
  </si>
  <si>
    <t>a</t>
  </si>
  <si>
    <t>All of them have 16km range</t>
  </si>
  <si>
    <t>r-77,aim54,pl12 = 16km / other 20km</t>
  </si>
  <si>
    <t>Each ARH's Lock on Range from All-aspect 16km</t>
  </si>
  <si>
    <t>Sad</t>
  </si>
  <si>
    <t>There is no proximity fuse on HN6. Gaijin has deleted it.</t>
  </si>
  <si>
    <t>HN6 Proximity Fuse : Yes</t>
  </si>
  <si>
    <t>Fine, some of it I removed</t>
  </si>
  <si>
    <t>remove them</t>
  </si>
  <si>
    <t xml:space="preserve">random images cluttering the spreadsheet </t>
  </si>
  <si>
    <t>It has similar warhead to AGM-65G (at least in statcard in game)</t>
  </si>
  <si>
    <t>Wrong warhead type of RB 75T</t>
  </si>
  <si>
    <t>Rb 75T missing in AGM (automatic)</t>
  </si>
  <si>
    <t>Rb 75T missing</t>
  </si>
  <si>
    <t>List waread type (HEAT, SAPHE, HE)</t>
  </si>
  <si>
    <t>AIM-120B Loft angle and Target elevation should be the same as the AIM-120A</t>
  </si>
  <si>
    <t>AIM-120B Loft angle and Target elevation is the same as the AIM-120C-5</t>
  </si>
  <si>
    <t>you say aim-120A is same as aim-120b but the loft angle and target elevation listed is different, with the loft angle being 7.5 degrees for the a and 25 degrees for the b and the target elevation being -5 and -15 degrees respectively.</t>
  </si>
  <si>
    <t>The art is of a AIM-120D, so we have to wait</t>
  </si>
  <si>
    <t>Insert the art :) (I like my missile anthropomorphism)</t>
  </si>
  <si>
    <t>AMRAAM Missing Atamonica art</t>
  </si>
  <si>
    <t>Update the stats if they are incorrect or remove the first part of the Additional Note: "Identical to the AIM-7F". The Aditional Note could also be rewritten, e.g. "Almost Identical [...]" / "Similar [...]".</t>
  </si>
  <si>
    <t>AAM (SARH)
AIM-7M
Additional Notes: Identical to the AIM-7F [...]
The stats are the same, exept the Receiver angle of half sensitivity, wich is 13 on the AIM-7F an 12 on the AIM-7M.</t>
  </si>
  <si>
    <t>Update the stats of Derby / R-Darter (if they are not correct) or remove the Additional Note: "Same as R-DARTER"</t>
  </si>
  <si>
    <t>AAM (ARH)
Derby
Additional Notes: Same as R-Darter
The stats are the same, exept Lock-on range from all-aspect: [km], wich is 16 on the R-Darter and 20 on the Derby.</t>
  </si>
  <si>
    <t>Correct the stats (if the B is not updated) or remove the note: "Same as A"</t>
  </si>
  <si>
    <t xml:space="preserve">AAM (ARH)
AIM-120B
Additional Notes: Same as A
The AIM-120B has diffrences to the A, as you can see in the stats. </t>
  </si>
  <si>
    <t>No, thats too much work, anyone can translate it if they want</t>
  </si>
  <si>
    <t>create new versions for different languages</t>
  </si>
  <si>
    <t>AKD-9 also uses HTA and have the same explosive value as BA-9 (2.05 explosive mass equivalent to 2.46kg tnt).
BA-9 is also just export version of AKD-9 with no difference in game(in performance)</t>
  </si>
  <si>
    <t>AKD9 explosive value</t>
  </si>
  <si>
    <t>change to 2.2 to be as the stat card, also have a great week and i loved the physical properties</t>
  </si>
  <si>
    <t>TY-90  
Maximum statcard (useless) speed: [Mach] = 2</t>
  </si>
  <si>
    <t>I am not sure what value the drift speed is in, neither m/s or degree/s make sense with the given values, especially considering the ARH missiles</t>
  </si>
  <si>
    <t>In what units "Inertial guidance drift speed" is measured? Is it possible to approximately calculate error of Inertial guidance manually, or at least calculate area in which guided ordnance with INS will land, and then compare it with other, like compare GBU-24 and Kh-38ML which have 5 and 1.25 drift speed respectively? And if it has measure units, i suggest to add them in the sheet.</t>
  </si>
  <si>
    <t>Proximity fuse range: [m]: 3</t>
  </si>
  <si>
    <t>SAM (SACLOS/LOSBR):
Rb 70:
Proximity fuse range: [m]: 6</t>
  </si>
  <si>
    <t>???</t>
  </si>
  <si>
    <t xml:space="preserve"> missile drag values question were answered multiple times times before</t>
  </si>
  <si>
    <t>Can you add drag values for the missiles. Drag matters as much as delta V for missile range.</t>
  </si>
  <si>
    <t>I wont move the images, and missile drag values question were answered multiple times times before</t>
  </si>
  <si>
    <t>The new Physical properties section is unnecessary and is distracting. Nation's flag should be added there instead, if not wanna remove then please move it to the most bottom section, its unrelevant information imo. Also.please add missile.drag values.</t>
  </si>
  <si>
    <t>Maximum statcard (useless) G-load: [G]: 17</t>
  </si>
  <si>
    <t>AAM (ARH):
AIM-54A-C:
Maximum statcard (useless) G-load: [G]: 16
//It's 17 on the statcard</t>
  </si>
  <si>
    <t>It is static, both first row and column, it doesnt work if you are in html view</t>
  </si>
  <si>
    <t>Could you make the name static 
So the name followes around so I don't need to Scroll up every time to see which row is aim9h and aim9h?</t>
  </si>
  <si>
    <t>PL12 Track rate should from 20 to 60</t>
  </si>
  <si>
    <t>On the dev server, they introduced the AIM-9L/i on the ICE</t>
  </si>
  <si>
    <t>Missing AAM (all-aspect)</t>
  </si>
  <si>
    <t>Should be 9 as its been increased to such</t>
  </si>
  <si>
    <t>R3-S fuse trigger being “5”</t>
  </si>
  <si>
    <t>I wont add drag values because they are near useless unless you are comparing two missiles that have the same/very close body shape and engines and most importantly I got notified that people keep using it to pester DEVs with it</t>
  </si>
  <si>
    <t>Especially for air-to-air missiles, the CxK item represents air resistance, which greatly affects missile performance, so I would like it to be written.</t>
  </si>
  <si>
    <t>You will have to make a bug report to have that changed</t>
  </si>
  <si>
    <t>The G overload of the AIM-120C-5 should be 40Gs according to a statement from the US saying that they consider the AIM-120C-5 and above as HOBs missiles meaning that it should have an improved G overload and FOV. Another thing that supports this, is the fact that the AAM-4 has a 40G overload and irl it is nearly identical to the AIM-120C in terms of external design and control surfaces therefore this also suggests that the AIM-120C-5 should also have 40G maximum overload as they are nearly identical missiles, there are also many other factors that prove this like the fact that the AIM-120Cs fins are smaller meaning they reduce drag and make the missile more aerodynamic which also makes the missile a little faster and more manoeuvrable. Now there isn't much information stating the exact lock-on range of the AIM-120C-5 however several sources and statements that were made state that its lock-on range is a little bit better then the previous variants so it should be closer to around 20KM lock on range then it is to 16KM. ( please note that all of this information was gained from unclassified sources or sources that are allowed to be accessed by the public and i think that making these changes would make the stats of the AIM-120C-5 much more accurate and realistic to the irl AIM-120C-5.)</t>
  </si>
  <si>
    <t>The G overload and lock-on range from all aspect of the AIM-120C-5</t>
  </si>
  <si>
    <t>Add the new MAA-1 missile from the A-1A (Brazillian AMX premium)</t>
  </si>
  <si>
    <t>Missing the new MAA-1 missile from the A-1A (Brazillian AMX premium)</t>
  </si>
  <si>
    <t>Not relevant to this sheet</t>
  </si>
  <si>
    <t>I wish you could label the magnification of the pods mounted on the in-game planes</t>
  </si>
  <si>
    <t>Please add drag values for each missile as well, they're very important and would be great if I didn't had to check the source code on github each time. Thanks for this awesome spreadsheet.</t>
  </si>
  <si>
    <t>Changed</t>
  </si>
  <si>
    <t>9M117 and APS03 variants have wrong booster force values (should be 674 N), also APS03 is not a copy of 9M117 (The only difference is the tandem warhead).</t>
  </si>
  <si>
    <t>Fix KH-38ML G overlad to 15 G and KH-38MT to 6 G.
https://github.com/gszabi99/War-Thunder-Datamine/blob/master/aces.vromfs.bin_u/gamedata/weapons/rocketguns/su_kh_38ml.blkx
https://github.com/gszabi99/War-Thunder-Datamine/blob/master/aces.vromfs.bin_u/gamedata/weapons/rocketguns/su_kh_38mt.blkx
The line you are searching for: "reqAccelMax":</t>
  </si>
  <si>
    <t>Both KH-38MT/ML have 8 Gs of overload on the sheet, but in-game and in files they are different</t>
  </si>
  <si>
    <t>Fix these three tabs, so that the first row is visible during scrolling down the page, as it is on all the other tabs.</t>
  </si>
  <si>
    <t>AGM (automatic), AGM (MCLOS) and GBU; those tabs do not have the names of each weapon (row 1) in a fixed position, so that it is still visible, even if scrolling down a page.</t>
  </si>
  <si>
    <t>ily missile daddies</t>
  </si>
  <si>
    <t>9m39 doesn't have an uncaged seeker, right?</t>
  </si>
  <si>
    <t>The trajectory is limited to 35G, not the missile itself</t>
  </si>
  <si>
    <t>im not sure what is the max but ive seen it pull 50Gs</t>
  </si>
  <si>
    <t>magic 2 max overload</t>
  </si>
  <si>
    <t>I dont understand why you copied an entire datamine in the field</t>
  </si>
  <si>
    <t xml:space="preserve">
• PL-11: Guidance: Radar Seeker :
• Angle Gate Rate: 90 -&gt; 45
• Receiver: Range Max: 40 -&gt; 50 km
• TY-90 : Drag Coef When Suspended : 0.00035
-&gt; 0.018
• Matra Super 530D: Guidance: Radar Seeker :
• Angle Gate Rate : 90 -&gt; 30
• Transmitter :
• Power: 200 -&gt; 1000
• Antenna: Angle Half Sens : 12 -&gt; 3
• Receiver: Range Max: 40 -&gt; 50 km
• Matra Super 530F : Guidance: Radar Seeker :
• Angle Gate Rate : 90 -&gt; 30
• Transmitter: Antenna : Angle Half Sens : 12
-&gt; 5
• Receiver: Range Max: 30 -&gt; 42 km
• Matra R530 : Guidance : Radar Seeker :
• Transmitter: Antenna: Angle Half Sens: 12
-&gt; 5
• Receiver: Range Max: 18 -&gt; 20 km
• Matra R550 Magic 1 :
• Wing Area Multiplier : 1.3 -&gt; 1.45
Guidance :
• Delay: 0.5 -&gt; 0.3 s
• PID proportional term : 0.0021 -&gt; 0.0016
• PID integral term : 0.0436 -&gt; 0.0396
• Matra R550 Magic 2 :
• Wing Area Multiplier: 1.3 -&gt; 1.45
• Fins AoA: 15.3 -&gt; 32.04°
• Guidance :
• Delay : 0.5 -&gt; 0.3 s
• PID proportional term: 0.0026 -&gt; 0.0016
• PID integral term: 0.0466 -&gt; 0.0341
• PID derivative term : 0.0006 -&gt; 0.0005
• Aspide-1A: Guidance : Radar Seeker :
• Angle Gate Rate : 90 -&gt; 45
• Receiver: Range Max: 40 -&gt; 50 km
• PL-7 :
• Wing Area Multiplier : 1.3 -&gt; 1.45
• Fins AoA : 15.3 -&gt; 32.04°
• Guidance :
• Delay : 0.5 -&gt; 0.3 s
• PID proportional term : 0.0021 -&gt; 0.0016
• PID integral term: 0.0436 -&gt; 0.0396
• R-3R: Guidance: Radar Seeker : Receiver :
Range Max : 12 -&gt; 14 km
• R-23R: Guidance : Radar Seeker :
• Transmitter : Power : 200 -&gt; 270
• Receiver: Range Max: 25 -&gt; 35 km
• R-24R: Guidance : Radar Seeker :
• Angle Gate Rate : 90 -&gt; 30
• Transmitter: Power: 200 -&gt; 270
• Receiver: Range Max: 30 -&gt; 42 km
• R-27ER, R-27ER1, R-27R, R-27R1: Guidance :
Radar Seeker :
• Angle Gate Rate : 90 -&gt; 30
• Transmitter :
• Power: 200 -&gt; 900
• Antenna: Angle Half Sens: 10 -&gt; 3.5
• Receiver:
• Range Max: 30 -&gt; 42 km
• Antenna : Angle Half Sens : 12 -&gt; 13</t>
  </si>
  <si>
    <t>Add APS03 and 9M39 (from the shilka)</t>
  </si>
  <si>
    <t>Falaric 105 and GP105 aren't copies of 9M117M1</t>
  </si>
  <si>
    <t>Kh-38MT has IR+IOG. Also want to see inertial guidance drift speed</t>
  </si>
  <si>
    <t>Kh-38MT IR Guidance</t>
  </si>
  <si>
    <t>Those are by the game's code Missiles, so they stay in the AGM section</t>
  </si>
  <si>
    <t xml:space="preserve">Moving them to the GBU section. </t>
  </si>
  <si>
    <t>PGM 500 and PGM 2000 are marked under "AGM (Automatic)" when they are both just Rocket assisted guided bombs.</t>
  </si>
  <si>
    <t>Should be Laser + IOG</t>
  </si>
  <si>
    <t>Guidance type of GB250 is Laser</t>
  </si>
  <si>
    <t>It states 'Laser' when in game it says 'Laser + IOG', and does have IOG behavior.</t>
  </si>
  <si>
    <t>Wrong GB-250 Guidance Type</t>
  </si>
  <si>
    <t>Add the missile to the table</t>
  </si>
  <si>
    <t>Missing AJ.168 the TV Martel</t>
  </si>
  <si>
    <t>Column A is locked on every sheet, same with row 1, are you using the proper view? Locking doesnt work in html view.</t>
  </si>
  <si>
    <t>Hey, could you lock column A in all sheets, so when scrolling horizontally, it is still possible to see which stats are we looking at?
Also thanks for your great work!</t>
  </si>
  <si>
    <t>It is no longer in the table and wont be in the future, as it has no important hidden value. The only relevant information about it, is that it has an 8km max guidance range.</t>
  </si>
  <si>
    <t>It was in table, but now can't find it.</t>
  </si>
  <si>
    <t xml:space="preserve">Missing PC 1400 X GBU. </t>
  </si>
  <si>
    <t>You could regard drag as one, however the total drag calculation is unknown to us, and the drag value we can observer is only useful for comparing the same missile to updated value or comparing very similar missiles. Thus it is not in the sheet, because it lead to very high confusion. For an example, a large missile may have lower drag coeff than a small missile.</t>
  </si>
  <si>
    <t xml:space="preserve">Are there any key stats when it comes to retaining speed over distance for missiles. For example r13m1 vs r60 from a high altitude top down attack, which would glide longer/ be more likely to catch a fast moving target. R13 weighs more and turns less aggressively so would that make it reach a distant target sooner due to bleeding speed slower? </t>
  </si>
  <si>
    <t>Modification for the Raketenjadpanzer 2.</t>
  </si>
  <si>
    <t>The SACLOS Version of the SS.11 is currently found on the Raketenjadgpanzer 2 as a Modification</t>
  </si>
  <si>
    <t>That specific lock parameter refers to the fact that the weapons system cannot be shot without a solid lock, for an example SARH missiles can be shot without them getting a solid lock, which may either result in the missile locking something or exploding in the air if it doesnt find something in time</t>
  </si>
  <si>
    <t>TV and laser guided weapons can lock a target/reacquire a laser after launch well within their terminal guidance phase. For example you can launch a Kh-29 into the path of vehicles and it will automatically track vehicles like an IR guided AGM. Similarly, I've VTOL'd near a battlefield in sim only to get smacked directly by a friendly fired TV guided maverick. Hilarious at the time, but the shooter wasn't happy with their 60k SL penalty.
TV guided munitions also don't seem to be as range limited for air target tracking compared to ground vehicle tracking, allowing players to use the Kh-29 as a makeshift overweight R-60. Gaijin, please never fix this.</t>
  </si>
  <si>
    <t>AGM/GBU: "Can lock after launch" parameter: Doesn't seem consistent with in-game testing.</t>
  </si>
  <si>
    <t>Change to 186.24 to match the 29TD, 29T and the in game value</t>
  </si>
  <si>
    <t>KH-29TE (AGM Automatic)  explosive mass is listed as 148.992, the TNT equivalent was changed a few patches ago</t>
  </si>
  <si>
    <t>Chinese laser guided bombs have some issues:
- Theyre now all called GB not LS or TS (GB250, GB500, GB1000)
- GB1000 has IOG
- GB1000 uses RDX/TNT not TNT so its explosive equivalent is wrong</t>
  </si>
  <si>
    <t>Done for a while</t>
  </si>
  <si>
    <t>Laser guided bombs GBU-12 or -16 has same lock-on-vehicle range as GBU-24 around 3.6 km. It can be seen with Tracking Camera key: when bomb locks on 2S6 (for example), it does little maneuver, and from that moment when you observe your bomb with keybind, your point of view is centered on locked vehicle.</t>
  </si>
  <si>
    <t>Correct the FOV for the PL-5C</t>
  </si>
  <si>
    <t>PL-5Cs have an FOV of 4 while it says 2.4 on the table.</t>
  </si>
  <si>
    <t>Turn the 'can be slaved to radar' on 9j off. I'm not sure about the things on the hunter f.58 or 9n, you might have to do some testing.</t>
  </si>
  <si>
    <t>The 9p and 9j are no longer identical, the 9j doesn't slave where the 9p and rb24j do, not sure if any other missiles are affected.</t>
  </si>
  <si>
    <t>Drag coef wont be in the sheet again as it just lead to confusion and by the value itself one cannot really tell which missile has higher drag, only usable for relative comparisons for changes for the same missiles or missile bodies, but as the sheet caputres one point in time, that is not quite possible</t>
  </si>
  <si>
    <t>Add the drag values that each missile has</t>
  </si>
  <si>
    <t>No statistics for the drag coefficients of the missiles</t>
  </si>
  <si>
    <t>You dont need to multiply by 2 at the end, you get the diameter that way, not the radius of the circle.</t>
  </si>
  <si>
    <t xml:space="preserve"> Shouldn't it be a 209m radius circle at 4km for a 3° FOV and 87m radius circle at the same distance but for 1.25° FOV (equation being radius = 2*Distance*tan(0.5*degreeFOV))?</t>
  </si>
  <si>
    <t>For the notes in the "IR Heli" section, it says "IRCCM field of view is the FoV after lock-on, outside of this FoV other heat sources are ignored. This basically means, that for the seeker to not reject other heat source, like a flare, it must be inside the IRCCM field of view. For a quick comparison (Stinger values) 3° FoV means a 104 m radius circle at 4 km distance, while 1.25° FoV means a 44 m radius circle. At closer than 2 km range, the circle would be as large or smaller than the target, effectively making flaring useless."</t>
  </si>
  <si>
    <t>It was a mixup, 0.7 is the correct one</t>
  </si>
  <si>
    <t>Is there is a reason for this or is it a mix up? if so which is correct, thanks!</t>
  </si>
  <si>
    <t>For "Guidance start delay: [s]" on AIM-7E-2 and SkyFlash the value is 0,7 seconds but further down at "Flight time until guidance starts (delay): [s]" it says 0,8 seconds</t>
  </si>
  <si>
    <t>No, that too much work and readily avaible in game</t>
  </si>
  <si>
    <t xml:space="preserve">imma goon so i'll ask here
can we get aircraft gun/cannon bullet velocities too
ty papa </t>
  </si>
  <si>
    <t>The number of significant digits is the number of digits the value has in the files.</t>
  </si>
  <si>
    <t>There are many part of the sheet that have insane levels of significant figures, and across the sheet even in the same row the number of sig figs is not standardized, when it should be. For example: AAM (IR Rear Aspect), Explosive Mass: 7,616	8,8	5,5	5,5	1,15	11,2	23,168	4
That's anywhere from 1 to 5 sig figs in the same row! 
(and others even have 5 figures JUST counting the ones past the decimal place in other areas) 
If the game is indeed calculating out to 7.616kg of TNT, then it  would follow that 4kg is not JUST 4kg, but has the precision of being 4.000kg of TNT, and isn't rounded or 4.015kg, for example. Why does this matter? Well, if you're doing any math with it, knowing the precision does matter. Either it should be standardized at, say, 3 decimal places, or it should, for a given row, include the number of sig figs for the most precise (highest number of decimal places) across that row. Sig Figs are always a pain in the ass, but they are important and I do think that standardizing the number of decimal places to the max precision given to that row is important, particularly so in the PID area. Obviously there's balancing aesthetics vs. precision, but for something like this I think, to an extent, precision is more important in some cases, as is consistency across a column.</t>
  </si>
  <si>
    <t>the new KAB-500Kr-E
idk if its different from the og KAB-500Kr but would still be a good addition to the GBU page</t>
  </si>
  <si>
    <t>Hello sir, 
Very interesting and good datasheet you made there.
I was wondering if adding the Drag Coef of every missile in the Physical properties or in the Engine properties was possible.
Indeed Drag coeficien is REALLY important regarding a missile kinetic energy.
Kind regard,
A war thunder player 
Adrien</t>
  </si>
  <si>
    <t>It is among SACLOS SAMs under name 5V24</t>
  </si>
  <si>
    <t>The V-600P missile found on the russian destroyer Bravy is missing in the doc.</t>
  </si>
  <si>
    <t xml:space="preserve">Change it to 6. Keep up the good work, barely anyone knows as much about high tier mechanics of this game as you do. </t>
  </si>
  <si>
    <t xml:space="preserve">R-73 still has 3m proxy fuse range listed, however, it was increased to 6m in one of the dev iterations. </t>
  </si>
  <si>
    <t>I use the in game designation</t>
  </si>
  <si>
    <t>Beep Boop</t>
  </si>
  <si>
    <t>According to war thunder wiki, Flz.Lwf. LL 63/80 is an Aim-9P-3 and not Aim-9J</t>
  </si>
  <si>
    <t>Hello Everynyan, How are you, good thank you, i wish i were a bird.</t>
  </si>
  <si>
    <t>AAM (SARH) &gt; PL11 &gt; Additional Notes (Misspelled aspide)</t>
  </si>
  <si>
    <t>You can find the multipliers here:     aces.vromfs.bin_u/gamedata/damage_model/explosive.blkx   Done</t>
  </si>
  <si>
    <t>question: Where in the files can i find TNT equivalent multipliers???</t>
  </si>
  <si>
    <t xml:space="preserve">About the 9M14s again - the explosive mass is correct now but the TNT equivalent multipliers aren't. A-IX-1 is 1.25x not 1.2x. 
Also i missed the HJ-73 before, it should also be the same as 9M14s.
3M7 uses A-IX-1, not A-IX-2 (1.25x, not 1.54x)
9M113 uses okfol (1.59x, not 1.325), and its Explosive mass is 2.75, not 2.52.
9M117, 9M117M1, 9M119, 9M119M1, 9M133, 9M133M2, GP105 all use okfol, not A-IX-2 (1.59x, not 1.54x)
^ all of that is kinda dumb cuz in game it says A-IX-1 instead of ocfol and shows a false tnt equivalent
Trivial side note: QN201DD's explosive mass could be written as 1.25x0.6.
Also the spreadsheet is missing the GP125 and Falaric 105 missiles (unless im blind)
</t>
  </si>
  <si>
    <t>9M14M and 9M14 missiles - they should all have 2.6kgs of explosive mass and the same TNT equivalent (3.25kg). Currently only the 9M14-2 has the correct values</t>
  </si>
  <si>
    <t>Text wrap solved, what do you mean by the suggestion?</t>
  </si>
  <si>
    <t>Match IR rear aspect/Heli by increasing row height.</t>
  </si>
  <si>
    <t>Proportional Navigation Multiplier row (Row 52) in IR all aspect also has wrapped text in the row label where the height is not enough to include all text as visible.</t>
  </si>
  <si>
    <t>Increase cell height as on the IR heli and Rear aspect sheets.</t>
  </si>
  <si>
    <t>IR all aspect, label for minimum angle of incidence to the sun text wraps - cell is too small</t>
  </si>
  <si>
    <t>CEST</t>
  </si>
  <si>
    <t>Or are you GMT + 2 ?</t>
  </si>
  <si>
    <t>&lt;--- Is this time GMT ?</t>
  </si>
  <si>
    <t>Did</t>
  </si>
  <si>
    <t>Remove me</t>
  </si>
  <si>
    <t>Me</t>
  </si>
  <si>
    <t>Got emm</t>
  </si>
  <si>
    <t>Nuts</t>
  </si>
  <si>
    <t>Deez</t>
  </si>
  <si>
    <t>Answer</t>
  </si>
  <si>
    <t>The suggestion you have</t>
  </si>
  <si>
    <t>The mistake you found</t>
  </si>
  <si>
    <t>Időbélyeg</t>
  </si>
  <si>
    <t>30 second before impact travels at 15 m above sea level, 20 second before impact lowers to 2.5 m above sea level</t>
  </si>
  <si>
    <t>Attack altitude: [m]</t>
  </si>
  <si>
    <t>Skim altitude: [m]</t>
  </si>
  <si>
    <t>Distance refWidth: [m]</t>
  </si>
  <si>
    <t>Distance gate: [m]</t>
  </si>
  <si>
    <t>Distance maximum value: [m]</t>
  </si>
  <si>
    <t>Minimum target size: [m]</t>
  </si>
  <si>
    <t>ARH + IOG + GNSS</t>
  </si>
  <si>
    <t>Exocet</t>
  </si>
  <si>
    <t>AS.34 Kormoran</t>
  </si>
  <si>
    <t xml:space="preserve">- Added more Russian weapons: N-37(D), NR-23, </t>
  </si>
  <si>
    <t>- Differentiated Airfield with bases, and airfield w/o bases</t>
  </si>
  <si>
    <t>- Torpedoes have different damage values, as a result has been moved to country specific section, mistake on my part</t>
  </si>
  <si>
    <t>Other changes:</t>
  </si>
  <si>
    <t>-added 40mm Vickers S</t>
  </si>
  <si>
    <t>- 20mm MG 151 no longer kills Medium Tanks</t>
  </si>
  <si>
    <t>- Ho-155 cannot kill Md. Tanks</t>
  </si>
  <si>
    <t>- Type 99 mk.2 cannot kill Md. Tanks</t>
  </si>
  <si>
    <t>- Type 5 no longer kills Medium tanks</t>
  </si>
  <si>
    <t>-Callum for correction of RP-3 vs. Destroyer</t>
  </si>
  <si>
    <t>- Only to break again in patch 1.70</t>
  </si>
  <si>
    <t>.</t>
  </si>
  <si>
    <t>- Hispano II/V no longer kills Medium Tanks, not even a top attack</t>
  </si>
  <si>
    <t xml:space="preserve">- Credit to /u/bryce and /u/pjup for discovering the 20mm MG 151 is effective vs. Medium tanks, </t>
  </si>
  <si>
    <t>-Melander for fixing the 57mm Mollins data</t>
  </si>
  <si>
    <t>- 37mm NS-37 now considered very ineffective vs. Heavy tanks, Medium tanks are ok</t>
  </si>
  <si>
    <t>- Gaijin for making a great game that everyone likes to rant on(out of love for the game)</t>
  </si>
  <si>
    <t>-API-T is still effective</t>
  </si>
  <si>
    <t>- /u/1Reallybigtank for NS-37 change</t>
  </si>
  <si>
    <t>- 20mm ShVAK and B-20 AP-I rounds do not work on Md Tanks nor Light Pillboxes</t>
  </si>
  <si>
    <t>-Ollie for a lot of help, weapon values and stuff</t>
  </si>
  <si>
    <t>- Berezin UB API-T does not kill Md. Tanks</t>
  </si>
  <si>
    <t>- Naten again for double checking the values for the Mk. 103, and really a lot of things</t>
  </si>
  <si>
    <t>- VYa-23 no longer kills Medium Tanks from the rear, top attack only</t>
  </si>
  <si>
    <t>- Naten for the 37mm BK 3,7 vs. light tanks</t>
  </si>
  <si>
    <t>- /u/Railsmith for discovering that YVa-23 is no longer effective against Md. Tanks, though several other users have noticed this independently</t>
  </si>
  <si>
    <t>- Bence for something</t>
  </si>
  <si>
    <t>- Davis for the fridge launcher</t>
  </si>
  <si>
    <t>- Added MG 81 (Ju 87 D-5 optional)</t>
  </si>
  <si>
    <t>- Ikovic for clarifying the 50kg's effectiveness against Md. Tanks</t>
  </si>
  <si>
    <t>- Khangai3977 and 김성윤 for researching the effectiveness of the MG 151/15</t>
  </si>
  <si>
    <t>- /u/Melanderawr for pointing out the Type 99 mk.2 no longer kills Medium Tanks</t>
  </si>
  <si>
    <t>Credits:</t>
  </si>
  <si>
    <t>&gt;&gt;&gt;&gt;&gt;&gt;&gt;&gt;&gt;&gt;&gt;&gt;&gt;&gt;&gt;&gt;&gt;&gt;&gt;&gt;&gt;&gt;&gt;&gt;</t>
  </si>
  <si>
    <t>1.47 Changes:</t>
  </si>
  <si>
    <t>X</t>
  </si>
  <si>
    <t>RB (all tiers)</t>
  </si>
  <si>
    <t>32+</t>
  </si>
  <si>
    <t>Arcade High Tier</t>
  </si>
  <si>
    <t>Arcade Low Tier</t>
  </si>
  <si>
    <t>Airfield</t>
  </si>
  <si>
    <t>~40</t>
  </si>
  <si>
    <t>RB (All Tiers)</t>
  </si>
  <si>
    <t>Bombing Points</t>
  </si>
  <si>
    <t>3000kg Bomb</t>
  </si>
  <si>
    <t>1500kg Bomb</t>
  </si>
  <si>
    <t>950kg 45-36AN</t>
  </si>
  <si>
    <t>132mm RS-132</t>
  </si>
  <si>
    <t>82mm RS-82</t>
  </si>
  <si>
    <t>45mm NS-45</t>
  </si>
  <si>
    <t>37mm N-37(D)</t>
  </si>
  <si>
    <t>23mm NR-23</t>
  </si>
  <si>
    <t>23mm NS-23</t>
  </si>
  <si>
    <t>23mm VYa-23</t>
  </si>
  <si>
    <t>20mm B-20</t>
  </si>
  <si>
    <t>20mm ShVAK</t>
  </si>
  <si>
    <t xml:space="preserve">12.7mm Berezin UB </t>
  </si>
  <si>
    <t>7.62mm PV-1</t>
  </si>
  <si>
    <t>7.62mm ShKAS</t>
  </si>
  <si>
    <t>Strategic Targets</t>
  </si>
  <si>
    <t>~34</t>
  </si>
  <si>
    <t>X*</t>
  </si>
  <si>
    <t>Carrier*</t>
  </si>
  <si>
    <t>Battleship</t>
  </si>
  <si>
    <t>48+</t>
  </si>
  <si>
    <t>Heavy Cruiser</t>
  </si>
  <si>
    <t>Light Cruiser</t>
  </si>
  <si>
    <t>Destroyer</t>
  </si>
  <si>
    <t>- Rockets are very inaccurate</t>
  </si>
  <si>
    <t>Cargo Ship</t>
  </si>
  <si>
    <t>- 23mm YVa-23 is supposed to be fixed in 1.49, but 1.51 happened and its still bugged</t>
  </si>
  <si>
    <t>- Everything else kind of sucks</t>
  </si>
  <si>
    <t>O</t>
  </si>
  <si>
    <t>Landing Ship</t>
  </si>
  <si>
    <t>- 20mm ShVAK and B-20 are ok, but notably less effective</t>
  </si>
  <si>
    <t>- 12.7mm Berezin and 37mm NS-37 are the best weapons for ground attacking</t>
  </si>
  <si>
    <t>Patrol Boat / Fire Boat</t>
  </si>
  <si>
    <t xml:space="preserve">RU Ground attack notes:
</t>
  </si>
  <si>
    <t>Naval Targets</t>
  </si>
  <si>
    <t>Bridges</t>
  </si>
  <si>
    <t>~5 or 6</t>
  </si>
  <si>
    <t>A lot</t>
  </si>
  <si>
    <t>Heavy Tank</t>
  </si>
  <si>
    <t>△</t>
  </si>
  <si>
    <t>Medium Tank</t>
  </si>
  <si>
    <t>Light Tank</t>
  </si>
  <si>
    <t>Vehicle/Armored Car</t>
  </si>
  <si>
    <t>Pillbox</t>
  </si>
  <si>
    <t>Light Pillbox</t>
  </si>
  <si>
    <t>- Have to attack in a near vertical dive</t>
  </si>
  <si>
    <t>- YVa-23 is only effective in a top attack under 400m, very unreliable though and often does nothing, Md. Tank kliing in RB is now impossible</t>
  </si>
  <si>
    <t>Artillery/AAA</t>
  </si>
  <si>
    <t>Updates:</t>
  </si>
  <si>
    <t>23mm NS-23(K)</t>
  </si>
  <si>
    <t>20mm B-20(S,M,E)</t>
  </si>
  <si>
    <t>Ground Targets</t>
  </si>
  <si>
    <t>Soviet Union</t>
  </si>
  <si>
    <t>Status: 95% done, only need to test the absurd stuff</t>
  </si>
  <si>
    <t xml:space="preserve">690kg Mark XII </t>
  </si>
  <si>
    <t>76mm RP-3</t>
  </si>
  <si>
    <t>57mm Mollins Class M</t>
  </si>
  <si>
    <t>47mm Vickers P</t>
  </si>
  <si>
    <t>40mm Vickers S</t>
  </si>
  <si>
    <t>20mm Hispano V</t>
  </si>
  <si>
    <t>20mm HS.404/Hispano I,II</t>
  </si>
  <si>
    <t>12.7mm M2 Browning</t>
  </si>
  <si>
    <t>7.5mm MAC 1934</t>
  </si>
  <si>
    <t>7.7mm Browning</t>
  </si>
  <si>
    <t>7.7mm Vickers K</t>
  </si>
  <si>
    <t>~32</t>
  </si>
  <si>
    <t>Carrier</t>
  </si>
  <si>
    <t>- Mark XII is the 2nd worst torpedo, British could use the later versions</t>
  </si>
  <si>
    <t>- 47mm Vickers P and 57mm Mollins are very effective, though the Vickers is better due to the plane</t>
  </si>
  <si>
    <t>- 20mm Hispanoes used to be effective, but not so much anymore</t>
  </si>
  <si>
    <t>- The US imported 12.7mm M2 Browning is the best weapon for ground attacking</t>
  </si>
  <si>
    <t>British ground notes:</t>
  </si>
  <si>
    <t>76mm RP-3 Rocket</t>
  </si>
  <si>
    <t>57mm Molins Class M</t>
  </si>
  <si>
    <t>Update: 20mm Hispanoes can now kill medium tanks again, tested on Hokkaido</t>
  </si>
  <si>
    <t xml:space="preserve">British </t>
  </si>
  <si>
    <t>- Japan has to rely on bombers to take out tanks and pillboxes</t>
  </si>
  <si>
    <t>- No weapon is really effective except for the A6M5 Otsu's Type 3, but the A6M5 is screwed</t>
  </si>
  <si>
    <t>- In 1.47, Japanese are by far the worst nation for ground attacks</t>
  </si>
  <si>
    <t>Japan notes:</t>
  </si>
  <si>
    <t>857kg Type 91 mod 3</t>
  </si>
  <si>
    <t>935kg Type 91 mod 2</t>
  </si>
  <si>
    <t>82mm No.27 Rocket</t>
  </si>
  <si>
    <t>57mm Ho-401</t>
  </si>
  <si>
    <t>37mm Ho-204</t>
  </si>
  <si>
    <t>37mm Ho-203</t>
  </si>
  <si>
    <t>37mm Type 94</t>
  </si>
  <si>
    <t>30mm Ho-155</t>
  </si>
  <si>
    <t>30mm Type 5</t>
  </si>
  <si>
    <t>20mm Ho-5</t>
  </si>
  <si>
    <t>20mm Ho-3</t>
  </si>
  <si>
    <t>20mm Type 99 mk. 2</t>
  </si>
  <si>
    <t>20mm Type 99 mk.1</t>
  </si>
  <si>
    <t>13.2mm Type 3</t>
  </si>
  <si>
    <t>12.7mm Ho-103</t>
  </si>
  <si>
    <t>7.7mm Type 97</t>
  </si>
  <si>
    <t>7.7mm Type 89</t>
  </si>
  <si>
    <t>∞</t>
  </si>
  <si>
    <t>&gt; 12</t>
  </si>
  <si>
    <t>Honorabru Weapons of the Rising Sun, made with 100% Nippon steel</t>
  </si>
  <si>
    <t>Credit to Khangai3977 and 김성윤 for researching the effectiveness of the MG 151/15</t>
  </si>
  <si>
    <t>A Metric F***ton</t>
  </si>
  <si>
    <t>A S***ton</t>
  </si>
  <si>
    <t>Float-51 &gt; F-2 Sabre</t>
  </si>
  <si>
    <t>Arcade High tier (4-5)</t>
  </si>
  <si>
    <t>Arcade Low Tier (tier 1-3)</t>
  </si>
  <si>
    <t>10kg Bomb</t>
  </si>
  <si>
    <t>936kg F200/450x5.45</t>
  </si>
  <si>
    <t>936kg F5W</t>
  </si>
  <si>
    <t>210mm BR.21</t>
  </si>
  <si>
    <t>73mm RZ 65</t>
  </si>
  <si>
    <t>55mm R4M</t>
  </si>
  <si>
    <t>75mm BK 7,5</t>
  </si>
  <si>
    <t>50mm Mk. 214a</t>
  </si>
  <si>
    <t>50mm BK 5</t>
  </si>
  <si>
    <t>37mm BK 3,7</t>
  </si>
  <si>
    <t>30mm Mk 108</t>
  </si>
  <si>
    <t>30mm Mk 103</t>
  </si>
  <si>
    <t>20mm MG 151/20</t>
  </si>
  <si>
    <t>20mm MG FF</t>
  </si>
  <si>
    <t>20mm MG C30/L</t>
  </si>
  <si>
    <t>15mm MG 151</t>
  </si>
  <si>
    <t>13mm MG 131</t>
  </si>
  <si>
    <t>12.7mm Breda-SAFAT</t>
  </si>
  <si>
    <t>7.7mm Breda-SAFAT</t>
  </si>
  <si>
    <t>7.92mm MG 81</t>
  </si>
  <si>
    <t>7.92mm MG 17</t>
  </si>
  <si>
    <t>&gt; 20</t>
  </si>
  <si>
    <t>- 15mm MG 151 is the only effective small caliber gun, everything else sucks</t>
  </si>
  <si>
    <t>- 30mm Mk 103 with HVAP is the way to go, takes out Medium tanks with 2 shots to the side</t>
  </si>
  <si>
    <t>Axis ground notes:</t>
  </si>
  <si>
    <t>Patrol Boat</t>
  </si>
  <si>
    <t>Unable to test at this time</t>
  </si>
  <si>
    <t>to both the 55mm R4M</t>
  </si>
  <si>
    <t>I do not have access</t>
  </si>
  <si>
    <t>20mm MG FF(/M)</t>
  </si>
  <si>
    <t>X = No effect</t>
  </si>
  <si>
    <t>German Weapons</t>
  </si>
  <si>
    <t>△ = Situational (in notes)</t>
  </si>
  <si>
    <t>Way too many guns, good thing few of them work(on ground targets)</t>
  </si>
  <si>
    <t>O = Effective under all circumstances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</si>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</sst>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00"/>
    <numFmt numFmtId="167" formatCode="m/d"/>
    <numFmt numFmtId="168" formatCode="0.000"/>
    <numFmt numFmtId="169" formatCode="m\.d"/>
    <numFmt numFmtId="170" formatCode="m/d/yyyy\ h:mm:ss"/>
  </numFmts>
  <fonts count="77">
    <font>
      <sz val="10"/>
      <color rgb="FF000000"/>
      <name val="Arial"/>
      <scheme val="minor"/>
    </font>
    <font>
      <b/>
      <u/>
      <sz val="10"/>
      <color rgb="FF0000FF"/>
      <name val="Arial"/>
    </font>
    <font>
      <b/>
      <sz val="12"/>
      <color theme="1"/>
      <name val="Inconsolata"/>
    </font>
    <font>
      <b/>
      <sz val="9"/>
      <color theme="1"/>
      <name val="Inconsolata"/>
    </font>
    <font>
      <sz val="10"/>
      <name val="Arial"/>
    </font>
    <font>
      <b/>
      <sz val="10"/>
      <color rgb="FF7E3794"/>
      <name val="Inconsolata"/>
    </font>
    <font>
      <sz val="10"/>
      <color theme="1"/>
      <name val="Arial"/>
    </font>
    <font>
      <b/>
      <sz val="10"/>
      <color theme="1"/>
      <name val="Arial"/>
    </font>
    <font>
      <b/>
      <sz val="10"/>
      <color theme="1"/>
      <name val="Inconsolata"/>
    </font>
    <font>
      <b/>
      <sz val="11"/>
      <color rgb="FFFF0000"/>
      <name val="Inconsolata"/>
    </font>
    <font>
      <sz val="10"/>
      <color theme="1"/>
      <name val="Arial"/>
      <scheme val="minor"/>
    </font>
    <font>
      <b/>
      <sz val="10"/>
      <color rgb="FF000000"/>
      <name val="Arial"/>
    </font>
    <font>
      <b/>
      <sz val="11"/>
      <color rgb="FF7E3794"/>
      <name val="Inconsolata"/>
    </font>
    <font>
      <sz val="9"/>
      <color rgb="FF000000"/>
      <name val="&quot;Google Sans Mono&quot;"/>
    </font>
    <font>
      <b/>
      <sz val="10"/>
      <color rgb="FF0C343D"/>
      <name val="Arial"/>
    </font>
    <font>
      <b/>
      <sz val="10"/>
      <color rgb="FF20124D"/>
      <name val="Arial"/>
    </font>
    <font>
      <b/>
      <sz val="10"/>
      <color theme="1"/>
      <name val="Inconsolata"/>
    </font>
    <font>
      <b/>
      <sz val="10"/>
      <color theme="1"/>
      <name val="Arial"/>
      <scheme val="minor"/>
    </font>
    <font>
      <b/>
      <sz val="20"/>
      <color theme="1"/>
      <name val="Arial"/>
      <scheme val="minor"/>
    </font>
    <font>
      <sz val="8"/>
      <color theme="1"/>
      <name val="Arial"/>
      <scheme val="minor"/>
    </font>
    <font>
      <b/>
      <sz val="19"/>
      <color theme="1"/>
      <name val="Arial"/>
      <scheme val="minor"/>
    </font>
    <font>
      <u/>
      <sz val="10"/>
      <color rgb="FF0000FF"/>
      <name val="Arial"/>
    </font>
    <font>
      <u/>
      <sz val="10"/>
      <color rgb="FF0000FF"/>
      <name val="Arial"/>
    </font>
    <font>
      <u/>
      <sz val="10"/>
      <color rgb="FF0000FF"/>
      <name val="Arial"/>
    </font>
    <font>
      <sz val="10"/>
      <color rgb="FF222222"/>
      <name val="Arial"/>
    </font>
    <font>
      <b/>
      <sz val="15"/>
      <color theme="1"/>
      <name val="Arial"/>
      <scheme val="minor"/>
    </font>
    <font>
      <b/>
      <u/>
      <sz val="10"/>
      <color theme="1"/>
      <name val="Arial"/>
      <scheme val="minor"/>
    </font>
    <font>
      <u/>
      <sz val="10"/>
      <color theme="1"/>
      <name val="Arial"/>
      <scheme val="minor"/>
    </font>
    <font>
      <u/>
      <sz val="11"/>
      <color rgb="FF1F1F1F"/>
      <name val="&quot;Google Sans&quot;"/>
    </font>
    <font>
      <u/>
      <sz val="10"/>
      <color rgb="FF0000FF"/>
      <name val="Arial"/>
    </font>
    <font>
      <b/>
      <u/>
      <sz val="12"/>
      <color rgb="FF0000FF"/>
      <name val="Arial"/>
    </font>
    <font>
      <b/>
      <sz val="12"/>
      <color theme="1"/>
      <name val="Arial"/>
      <scheme val="minor"/>
    </font>
    <font>
      <b/>
      <sz val="13"/>
      <color theme="1"/>
      <name val="Arial"/>
    </font>
    <font>
      <b/>
      <sz val="14"/>
      <color theme="1"/>
      <name val="Arial"/>
      <scheme val="minor"/>
    </font>
    <font>
      <b/>
      <sz val="14"/>
      <color theme="1"/>
      <name val="Arial"/>
    </font>
    <font>
      <b/>
      <sz val="14"/>
      <color rgb="FF000000"/>
      <name val="Arial"/>
      <scheme val="minor"/>
    </font>
    <font>
      <sz val="10"/>
      <color rgb="FF000000"/>
      <name val="Arial"/>
      <scheme val="minor"/>
    </font>
    <font>
      <sz val="10"/>
      <color theme="1"/>
      <name val="Arial"/>
    </font>
    <font>
      <b/>
      <sz val="18"/>
      <color theme="1"/>
      <name val="Arial"/>
    </font>
    <font>
      <sz val="10"/>
      <color theme="1"/>
      <name val="Arial"/>
      <scheme val="minor"/>
    </font>
    <font>
      <b/>
      <sz val="12"/>
      <color theme="1"/>
      <name val="Arial"/>
    </font>
    <font>
      <sz val="10"/>
      <color rgb="FF000000"/>
      <name val="&quot;Arial&quot;"/>
    </font>
    <font>
      <sz val="11"/>
      <color rgb="FF000000"/>
      <name val="Arial"/>
      <scheme val="minor"/>
    </font>
    <font>
      <sz val="10"/>
      <color rgb="FF000000"/>
      <name val="Arial"/>
    </font>
    <font>
      <b/>
      <sz val="10"/>
      <name val="Arial"/>
    </font>
    <font>
      <b/>
      <u/>
      <sz val="10"/>
      <color rgb="FF1155CC"/>
      <name val="Arial"/>
    </font>
    <font>
      <b/>
      <sz val="10"/>
      <color theme="1"/>
      <name val="arial,sans,sans-serif"/>
    </font>
    <font>
      <b/>
      <sz val="8"/>
      <color theme="1"/>
      <name val="arial,sans,sans-serif"/>
    </font>
    <font>
      <b/>
      <sz val="10"/>
      <color rgb="FF000000"/>
      <name val="arial,sans,sans-serif"/>
    </font>
    <font>
      <b/>
      <sz val="8"/>
      <color rgb="FF000000"/>
      <name val="arial,sans,sans-serif"/>
    </font>
    <font>
      <u/>
      <sz val="10"/>
      <color rgb="FF1155CC"/>
      <name val="Arial"/>
    </font>
    <font>
      <sz val="1"/>
      <color theme="1"/>
      <name val="Arial"/>
      <scheme val="minor"/>
    </font>
    <font>
      <b/>
      <u/>
      <sz val="12"/>
      <color rgb="FF990000"/>
      <name val="Arial"/>
    </font>
    <font>
      <b/>
      <u/>
      <sz val="14"/>
      <color rgb="FF0000FF"/>
      <name val="Arial"/>
    </font>
    <font>
      <sz val="16"/>
      <color theme="1"/>
      <name val="Arial"/>
      <scheme val="minor"/>
    </font>
    <font>
      <sz val="11"/>
      <color theme="1"/>
      <name val="Arial"/>
      <scheme val="minor"/>
    </font>
    <font>
      <b/>
      <sz val="14"/>
      <color rgb="FF000000"/>
      <name val="Arial"/>
    </font>
    <font>
      <b/>
      <sz val="11"/>
      <color theme="1"/>
      <name val="Arial"/>
    </font>
    <font>
      <sz val="24"/>
      <color theme="1"/>
      <name val="Arial"/>
      <scheme val="minor"/>
    </font>
    <font>
      <sz val="11"/>
      <color rgb="FF000000"/>
      <name val="Arial"/>
    </font>
    <font>
      <b/>
      <sz val="9"/>
      <color theme="1"/>
      <name val="Arial"/>
    </font>
    <font>
      <b/>
      <sz val="10"/>
      <color rgb="FFFF0000"/>
      <name val="Arial"/>
    </font>
    <font>
      <sz val="11"/>
      <name val="Arial"/>
    </font>
    <font>
      <b/>
      <sz val="10"/>
      <color rgb="FFFF9900"/>
      <name val="Arial"/>
    </font>
    <font>
      <u/>
      <sz val="11"/>
      <name val="Arial"/>
    </font>
    <font>
      <b/>
      <sz val="10"/>
      <color rgb="FF6AA84F"/>
      <name val="Arial"/>
    </font>
    <font>
      <sz val="10"/>
      <color rgb="FF6AA84F"/>
      <name val="Arial"/>
    </font>
    <font>
      <sz val="10"/>
      <color rgb="FFFF0000"/>
      <name val="Arial"/>
    </font>
    <font>
      <b/>
      <strike/>
      <sz val="10"/>
      <name val="Arial"/>
    </font>
    <font>
      <b/>
      <sz val="10"/>
      <color rgb="FF93C47D"/>
      <name val="Arial"/>
    </font>
    <font>
      <b/>
      <sz val="10"/>
      <color rgb="FFF1C232"/>
      <name val="Arial"/>
    </font>
    <font>
      <b/>
      <u/>
      <sz val="11"/>
      <name val="Arial"/>
    </font>
    <font>
      <b/>
      <sz val="11"/>
      <name val="Arial"/>
    </font>
    <font>
      <b/>
      <sz val="10"/>
      <color rgb="FF222222"/>
      <name val="Arial"/>
    </font>
    <font>
      <u/>
      <sz val="11"/>
      <color rgb="FF0000FF"/>
      <name val="Arial"/>
    </font>
    <font>
      <sz val="10"/>
      <color rgb="FFFF9900"/>
      <name val="Arial"/>
    </font>
    <font>
      <b/>
      <sz val="10"/>
      <color rgb="FF38761D"/>
      <name val="Arial"/>
    </font>
  </fonts>
  <fills count="216">
    <fill>
      <patternFill patternType="none"/>
    </fill>
    <fill>
      <patternFill patternType="gray125"/>
    </fill>
    <fill>
      <patternFill patternType="solid">
        <fgColor rgb="FFF6B26B"/>
        <bgColor rgb="FFF6B26B"/>
      </patternFill>
    </fill>
    <fill>
      <patternFill patternType="solid">
        <fgColor rgb="FFD9EAD3"/>
        <bgColor rgb="FFD9EAD3"/>
      </patternFill>
    </fill>
    <fill>
      <patternFill patternType="solid">
        <fgColor rgb="FFACCB77"/>
        <bgColor rgb="FFACCB77"/>
      </patternFill>
    </fill>
    <fill>
      <patternFill patternType="solid">
        <fgColor rgb="FFCFE2F3"/>
        <bgColor rgb="FFCFE2F3"/>
      </patternFill>
    </fill>
    <fill>
      <patternFill patternType="solid">
        <fgColor rgb="FFE8D36A"/>
        <bgColor rgb="FFE8D36A"/>
      </patternFill>
    </fill>
    <fill>
      <patternFill patternType="solid">
        <fgColor rgb="FFC9CD71"/>
        <bgColor rgb="FFC9CD71"/>
      </patternFill>
    </fill>
    <fill>
      <patternFill patternType="solid">
        <fgColor rgb="FFBACB74"/>
        <bgColor rgb="FFBACB74"/>
      </patternFill>
    </fill>
    <fill>
      <patternFill patternType="solid">
        <fgColor rgb="FFB3CA76"/>
        <bgColor rgb="FFB3CA76"/>
      </patternFill>
    </fill>
    <fill>
      <patternFill patternType="solid">
        <fgColor rgb="FFAAC878"/>
        <bgColor rgb="FFAAC878"/>
      </patternFill>
    </fill>
    <fill>
      <patternFill patternType="solid">
        <fgColor rgb="FFA3C779"/>
        <bgColor rgb="FFA3C779"/>
      </patternFill>
    </fill>
    <fill>
      <patternFill patternType="solid">
        <fgColor rgb="FF9FC67A"/>
        <bgColor rgb="FF9FC67A"/>
      </patternFill>
    </fill>
    <fill>
      <patternFill patternType="solid">
        <fgColor rgb="FFFFFFFF"/>
        <bgColor rgb="FFFFFFFF"/>
      </patternFill>
    </fill>
    <fill>
      <patternFill patternType="solid">
        <fgColor rgb="FFD7D06E"/>
        <bgColor rgb="FFD7D06E"/>
      </patternFill>
    </fill>
    <fill>
      <patternFill patternType="solid">
        <fgColor rgb="FFD1CF70"/>
        <bgColor rgb="FFD1CF70"/>
      </patternFill>
    </fill>
    <fill>
      <patternFill patternType="solid">
        <fgColor rgb="FFC2CC73"/>
        <bgColor rgb="FFC2CC73"/>
      </patternFill>
    </fill>
    <fill>
      <patternFill patternType="solid">
        <fgColor rgb="FFB9CB75"/>
        <bgColor rgb="FFB9CB75"/>
      </patternFill>
    </fill>
    <fill>
      <patternFill patternType="solid">
        <fgColor rgb="FFB4CA76"/>
        <bgColor rgb="FFB4CA76"/>
      </patternFill>
    </fill>
    <fill>
      <patternFill patternType="solid">
        <fgColor rgb="FFACC977"/>
        <bgColor rgb="FFACC977"/>
      </patternFill>
    </fill>
    <fill>
      <patternFill patternType="solid">
        <fgColor rgb="FFE1D16C"/>
        <bgColor rgb="FFE1D16C"/>
      </patternFill>
    </fill>
    <fill>
      <patternFill patternType="solid">
        <fgColor rgb="FFDDD16D"/>
        <bgColor rgb="FFDDD16D"/>
      </patternFill>
    </fill>
    <fill>
      <patternFill patternType="solid">
        <fgColor rgb="FFDAD06D"/>
        <bgColor rgb="FFDAD06D"/>
      </patternFill>
    </fill>
    <fill>
      <patternFill patternType="solid">
        <fgColor rgb="FFD6D06E"/>
        <bgColor rgb="FFD6D06E"/>
      </patternFill>
    </fill>
    <fill>
      <patternFill patternType="solid">
        <fgColor rgb="FFD2CF6F"/>
        <bgColor rgb="FFD2CF6F"/>
      </patternFill>
    </fill>
    <fill>
      <patternFill patternType="solid">
        <fgColor rgb="FFC5CD72"/>
        <bgColor rgb="FFC5CD72"/>
      </patternFill>
    </fill>
    <fill>
      <patternFill patternType="solid">
        <fgColor rgb="FFC0CC73"/>
        <bgColor rgb="FFC0CC73"/>
      </patternFill>
    </fill>
    <fill>
      <patternFill patternType="solid">
        <fgColor rgb="FFB7CA75"/>
        <bgColor rgb="FFB7CA75"/>
      </patternFill>
    </fill>
    <fill>
      <patternFill patternType="solid">
        <fgColor rgb="FFB8CB75"/>
        <bgColor rgb="FFB8CB75"/>
      </patternFill>
    </fill>
    <fill>
      <patternFill patternType="solid">
        <fgColor rgb="FFFFCF64"/>
        <bgColor rgb="FFFFCF64"/>
      </patternFill>
    </fill>
    <fill>
      <patternFill patternType="solid">
        <fgColor rgb="FFE3D26B"/>
        <bgColor rgb="FFE3D26B"/>
      </patternFill>
    </fill>
    <fill>
      <patternFill patternType="solid">
        <fgColor rgb="FFCBCE71"/>
        <bgColor rgb="FFCBCE71"/>
      </patternFill>
    </fill>
    <fill>
      <patternFill patternType="solid">
        <fgColor rgb="FFC7CD72"/>
        <bgColor rgb="FFC7CD72"/>
      </patternFill>
    </fill>
    <fill>
      <patternFill patternType="solid">
        <fgColor rgb="FFC3CC72"/>
        <bgColor rgb="FFC3CC72"/>
      </patternFill>
    </fill>
    <fill>
      <patternFill patternType="solid">
        <fgColor rgb="FFFF8151"/>
        <bgColor rgb="FFFF8151"/>
      </patternFill>
    </fill>
    <fill>
      <patternFill patternType="solid">
        <fgColor rgb="FFFFCC63"/>
        <bgColor rgb="FFFFCC63"/>
      </patternFill>
    </fill>
    <fill>
      <patternFill patternType="solid">
        <fgColor rgb="FFCDCE70"/>
        <bgColor rgb="FFCDCE70"/>
      </patternFill>
    </fill>
    <fill>
      <patternFill patternType="solid">
        <fgColor rgb="FFC1CC73"/>
        <bgColor rgb="FFC1CC73"/>
      </patternFill>
    </fill>
    <fill>
      <patternFill patternType="solid">
        <fgColor rgb="FFFBD666"/>
        <bgColor rgb="FFFBD666"/>
      </patternFill>
    </fill>
    <fill>
      <patternFill patternType="solid">
        <fgColor rgb="FFD0CF70"/>
        <bgColor rgb="FFD0CF70"/>
      </patternFill>
    </fill>
    <fill>
      <patternFill patternType="solid">
        <fgColor rgb="FFAFC977"/>
        <bgColor rgb="FFAFC977"/>
      </patternFill>
    </fill>
    <fill>
      <patternFill patternType="solid">
        <fgColor rgb="FFAEC977"/>
        <bgColor rgb="FFAEC977"/>
      </patternFill>
    </fill>
    <fill>
      <patternFill patternType="solid">
        <fgColor rgb="FFA7C878"/>
        <bgColor rgb="FFA7C878"/>
      </patternFill>
    </fill>
    <fill>
      <patternFill patternType="solid">
        <fgColor rgb="FFD9D06E"/>
        <bgColor rgb="FFD9D06E"/>
      </patternFill>
    </fill>
    <fill>
      <patternFill patternType="solid">
        <fgColor rgb="FFB5CA75"/>
        <bgColor rgb="FFB5CA75"/>
      </patternFill>
    </fill>
    <fill>
      <patternFill patternType="solid">
        <fgColor rgb="FFB1C976"/>
        <bgColor rgb="FFB1C976"/>
      </patternFill>
    </fill>
    <fill>
      <patternFill patternType="solid">
        <fgColor rgb="FFADC977"/>
        <bgColor rgb="FFADC977"/>
      </patternFill>
    </fill>
    <fill>
      <patternFill patternType="solid">
        <fgColor rgb="FFA6C878"/>
        <bgColor rgb="FFA6C878"/>
      </patternFill>
    </fill>
    <fill>
      <patternFill patternType="solid">
        <fgColor rgb="FFE0D16C"/>
        <bgColor rgb="FFE0D16C"/>
      </patternFill>
    </fill>
    <fill>
      <patternFill patternType="solid">
        <fgColor rgb="FFCACE71"/>
        <bgColor rgb="FFCACE71"/>
      </patternFill>
    </fill>
    <fill>
      <patternFill patternType="solid">
        <fgColor rgb="FFBDCB74"/>
        <bgColor rgb="FFBDCB74"/>
      </patternFill>
    </fill>
    <fill>
      <patternFill patternType="solid">
        <fgColor rgb="FFB9CB74"/>
        <bgColor rgb="FFB9CB74"/>
      </patternFill>
    </fill>
    <fill>
      <patternFill patternType="solid">
        <fgColor rgb="FFFF774F"/>
        <bgColor rgb="FFFF774F"/>
      </patternFill>
    </fill>
    <fill>
      <patternFill patternType="solid">
        <fgColor rgb="FFFFA65A"/>
        <bgColor rgb="FFFFA65A"/>
      </patternFill>
    </fill>
    <fill>
      <patternFill patternType="solid">
        <fgColor rgb="FFFFAD5C"/>
        <bgColor rgb="FFFFAD5C"/>
      </patternFill>
    </fill>
    <fill>
      <patternFill patternType="solid">
        <fgColor rgb="FFFFC161"/>
        <bgColor rgb="FFFFC161"/>
      </patternFill>
    </fill>
    <fill>
      <patternFill patternType="solid">
        <fgColor rgb="FFFFC862"/>
        <bgColor rgb="FFFFC862"/>
      </patternFill>
    </fill>
    <fill>
      <patternFill patternType="solid">
        <fgColor rgb="FFFFC561"/>
        <bgColor rgb="FFFFC561"/>
      </patternFill>
    </fill>
    <fill>
      <patternFill patternType="solid">
        <fgColor rgb="FFFFB75E"/>
        <bgColor rgb="FFFFB75E"/>
      </patternFill>
    </fill>
    <fill>
      <patternFill patternType="solid">
        <fgColor rgb="FFF0D469"/>
        <bgColor rgb="FFF0D469"/>
      </patternFill>
    </fill>
    <fill>
      <patternFill patternType="solid">
        <fgColor rgb="FFDED16D"/>
        <bgColor rgb="FFDED16D"/>
      </patternFill>
    </fill>
    <fill>
      <patternFill patternType="solid">
        <fgColor rgb="FFDAD06E"/>
        <bgColor rgb="FFDAD06E"/>
      </patternFill>
    </fill>
    <fill>
      <patternFill patternType="solid">
        <fgColor rgb="FFD8D06E"/>
        <bgColor rgb="FFD8D06E"/>
      </patternFill>
    </fill>
    <fill>
      <patternFill patternType="solid">
        <fgColor rgb="FFE7D26B"/>
        <bgColor rgb="FFE7D26B"/>
      </patternFill>
    </fill>
    <fill>
      <patternFill patternType="solid">
        <fgColor rgb="FFDFD16C"/>
        <bgColor rgb="FFDFD16C"/>
      </patternFill>
    </fill>
    <fill>
      <patternFill patternType="solid">
        <fgColor rgb="FFE8D36B"/>
        <bgColor rgb="FFE8D36B"/>
      </patternFill>
    </fill>
    <fill>
      <patternFill patternType="solid">
        <fgColor rgb="FFF1D469"/>
        <bgColor rgb="FFF1D469"/>
      </patternFill>
    </fill>
    <fill>
      <patternFill patternType="solid">
        <fgColor rgb="FFFDD666"/>
        <bgColor rgb="FFFDD666"/>
      </patternFill>
    </fill>
    <fill>
      <patternFill patternType="solid">
        <fgColor rgb="FFFCD666"/>
        <bgColor rgb="FFFCD666"/>
      </patternFill>
    </fill>
    <fill>
      <patternFill patternType="solid">
        <fgColor rgb="FFE4D26B"/>
        <bgColor rgb="FFE4D26B"/>
      </patternFill>
    </fill>
    <fill>
      <patternFill patternType="solid">
        <fgColor rgb="FFDFD16D"/>
        <bgColor rgb="FFDFD16D"/>
      </patternFill>
    </fill>
    <fill>
      <patternFill patternType="solid">
        <fgColor rgb="FFF3D468"/>
        <bgColor rgb="FFF3D468"/>
      </patternFill>
    </fill>
    <fill>
      <patternFill patternType="solid">
        <fgColor rgb="FFC7CD71"/>
        <bgColor rgb="FFC7CD71"/>
      </patternFill>
    </fill>
    <fill>
      <patternFill patternType="solid">
        <fgColor rgb="FFCCCE70"/>
        <bgColor rgb="FFCCCE70"/>
      </patternFill>
    </fill>
    <fill>
      <patternFill patternType="solid">
        <fgColor rgb="FFCFCE70"/>
        <bgColor rgb="FFCFCE70"/>
      </patternFill>
    </fill>
    <fill>
      <patternFill patternType="solid">
        <fgColor rgb="FFD1CF6F"/>
        <bgColor rgb="FFD1CF6F"/>
      </patternFill>
    </fill>
    <fill>
      <patternFill patternType="solid">
        <fgColor rgb="FFD5CF6F"/>
        <bgColor rgb="FFD5CF6F"/>
      </patternFill>
    </fill>
    <fill>
      <patternFill patternType="solid">
        <fgColor rgb="FFBBCB74"/>
        <bgColor rgb="FFBBCB74"/>
      </patternFill>
    </fill>
    <fill>
      <patternFill patternType="solid">
        <fgColor rgb="FF9CC67B"/>
        <bgColor rgb="FF9CC67B"/>
      </patternFill>
    </fill>
    <fill>
      <patternFill patternType="solid">
        <fgColor rgb="FF93C47D"/>
        <bgColor rgb="FF93C47D"/>
      </patternFill>
    </fill>
    <fill>
      <patternFill patternType="solid">
        <fgColor rgb="FFA0C77A"/>
        <bgColor rgb="FFA0C77A"/>
      </patternFill>
    </fill>
    <fill>
      <patternFill patternType="solid">
        <fgColor rgb="FF96C57C"/>
        <bgColor rgb="FF96C57C"/>
      </patternFill>
    </fill>
    <fill>
      <patternFill patternType="solid">
        <fgColor rgb="FFE3D26C"/>
        <bgColor rgb="FFE3D26C"/>
      </patternFill>
    </fill>
    <fill>
      <patternFill patternType="solid">
        <fgColor rgb="FFBCCB74"/>
        <bgColor rgb="FFBCCB74"/>
      </patternFill>
    </fill>
    <fill>
      <patternFill patternType="solid">
        <fgColor rgb="FFB2CA76"/>
        <bgColor rgb="FFB2CA76"/>
      </patternFill>
    </fill>
    <fill>
      <patternFill patternType="solid">
        <fgColor rgb="FFE2D26C"/>
        <bgColor rgb="FFE2D26C"/>
      </patternFill>
    </fill>
    <fill>
      <patternFill patternType="solid">
        <fgColor rgb="FFA2C779"/>
        <bgColor rgb="FFA2C779"/>
      </patternFill>
    </fill>
    <fill>
      <patternFill patternType="solid">
        <fgColor rgb="FF99C57B"/>
        <bgColor rgb="FF99C57B"/>
      </patternFill>
    </fill>
    <fill>
      <patternFill patternType="solid">
        <fgColor rgb="FFA1C77A"/>
        <bgColor rgb="FFA1C77A"/>
      </patternFill>
    </fill>
    <fill>
      <patternFill patternType="solid">
        <fgColor rgb="FF97C57C"/>
        <bgColor rgb="FF97C57C"/>
      </patternFill>
    </fill>
    <fill>
      <patternFill patternType="solid">
        <fgColor rgb="FFEED469"/>
        <bgColor rgb="FFEED469"/>
      </patternFill>
    </fill>
    <fill>
      <patternFill patternType="solid">
        <fgColor rgb="FFD5CF6E"/>
        <bgColor rgb="FFD5CF6E"/>
      </patternFill>
    </fill>
    <fill>
      <patternFill patternType="solid">
        <fgColor rgb="FFEAD36A"/>
        <bgColor rgb="FFEAD36A"/>
      </patternFill>
    </fill>
    <fill>
      <patternFill patternType="solid">
        <fgColor rgb="FFF7D567"/>
        <bgColor rgb="FFF7D567"/>
      </patternFill>
    </fill>
    <fill>
      <patternFill patternType="solid">
        <fgColor rgb="FFCECE70"/>
        <bgColor rgb="FFCECE70"/>
      </patternFill>
    </fill>
    <fill>
      <patternFill patternType="solid">
        <fgColor rgb="FFEDD369"/>
        <bgColor rgb="FFEDD369"/>
      </patternFill>
    </fill>
    <fill>
      <patternFill patternType="solid">
        <fgColor rgb="FFFFD666"/>
        <bgColor rgb="FFFFD666"/>
      </patternFill>
    </fill>
    <fill>
      <patternFill patternType="solid">
        <fgColor rgb="FFF9D567"/>
        <bgColor rgb="FFF9D567"/>
      </patternFill>
    </fill>
    <fill>
      <patternFill patternType="solid">
        <fgColor rgb="FFEFD469"/>
        <bgColor rgb="FFEFD469"/>
      </patternFill>
    </fill>
    <fill>
      <patternFill patternType="solid">
        <fgColor rgb="FFFFC461"/>
        <bgColor rgb="FFFFC461"/>
      </patternFill>
    </fill>
    <fill>
      <patternFill patternType="solid">
        <fgColor rgb="FFFED666"/>
        <bgColor rgb="FFFED666"/>
      </patternFill>
    </fill>
    <fill>
      <patternFill patternType="solid">
        <fgColor rgb="FFF8D567"/>
        <bgColor rgb="FFF8D567"/>
      </patternFill>
    </fill>
    <fill>
      <patternFill patternType="solid">
        <fgColor rgb="FFFFB95E"/>
        <bgColor rgb="FFFFB95E"/>
      </patternFill>
    </fill>
    <fill>
      <patternFill patternType="solid">
        <fgColor rgb="FFF4D568"/>
        <bgColor rgb="FFF4D568"/>
      </patternFill>
    </fill>
    <fill>
      <patternFill patternType="solid">
        <fgColor rgb="FFFF8452"/>
        <bgColor rgb="FFFF8452"/>
      </patternFill>
    </fill>
    <fill>
      <patternFill patternType="solid">
        <fgColor rgb="FFFFA75A"/>
        <bgColor rgb="FFFFA75A"/>
      </patternFill>
    </fill>
    <fill>
      <patternFill patternType="solid">
        <fgColor rgb="FFFFD265"/>
        <bgColor rgb="FFFFD265"/>
      </patternFill>
    </fill>
    <fill>
      <patternFill patternType="solid">
        <fgColor rgb="FFF6D567"/>
        <bgColor rgb="FFF6D567"/>
      </patternFill>
    </fill>
    <fill>
      <patternFill patternType="solid">
        <fgColor rgb="FFEBD36A"/>
        <bgColor rgb="FFEBD36A"/>
      </patternFill>
    </fill>
    <fill>
      <patternFill patternType="solid">
        <fgColor rgb="FFFAD667"/>
        <bgColor rgb="FFFAD667"/>
      </patternFill>
    </fill>
    <fill>
      <patternFill patternType="solid">
        <fgColor rgb="FFFF794F"/>
        <bgColor rgb="FFFF794F"/>
      </patternFill>
    </fill>
    <fill>
      <patternFill patternType="solid">
        <fgColor rgb="FFFFD465"/>
        <bgColor rgb="FFFFD465"/>
      </patternFill>
    </fill>
    <fill>
      <patternFill patternType="solid">
        <fgColor rgb="FFFFB35D"/>
        <bgColor rgb="FFFFB35D"/>
      </patternFill>
    </fill>
    <fill>
      <patternFill patternType="solid">
        <fgColor rgb="FFF5D568"/>
        <bgColor rgb="FFF5D568"/>
      </patternFill>
    </fill>
    <fill>
      <patternFill patternType="solid">
        <fgColor rgb="FFB6CA75"/>
        <bgColor rgb="FFB6CA75"/>
      </patternFill>
    </fill>
    <fill>
      <patternFill patternType="solid">
        <fgColor rgb="FFFFD365"/>
        <bgColor rgb="FFFFD365"/>
      </patternFill>
    </fill>
    <fill>
      <patternFill patternType="solid">
        <fgColor rgb="FFE5D26B"/>
        <bgColor rgb="FFE5D26B"/>
      </patternFill>
    </fill>
    <fill>
      <patternFill patternType="solid">
        <fgColor rgb="FFFFB25D"/>
        <bgColor rgb="FFFFB25D"/>
      </patternFill>
    </fill>
    <fill>
      <patternFill patternType="solid">
        <fgColor rgb="FFF6D568"/>
        <bgColor rgb="FFF6D568"/>
      </patternFill>
    </fill>
    <fill>
      <patternFill patternType="solid">
        <fgColor rgb="FFECD36A"/>
        <bgColor rgb="FFECD36A"/>
      </patternFill>
    </fill>
    <fill>
      <patternFill patternType="solid">
        <fgColor rgb="FFDCD16D"/>
        <bgColor rgb="FFDCD16D"/>
      </patternFill>
    </fill>
    <fill>
      <patternFill patternType="solid">
        <fgColor rgb="FFDBD06D"/>
        <bgColor rgb="FFDBD06D"/>
      </patternFill>
    </fill>
    <fill>
      <patternFill patternType="solid">
        <fgColor rgb="FFFFAA5B"/>
        <bgColor rgb="FFFFAA5B"/>
      </patternFill>
    </fill>
    <fill>
      <patternFill patternType="solid">
        <fgColor rgb="FFC8CD71"/>
        <bgColor rgb="FFC8CD71"/>
      </patternFill>
    </fill>
    <fill>
      <patternFill patternType="solid">
        <fgColor rgb="FFFF9B57"/>
        <bgColor rgb="FFFF9B57"/>
      </patternFill>
    </fill>
    <fill>
      <patternFill patternType="solid">
        <fgColor rgb="FFFFB95F"/>
        <bgColor rgb="FFFFB95F"/>
      </patternFill>
    </fill>
    <fill>
      <patternFill patternType="solid">
        <fgColor rgb="FFBECC73"/>
        <bgColor rgb="FFBECC73"/>
      </patternFill>
    </fill>
    <fill>
      <patternFill patternType="solid">
        <fgColor rgb="FFB0C976"/>
        <bgColor rgb="FFB0C976"/>
      </patternFill>
    </fill>
    <fill>
      <patternFill patternType="solid">
        <fgColor rgb="FFFFC562"/>
        <bgColor rgb="FFFFC562"/>
      </patternFill>
    </fill>
    <fill>
      <patternFill patternType="solid">
        <fgColor rgb="FFFFCB63"/>
        <bgColor rgb="FFFFCB63"/>
      </patternFill>
    </fill>
    <fill>
      <patternFill patternType="solid">
        <fgColor rgb="FFE9D36A"/>
        <bgColor rgb="FFE9D36A"/>
      </patternFill>
    </fill>
    <fill>
      <patternFill patternType="solid">
        <fgColor rgb="FFFBD667"/>
        <bgColor rgb="FFFBD667"/>
      </patternFill>
    </fill>
    <fill>
      <patternFill patternType="solid">
        <fgColor rgb="FFF2D468"/>
        <bgColor rgb="FFF2D468"/>
      </patternFill>
    </fill>
    <fill>
      <patternFill patternType="solid">
        <fgColor rgb="FFFFA359"/>
        <bgColor rgb="FFFFA359"/>
      </patternFill>
    </fill>
    <fill>
      <patternFill patternType="solid">
        <fgColor rgb="FFFFCD63"/>
        <bgColor rgb="FFFFCD63"/>
      </patternFill>
    </fill>
    <fill>
      <patternFill patternType="solid">
        <fgColor rgb="FFE6D26B"/>
        <bgColor rgb="FFE6D26B"/>
      </patternFill>
    </fill>
    <fill>
      <patternFill patternType="solid">
        <fgColor rgb="FFFFC060"/>
        <bgColor rgb="FFFFC060"/>
      </patternFill>
    </fill>
    <fill>
      <patternFill patternType="solid">
        <fgColor rgb="FFFFB85E"/>
        <bgColor rgb="FFFFB85E"/>
      </patternFill>
    </fill>
    <fill>
      <patternFill patternType="solid">
        <fgColor rgb="FFC6CD72"/>
        <bgColor rgb="FFC6CD72"/>
      </patternFill>
    </fill>
    <fill>
      <patternFill patternType="solid">
        <fgColor rgb="FFFF6D4C"/>
        <bgColor rgb="FFFF6D4C"/>
      </patternFill>
    </fill>
    <fill>
      <patternFill patternType="solid">
        <fgColor rgb="FFFFCE64"/>
        <bgColor rgb="FFFFCE64"/>
      </patternFill>
    </fill>
    <fill>
      <patternFill patternType="solid">
        <fgColor rgb="FFFF9C57"/>
        <bgColor rgb="FFFF9C57"/>
      </patternFill>
    </fill>
    <fill>
      <patternFill patternType="solid">
        <fgColor rgb="FFD3CF6F"/>
        <bgColor rgb="FFD3CF6F"/>
      </patternFill>
    </fill>
    <fill>
      <patternFill patternType="solid">
        <fgColor rgb="FFFFD164"/>
        <bgColor rgb="FFFFD164"/>
      </patternFill>
    </fill>
    <fill>
      <patternFill patternType="solid">
        <fgColor rgb="FFFFD165"/>
        <bgColor rgb="FFFFD165"/>
      </patternFill>
    </fill>
    <fill>
      <patternFill patternType="solid">
        <fgColor rgb="FFC4CD72"/>
        <bgColor rgb="FFC4CD72"/>
      </patternFill>
    </fill>
    <fill>
      <patternFill patternType="solid">
        <fgColor rgb="FFFFBD60"/>
        <bgColor rgb="FFFFBD60"/>
      </patternFill>
    </fill>
    <fill>
      <patternFill patternType="solid">
        <fgColor rgb="FFFFD565"/>
        <bgColor rgb="FFFFD565"/>
      </patternFill>
    </fill>
    <fill>
      <patternFill patternType="solid">
        <fgColor rgb="FFEDD36A"/>
        <bgColor rgb="FFEDD36A"/>
      </patternFill>
    </fill>
    <fill>
      <patternFill patternType="solid">
        <fgColor rgb="FFFFB65E"/>
        <bgColor rgb="FFFFB65E"/>
      </patternFill>
    </fill>
    <fill>
      <patternFill patternType="solid">
        <fgColor rgb="FFFFD064"/>
        <bgColor rgb="FFFFD064"/>
      </patternFill>
    </fill>
    <fill>
      <patternFill patternType="solid">
        <fgColor rgb="FFFFA95B"/>
        <bgColor rgb="FFFFA95B"/>
      </patternFill>
    </fill>
    <fill>
      <patternFill patternType="solid">
        <fgColor rgb="FFFFBF60"/>
        <bgColor rgb="FFFFBF60"/>
      </patternFill>
    </fill>
    <fill>
      <patternFill patternType="solid">
        <fgColor rgb="FFFFBC5F"/>
        <bgColor rgb="FFFFBC5F"/>
      </patternFill>
    </fill>
    <fill>
      <patternFill patternType="solid">
        <fgColor rgb="FFFFB45D"/>
        <bgColor rgb="FFFFB45D"/>
      </patternFill>
    </fill>
    <fill>
      <patternFill patternType="solid">
        <fgColor rgb="FFFFB05C"/>
        <bgColor rgb="FFFFB05C"/>
      </patternFill>
    </fill>
    <fill>
      <patternFill patternType="solid">
        <fgColor rgb="FFFFA059"/>
        <bgColor rgb="FFFFA059"/>
      </patternFill>
    </fill>
    <fill>
      <patternFill patternType="solid">
        <fgColor rgb="FFFF8853"/>
        <bgColor rgb="FFFF8853"/>
      </patternFill>
    </fill>
    <fill>
      <patternFill patternType="solid">
        <fgColor rgb="FFFF8351"/>
        <bgColor rgb="FFFF8351"/>
      </patternFill>
    </fill>
    <fill>
      <patternFill patternType="solid">
        <fgColor rgb="FFFF8D54"/>
        <bgColor rgb="FFFF8D54"/>
      </patternFill>
    </fill>
    <fill>
      <patternFill patternType="solid">
        <fgColor rgb="FFFF8E54"/>
        <bgColor rgb="FFFF8E54"/>
      </patternFill>
    </fill>
    <fill>
      <patternFill patternType="solid">
        <fgColor rgb="FFFF8251"/>
        <bgColor rgb="FFFF8251"/>
      </patternFill>
    </fill>
    <fill>
      <patternFill patternType="solid">
        <fgColor rgb="FFFF8C54"/>
        <bgColor rgb="FFFF8C54"/>
      </patternFill>
    </fill>
    <fill>
      <patternFill patternType="solid">
        <fgColor rgb="FFFF9556"/>
        <bgColor rgb="FFFF9556"/>
      </patternFill>
    </fill>
    <fill>
      <patternFill patternType="solid">
        <fgColor rgb="FFFFCA63"/>
        <bgColor rgb="FFFFCA63"/>
      </patternFill>
    </fill>
    <fill>
      <patternFill patternType="solid">
        <fgColor rgb="FFFFBE60"/>
        <bgColor rgb="FFFFBE60"/>
      </patternFill>
    </fill>
    <fill>
      <patternFill patternType="solid">
        <fgColor rgb="FFFF9857"/>
        <bgColor rgb="FFFF9857"/>
      </patternFill>
    </fill>
    <fill>
      <patternFill patternType="solid">
        <fgColor rgb="FFBFCC73"/>
        <bgColor rgb="FFBFCC73"/>
      </patternFill>
    </fill>
    <fill>
      <patternFill patternType="solid">
        <fgColor rgb="FFCCCE71"/>
        <bgColor rgb="FFCCCE71"/>
      </patternFill>
    </fill>
    <fill>
      <patternFill patternType="solid">
        <fgColor rgb="FFFF9E58"/>
        <bgColor rgb="FFFF9E58"/>
      </patternFill>
    </fill>
    <fill>
      <patternFill patternType="solid">
        <fgColor rgb="FFA6C879"/>
        <bgColor rgb="FFA6C879"/>
      </patternFill>
    </fill>
    <fill>
      <patternFill patternType="solid">
        <fgColor rgb="FF9BC67B"/>
        <bgColor rgb="FF9BC67B"/>
      </patternFill>
    </fill>
    <fill>
      <patternFill patternType="solid">
        <fgColor rgb="FFD4CF6F"/>
        <bgColor rgb="FFD4CF6F"/>
      </patternFill>
    </fill>
    <fill>
      <patternFill patternType="solid">
        <fgColor rgb="FFFF6C4C"/>
        <bgColor rgb="FFFF6C4C"/>
      </patternFill>
    </fill>
    <fill>
      <patternFill patternType="solid">
        <fgColor rgb="FFFF724D"/>
        <bgColor rgb="FFFF724D"/>
      </patternFill>
    </fill>
    <fill>
      <patternFill patternType="solid">
        <fgColor rgb="FFFF9A57"/>
        <bgColor rgb="FFFF9A57"/>
      </patternFill>
    </fill>
    <fill>
      <patternFill patternType="solid">
        <fgColor rgb="FFFF674B"/>
        <bgColor rgb="FFFF674B"/>
      </patternFill>
    </fill>
    <fill>
      <patternFill patternType="solid">
        <fgColor rgb="FFFFC762"/>
        <bgColor rgb="FFFFC762"/>
      </patternFill>
    </fill>
    <fill>
      <patternFill patternType="solid">
        <fgColor rgb="FFFF7D50"/>
        <bgColor rgb="FFFF7D50"/>
      </patternFill>
    </fill>
    <fill>
      <patternFill patternType="solid">
        <fgColor rgb="FFFF9456"/>
        <bgColor rgb="FFFF9456"/>
      </patternFill>
    </fill>
    <fill>
      <patternFill patternType="solid">
        <fgColor rgb="FFFF6F4D"/>
        <bgColor rgb="FFFF6F4D"/>
      </patternFill>
    </fill>
    <fill>
      <patternFill patternType="solid">
        <fgColor rgb="FFABC878"/>
        <bgColor rgb="FFABC878"/>
      </patternFill>
    </fill>
    <fill>
      <patternFill patternType="solid">
        <fgColor rgb="FFFF9656"/>
        <bgColor rgb="FFFF9656"/>
      </patternFill>
    </fill>
    <fill>
      <patternFill patternType="solid">
        <fgColor rgb="FFFF634A"/>
        <bgColor rgb="FFFF634A"/>
      </patternFill>
    </fill>
    <fill>
      <patternFill patternType="solid">
        <fgColor rgb="FFFF4242"/>
        <bgColor rgb="FFFF4242"/>
      </patternFill>
    </fill>
    <fill>
      <patternFill patternType="solid">
        <fgColor rgb="FFFFAC5B"/>
        <bgColor rgb="FFFFAC5B"/>
      </patternFill>
    </fill>
    <fill>
      <patternFill patternType="solid">
        <fgColor rgb="FFFF4542"/>
        <bgColor rgb="FFFF4542"/>
      </patternFill>
    </fill>
    <fill>
      <patternFill patternType="solid">
        <fgColor rgb="FFFFB55E"/>
        <bgColor rgb="FFFFB55E"/>
      </patternFill>
    </fill>
    <fill>
      <patternFill patternType="solid">
        <fgColor rgb="FFFF754E"/>
        <bgColor rgb="FFFF754E"/>
      </patternFill>
    </fill>
    <fill>
      <patternFill patternType="solid">
        <fgColor rgb="FFA9C878"/>
        <bgColor rgb="FFA9C878"/>
      </patternFill>
    </fill>
    <fill>
      <patternFill patternType="solid">
        <fgColor rgb="FFA8C878"/>
        <bgColor rgb="FFA8C878"/>
      </patternFill>
    </fill>
    <fill>
      <patternFill patternType="solid">
        <fgColor rgb="FF9DC67B"/>
        <bgColor rgb="FF9DC67B"/>
      </patternFill>
    </fill>
    <fill>
      <patternFill patternType="solid">
        <fgColor rgb="FFFF8752"/>
        <bgColor rgb="FFFF8752"/>
      </patternFill>
    </fill>
    <fill>
      <patternFill patternType="solid">
        <fgColor rgb="FFFF5646"/>
        <bgColor rgb="FFFF5646"/>
      </patternFill>
    </fill>
    <fill>
      <patternFill patternType="solid">
        <fgColor rgb="FFFF6B4B"/>
        <bgColor rgb="FFFF6B4B"/>
      </patternFill>
    </fill>
    <fill>
      <patternFill patternType="solid">
        <fgColor rgb="FFFF8051"/>
        <bgColor rgb="FFFF8051"/>
      </patternFill>
    </fill>
    <fill>
      <patternFill patternType="solid">
        <fgColor rgb="FFFF5C48"/>
        <bgColor rgb="FFFF5C48"/>
      </patternFill>
    </fill>
    <fill>
      <patternFill patternType="solid">
        <fgColor rgb="FFFF694B"/>
        <bgColor rgb="FFFF694B"/>
      </patternFill>
    </fill>
    <fill>
      <patternFill patternType="solid">
        <fgColor rgb="FFBECC74"/>
        <bgColor rgb="FFBECC74"/>
      </patternFill>
    </fill>
    <fill>
      <patternFill patternType="solid">
        <fgColor rgb="FFFF4342"/>
        <bgColor rgb="FFFF4342"/>
      </patternFill>
    </fill>
    <fill>
      <patternFill patternType="solid">
        <fgColor rgb="FF95C57C"/>
        <bgColor rgb="FF95C57C"/>
      </patternFill>
    </fill>
    <fill>
      <patternFill patternType="solid">
        <fgColor theme="6"/>
        <bgColor theme="6"/>
      </patternFill>
    </fill>
    <fill>
      <patternFill patternType="solid">
        <fgColor rgb="FFEFEFEF"/>
        <bgColor rgb="FFEFEFEF"/>
      </patternFill>
    </fill>
    <fill>
      <patternFill patternType="solid">
        <fgColor rgb="FFD9D9D9"/>
        <bgColor rgb="FFD9D9D9"/>
      </patternFill>
    </fill>
    <fill>
      <patternFill patternType="solid">
        <fgColor rgb="FFF4CCCC"/>
        <bgColor rgb="FFF4CCCC"/>
      </patternFill>
    </fill>
    <fill>
      <patternFill patternType="solid">
        <fgColor rgb="FFFBBC04"/>
        <bgColor rgb="FFFBBC04"/>
      </patternFill>
    </fill>
    <fill>
      <patternFill patternType="solid">
        <fgColor rgb="FFEA9999"/>
        <bgColor rgb="FFEA9999"/>
      </patternFill>
    </fill>
    <fill>
      <patternFill patternType="solid">
        <fgColor rgb="FFF9CB9C"/>
        <bgColor rgb="FFF9CB9C"/>
      </patternFill>
    </fill>
    <fill>
      <patternFill patternType="solid">
        <fgColor rgb="FF9FC5E8"/>
        <bgColor rgb="FF9FC5E8"/>
      </patternFill>
    </fill>
    <fill>
      <patternFill patternType="solid">
        <fgColor rgb="FFE06666"/>
        <bgColor rgb="FFE06666"/>
      </patternFill>
    </fill>
    <fill>
      <patternFill patternType="solid">
        <fgColor rgb="FFB6D7A8"/>
        <bgColor rgb="FFB6D7A8"/>
      </patternFill>
    </fill>
    <fill>
      <patternFill patternType="solid">
        <fgColor rgb="FFFFD966"/>
        <bgColor rgb="FFFFD966"/>
      </patternFill>
    </fill>
    <fill>
      <patternFill patternType="solid">
        <fgColor rgb="FFC27BA0"/>
        <bgColor rgb="FFC27BA0"/>
      </patternFill>
    </fill>
    <fill>
      <patternFill patternType="solid">
        <fgColor rgb="FFD5A6BD"/>
        <bgColor rgb="FFD5A6BD"/>
      </patternFill>
    </fill>
    <fill>
      <patternFill patternType="solid">
        <fgColor rgb="FFFF0000"/>
        <bgColor rgb="FFFF0000"/>
      </patternFill>
    </fill>
    <fill>
      <patternFill patternType="solid">
        <fgColor rgb="FF4A86E8"/>
        <bgColor rgb="FF4A86E8"/>
      </patternFill>
    </fill>
  </fills>
  <borders count="6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hair">
        <color rgb="FF000000"/>
      </left>
      <right style="hair">
        <color rgb="FF000000"/>
      </right>
      <top style="hair">
        <color rgb="FF000000"/>
      </top>
      <bottom style="hair">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hair">
        <color rgb="FF000000"/>
      </right>
      <top/>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diagonal/>
    </border>
    <border>
      <left style="hair">
        <color rgb="FF000000"/>
      </left>
      <right style="medium">
        <color rgb="FF000000"/>
      </right>
      <top/>
      <bottom/>
      <diagonal/>
    </border>
    <border>
      <left/>
      <right style="hair">
        <color rgb="FF000000"/>
      </right>
      <top/>
      <bottom/>
      <diagonal/>
    </border>
    <border>
      <left/>
      <right style="hair">
        <color rgb="FF000000"/>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right/>
      <top style="medium">
        <color rgb="FF000000"/>
      </top>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right style="medium">
        <color rgb="FF000000"/>
      </right>
      <top style="medium">
        <color rgb="FF000000"/>
      </top>
      <bottom style="hair">
        <color rgb="FF000000"/>
      </bottom>
      <diagonal/>
    </border>
    <border>
      <left/>
      <right style="medium">
        <color rgb="FF000000"/>
      </right>
      <top style="medium">
        <color rgb="FF000000"/>
      </top>
      <bottom/>
      <diagonal/>
    </border>
    <border>
      <left style="hair">
        <color rgb="FF000000"/>
      </left>
      <right style="hair">
        <color rgb="FF000000"/>
      </right>
      <top/>
      <bottom style="hair">
        <color rgb="FF000000"/>
      </bottom>
      <diagonal/>
    </border>
    <border>
      <left/>
      <right style="hair">
        <color rgb="FF000000"/>
      </right>
      <top/>
      <bottom style="thin">
        <color rgb="FF000000"/>
      </bottom>
      <diagonal/>
    </border>
    <border>
      <left/>
      <right style="hair">
        <color rgb="FF000000"/>
      </right>
      <top/>
      <bottom style="hair">
        <color rgb="FF000000"/>
      </bottom>
      <diagonal/>
    </border>
    <border>
      <left style="hair">
        <color rgb="FF000000"/>
      </left>
      <right style="thin">
        <color rgb="FF000000"/>
      </right>
      <top/>
      <bottom style="hair">
        <color rgb="FF000000"/>
      </bottom>
      <diagonal/>
    </border>
    <border>
      <left style="hair">
        <color rgb="FF000000"/>
      </left>
      <right style="thin">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medium">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top style="medium">
        <color rgb="FF000000"/>
      </top>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dotted">
        <color rgb="FF000000"/>
      </bottom>
      <diagonal/>
    </border>
    <border>
      <left style="medium">
        <color rgb="FF000000"/>
      </left>
      <right/>
      <top/>
      <bottom style="dotted">
        <color rgb="FF000000"/>
      </bottom>
      <diagonal/>
    </border>
    <border>
      <left style="dotted">
        <color rgb="FF000000"/>
      </left>
      <right style="medium">
        <color rgb="FF000000"/>
      </right>
      <top/>
      <bottom style="dotted">
        <color rgb="FF000000"/>
      </bottom>
      <diagonal/>
    </border>
    <border>
      <left style="dotted">
        <color rgb="FF000000"/>
      </left>
      <right/>
      <top/>
      <bottom/>
      <diagonal/>
    </border>
    <border>
      <left style="medium">
        <color rgb="FF000000"/>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dotted">
        <color rgb="FF000000"/>
      </left>
      <right style="medium">
        <color rgb="FF000000"/>
      </right>
      <top/>
      <bottom/>
      <diagonal/>
    </border>
    <border>
      <left style="medium">
        <color rgb="FF000000"/>
      </left>
      <right/>
      <top style="dotted">
        <color rgb="FF000000"/>
      </top>
      <bottom style="medium">
        <color rgb="FF000000"/>
      </bottom>
      <diagonal/>
    </border>
    <border>
      <left/>
      <right style="medium">
        <color rgb="FF000000"/>
      </right>
      <top style="dotted">
        <color rgb="FF000000"/>
      </top>
      <bottom style="medium">
        <color rgb="FF000000"/>
      </bottom>
      <diagonal/>
    </border>
  </borders>
  <cellStyleXfs count="2">
    <xf numFmtId="0" fontId="0" fillId="0" borderId="0"/>
    <xf numFmtId="0" fontId="43" fillId="0" borderId="0"/>
  </cellStyleXfs>
  <cellXfs count="972">
    <xf numFmtId="0" fontId="0" fillId="0" borderId="0" xfId="0"/>
    <xf numFmtId="0" fontId="2" fillId="0" borderId="0" xfId="0" applyFont="1" applyAlignment="1">
      <alignment horizontal="center"/>
    </xf>
    <xf numFmtId="4" fontId="5" fillId="3" borderId="0" xfId="0" applyNumberFormat="1" applyFont="1" applyFill="1" applyAlignment="1">
      <alignment horizontal="center"/>
    </xf>
    <xf numFmtId="0" fontId="6" fillId="0" borderId="0" xfId="0" applyFont="1"/>
    <xf numFmtId="4" fontId="5" fillId="3" borderId="6" xfId="0" applyNumberFormat="1" applyFont="1" applyFill="1" applyBorder="1" applyAlignment="1">
      <alignment horizontal="center"/>
    </xf>
    <xf numFmtId="0" fontId="7" fillId="0" borderId="0" xfId="0" applyFont="1"/>
    <xf numFmtId="4" fontId="9" fillId="4" borderId="6" xfId="0" applyNumberFormat="1" applyFont="1" applyFill="1" applyBorder="1" applyAlignment="1">
      <alignment horizontal="center"/>
    </xf>
    <xf numFmtId="164" fontId="10" fillId="0" borderId="0" xfId="0" applyNumberFormat="1" applyFont="1"/>
    <xf numFmtId="0" fontId="2" fillId="2" borderId="16" xfId="0" applyFont="1" applyFill="1" applyBorder="1" applyAlignment="1">
      <alignment horizontal="center"/>
    </xf>
    <xf numFmtId="0" fontId="2" fillId="2" borderId="17" xfId="0" applyFont="1" applyFill="1" applyBorder="1" applyAlignment="1">
      <alignment horizontal="center"/>
    </xf>
    <xf numFmtId="0" fontId="2" fillId="2" borderId="18" xfId="0" applyFont="1" applyFill="1" applyBorder="1" applyAlignment="1">
      <alignment horizontal="center"/>
    </xf>
    <xf numFmtId="0" fontId="2" fillId="2" borderId="19" xfId="0" applyFont="1" applyFill="1" applyBorder="1" applyAlignment="1">
      <alignment horizontal="center"/>
    </xf>
    <xf numFmtId="1" fontId="2" fillId="2" borderId="20" xfId="0" applyNumberFormat="1" applyFont="1" applyFill="1" applyBorder="1" applyAlignment="1">
      <alignment horizontal="center"/>
    </xf>
    <xf numFmtId="1" fontId="2" fillId="2" borderId="21" xfId="0" applyNumberFormat="1" applyFont="1" applyFill="1" applyBorder="1" applyAlignment="1">
      <alignment horizontal="center"/>
    </xf>
    <xf numFmtId="1" fontId="10" fillId="0" borderId="0" xfId="0" applyNumberFormat="1" applyFont="1"/>
    <xf numFmtId="1" fontId="2" fillId="2" borderId="16" xfId="0" applyNumberFormat="1" applyFont="1" applyFill="1" applyBorder="1" applyAlignment="1">
      <alignment horizontal="center"/>
    </xf>
    <xf numFmtId="164" fontId="10" fillId="0" borderId="0" xfId="0" applyNumberFormat="1" applyFont="1" applyAlignment="1">
      <alignment horizontal="center" vertical="center"/>
    </xf>
    <xf numFmtId="0" fontId="11" fillId="5" borderId="22" xfId="0" applyFont="1" applyFill="1" applyBorder="1"/>
    <xf numFmtId="4" fontId="12" fillId="3" borderId="23" xfId="0" applyNumberFormat="1" applyFont="1" applyFill="1" applyBorder="1" applyAlignment="1">
      <alignment horizontal="center"/>
    </xf>
    <xf numFmtId="4" fontId="12" fillId="3" borderId="24" xfId="0" applyNumberFormat="1" applyFont="1" applyFill="1" applyBorder="1" applyAlignment="1">
      <alignment horizontal="center"/>
    </xf>
    <xf numFmtId="0" fontId="11" fillId="5" borderId="0" xfId="0" applyFont="1" applyFill="1"/>
    <xf numFmtId="164" fontId="10" fillId="0" borderId="0" xfId="0" applyNumberFormat="1" applyFont="1" applyAlignment="1">
      <alignment horizontal="center"/>
    </xf>
    <xf numFmtId="164" fontId="10" fillId="0" borderId="26" xfId="0" applyNumberFormat="1" applyFont="1" applyBorder="1" applyAlignment="1">
      <alignment horizontal="center"/>
    </xf>
    <xf numFmtId="2" fontId="10" fillId="0" borderId="0" xfId="0" applyNumberFormat="1" applyFont="1" applyAlignment="1">
      <alignment horizontal="center"/>
    </xf>
    <xf numFmtId="2" fontId="10" fillId="0" borderId="26" xfId="0" applyNumberFormat="1" applyFont="1" applyBorder="1" applyAlignment="1">
      <alignment horizontal="center"/>
    </xf>
    <xf numFmtId="4" fontId="12" fillId="6" borderId="20" xfId="0" applyNumberFormat="1" applyFont="1" applyFill="1" applyBorder="1" applyAlignment="1">
      <alignment horizontal="center"/>
    </xf>
    <xf numFmtId="4" fontId="12" fillId="7" borderId="20" xfId="0" applyNumberFormat="1" applyFont="1" applyFill="1" applyBorder="1" applyAlignment="1">
      <alignment horizontal="center"/>
    </xf>
    <xf numFmtId="4" fontId="12" fillId="8" borderId="20" xfId="0" applyNumberFormat="1" applyFont="1" applyFill="1" applyBorder="1" applyAlignment="1">
      <alignment horizontal="center"/>
    </xf>
    <xf numFmtId="4" fontId="12" fillId="9" borderId="20" xfId="0" applyNumberFormat="1" applyFont="1" applyFill="1" applyBorder="1" applyAlignment="1">
      <alignment horizontal="center"/>
    </xf>
    <xf numFmtId="4" fontId="12" fillId="10" borderId="20" xfId="0" applyNumberFormat="1" applyFont="1" applyFill="1" applyBorder="1" applyAlignment="1">
      <alignment horizontal="center"/>
    </xf>
    <xf numFmtId="4" fontId="9" fillId="11" borderId="20" xfId="0" applyNumberFormat="1" applyFont="1" applyFill="1" applyBorder="1" applyAlignment="1">
      <alignment horizontal="center"/>
    </xf>
    <xf numFmtId="4" fontId="9" fillId="12" borderId="21" xfId="0" applyNumberFormat="1" applyFont="1" applyFill="1" applyBorder="1" applyAlignment="1">
      <alignment horizontal="center"/>
    </xf>
    <xf numFmtId="164" fontId="10" fillId="0" borderId="11" xfId="0" applyNumberFormat="1" applyFont="1" applyBorder="1" applyAlignment="1">
      <alignment horizontal="center"/>
    </xf>
    <xf numFmtId="164" fontId="10" fillId="0" borderId="12" xfId="0" applyNumberFormat="1" applyFont="1" applyBorder="1" applyAlignment="1">
      <alignment horizontal="center"/>
    </xf>
    <xf numFmtId="1" fontId="10" fillId="0" borderId="12" xfId="0" applyNumberFormat="1" applyFont="1" applyBorder="1" applyAlignment="1">
      <alignment horizontal="center"/>
    </xf>
    <xf numFmtId="0" fontId="11" fillId="5" borderId="28" xfId="0" applyFont="1" applyFill="1" applyBorder="1"/>
    <xf numFmtId="4" fontId="12" fillId="6" borderId="29" xfId="0" applyNumberFormat="1" applyFont="1" applyFill="1" applyBorder="1" applyAlignment="1">
      <alignment horizontal="center"/>
    </xf>
    <xf numFmtId="4" fontId="12" fillId="7" borderId="29" xfId="0" applyNumberFormat="1" applyFont="1" applyFill="1" applyBorder="1" applyAlignment="1">
      <alignment horizontal="center"/>
    </xf>
    <xf numFmtId="4" fontId="12" fillId="8" borderId="29" xfId="0" applyNumberFormat="1" applyFont="1" applyFill="1" applyBorder="1" applyAlignment="1">
      <alignment horizontal="center"/>
    </xf>
    <xf numFmtId="4" fontId="12" fillId="9" borderId="29" xfId="0" applyNumberFormat="1" applyFont="1" applyFill="1" applyBorder="1" applyAlignment="1">
      <alignment horizontal="center"/>
    </xf>
    <xf numFmtId="4" fontId="12" fillId="10" borderId="29" xfId="0" applyNumberFormat="1" applyFont="1" applyFill="1" applyBorder="1" applyAlignment="1">
      <alignment horizontal="center"/>
    </xf>
    <xf numFmtId="4" fontId="9" fillId="11" borderId="29" xfId="0" applyNumberFormat="1" applyFont="1" applyFill="1" applyBorder="1" applyAlignment="1">
      <alignment horizontal="center"/>
    </xf>
    <xf numFmtId="4" fontId="9" fillId="12" borderId="30" xfId="0" applyNumberFormat="1" applyFont="1" applyFill="1" applyBorder="1" applyAlignment="1">
      <alignment horizontal="center"/>
    </xf>
    <xf numFmtId="164" fontId="11" fillId="5" borderId="31" xfId="0" applyNumberFormat="1" applyFont="1" applyFill="1" applyBorder="1"/>
    <xf numFmtId="164" fontId="13" fillId="13" borderId="0" xfId="0" applyNumberFormat="1" applyFont="1" applyFill="1" applyAlignment="1">
      <alignment horizontal="center"/>
    </xf>
    <xf numFmtId="164" fontId="13" fillId="13" borderId="26" xfId="0" applyNumberFormat="1" applyFont="1" applyFill="1" applyBorder="1" applyAlignment="1">
      <alignment horizontal="center"/>
    </xf>
    <xf numFmtId="0" fontId="14" fillId="5" borderId="23" xfId="0" applyFont="1" applyFill="1" applyBorder="1"/>
    <xf numFmtId="164" fontId="14" fillId="5" borderId="0" xfId="0" applyNumberFormat="1" applyFont="1" applyFill="1"/>
    <xf numFmtId="164" fontId="5" fillId="3" borderId="0" xfId="0" applyNumberFormat="1" applyFont="1" applyFill="1" applyAlignment="1">
      <alignment horizontal="center"/>
    </xf>
    <xf numFmtId="164" fontId="5" fillId="3" borderId="26" xfId="0" applyNumberFormat="1" applyFont="1" applyFill="1" applyBorder="1" applyAlignment="1">
      <alignment horizontal="center"/>
    </xf>
    <xf numFmtId="4" fontId="5" fillId="3" borderId="26" xfId="0" applyNumberFormat="1" applyFont="1" applyFill="1" applyBorder="1" applyAlignment="1">
      <alignment horizontal="center"/>
    </xf>
    <xf numFmtId="4" fontId="10" fillId="0" borderId="0" xfId="0" applyNumberFormat="1" applyFont="1"/>
    <xf numFmtId="0" fontId="7" fillId="5" borderId="23" xfId="0" applyFont="1" applyFill="1" applyBorder="1"/>
    <xf numFmtId="4" fontId="12" fillId="14" borderId="6" xfId="0" applyNumberFormat="1" applyFont="1" applyFill="1" applyBorder="1" applyAlignment="1">
      <alignment horizontal="center"/>
    </xf>
    <xf numFmtId="4" fontId="12" fillId="15" borderId="6" xfId="0" applyNumberFormat="1" applyFont="1" applyFill="1" applyBorder="1" applyAlignment="1">
      <alignment horizontal="center"/>
    </xf>
    <xf numFmtId="4" fontId="12" fillId="7" borderId="6" xfId="0" applyNumberFormat="1" applyFont="1" applyFill="1" applyBorder="1" applyAlignment="1">
      <alignment horizontal="center"/>
    </xf>
    <xf numFmtId="4" fontId="12" fillId="16" borderId="6" xfId="0" applyNumberFormat="1" applyFont="1" applyFill="1" applyBorder="1" applyAlignment="1">
      <alignment horizontal="center"/>
    </xf>
    <xf numFmtId="4" fontId="12" fillId="17" borderId="6" xfId="0" applyNumberFormat="1" applyFont="1" applyFill="1" applyBorder="1" applyAlignment="1">
      <alignment horizontal="center"/>
    </xf>
    <xf numFmtId="4" fontId="9" fillId="18" borderId="6" xfId="0" applyNumberFormat="1" applyFont="1" applyFill="1" applyBorder="1" applyAlignment="1">
      <alignment horizontal="center"/>
    </xf>
    <xf numFmtId="4" fontId="9" fillId="19" borderId="32" xfId="0" applyNumberFormat="1" applyFont="1" applyFill="1" applyBorder="1" applyAlignment="1">
      <alignment horizontal="center"/>
    </xf>
    <xf numFmtId="0" fontId="10" fillId="0" borderId="0" xfId="0" applyFont="1"/>
    <xf numFmtId="164" fontId="7" fillId="5" borderId="0" xfId="0" applyNumberFormat="1" applyFont="1" applyFill="1"/>
    <xf numFmtId="0" fontId="11" fillId="5" borderId="23" xfId="0" applyFont="1" applyFill="1" applyBorder="1"/>
    <xf numFmtId="4" fontId="12" fillId="20" borderId="6" xfId="0" applyNumberFormat="1" applyFont="1" applyFill="1" applyBorder="1" applyAlignment="1">
      <alignment horizontal="center"/>
    </xf>
    <xf numFmtId="4" fontId="12" fillId="6" borderId="6" xfId="0" applyNumberFormat="1" applyFont="1" applyFill="1" applyBorder="1" applyAlignment="1">
      <alignment horizontal="center"/>
    </xf>
    <xf numFmtId="4" fontId="12" fillId="21" borderId="6" xfId="0" applyNumberFormat="1" applyFont="1" applyFill="1" applyBorder="1" applyAlignment="1">
      <alignment horizontal="center"/>
    </xf>
    <xf numFmtId="4" fontId="12" fillId="22" borderId="6" xfId="0" applyNumberFormat="1" applyFont="1" applyFill="1" applyBorder="1" applyAlignment="1">
      <alignment horizontal="center"/>
    </xf>
    <xf numFmtId="4" fontId="12" fillId="23" borderId="6" xfId="0" applyNumberFormat="1" applyFont="1" applyFill="1" applyBorder="1" applyAlignment="1">
      <alignment horizontal="center"/>
    </xf>
    <xf numFmtId="4" fontId="12" fillId="24" borderId="32" xfId="0" applyNumberFormat="1" applyFont="1" applyFill="1" applyBorder="1" applyAlignment="1">
      <alignment horizontal="center"/>
    </xf>
    <xf numFmtId="164" fontId="11" fillId="5" borderId="0" xfId="0" applyNumberFormat="1" applyFont="1" applyFill="1"/>
    <xf numFmtId="0" fontId="7" fillId="5" borderId="33" xfId="0" applyFont="1" applyFill="1" applyBorder="1"/>
    <xf numFmtId="4" fontId="12" fillId="25" borderId="33" xfId="0" applyNumberFormat="1" applyFont="1" applyFill="1" applyBorder="1" applyAlignment="1">
      <alignment horizontal="center"/>
    </xf>
    <xf numFmtId="4" fontId="12" fillId="26" borderId="34" xfId="0" applyNumberFormat="1" applyFont="1" applyFill="1" applyBorder="1" applyAlignment="1">
      <alignment horizontal="center"/>
    </xf>
    <xf numFmtId="4" fontId="12" fillId="27" borderId="34" xfId="0" applyNumberFormat="1" applyFont="1" applyFill="1" applyBorder="1" applyAlignment="1">
      <alignment horizontal="center"/>
    </xf>
    <xf numFmtId="4" fontId="12" fillId="9" borderId="34" xfId="0" applyNumberFormat="1" applyFont="1" applyFill="1" applyBorder="1" applyAlignment="1">
      <alignment horizontal="center"/>
    </xf>
    <xf numFmtId="4" fontId="9" fillId="28" borderId="34" xfId="0" applyNumberFormat="1" applyFont="1" applyFill="1" applyBorder="1" applyAlignment="1">
      <alignment horizontal="center"/>
    </xf>
    <xf numFmtId="4" fontId="9" fillId="17" borderId="35" xfId="0" applyNumberFormat="1" applyFont="1" applyFill="1" applyBorder="1" applyAlignment="1">
      <alignment horizontal="center"/>
    </xf>
    <xf numFmtId="164" fontId="7" fillId="5" borderId="11" xfId="0" applyNumberFormat="1" applyFont="1" applyFill="1" applyBorder="1"/>
    <xf numFmtId="164" fontId="13" fillId="13" borderId="11" xfId="0" applyNumberFormat="1" applyFont="1" applyFill="1" applyBorder="1" applyAlignment="1">
      <alignment horizontal="center"/>
    </xf>
    <xf numFmtId="164" fontId="13" fillId="13" borderId="12" xfId="0" applyNumberFormat="1" applyFont="1" applyFill="1" applyBorder="1" applyAlignment="1">
      <alignment horizontal="center"/>
    </xf>
    <xf numFmtId="0" fontId="7" fillId="5" borderId="28" xfId="0" applyFont="1" applyFill="1" applyBorder="1"/>
    <xf numFmtId="4" fontId="12" fillId="3" borderId="28" xfId="0" applyNumberFormat="1" applyFont="1" applyFill="1" applyBorder="1" applyAlignment="1">
      <alignment horizontal="center"/>
    </xf>
    <xf numFmtId="4" fontId="12" fillId="3" borderId="36" xfId="0" applyNumberFormat="1" applyFont="1" applyFill="1" applyBorder="1" applyAlignment="1">
      <alignment horizontal="center"/>
    </xf>
    <xf numFmtId="164" fontId="7" fillId="5" borderId="31" xfId="0" applyNumberFormat="1" applyFont="1" applyFill="1" applyBorder="1"/>
    <xf numFmtId="164" fontId="5" fillId="3" borderId="31" xfId="0" applyNumberFormat="1" applyFont="1" applyFill="1" applyBorder="1" applyAlignment="1">
      <alignment horizontal="center"/>
    </xf>
    <xf numFmtId="4" fontId="5" fillId="3" borderId="31" xfId="0" applyNumberFormat="1" applyFont="1" applyFill="1" applyBorder="1" applyAlignment="1">
      <alignment horizontal="center"/>
    </xf>
    <xf numFmtId="164" fontId="5" fillId="3" borderId="37" xfId="0" applyNumberFormat="1" applyFont="1" applyFill="1" applyBorder="1" applyAlignment="1">
      <alignment horizontal="center"/>
    </xf>
    <xf numFmtId="4" fontId="5" fillId="3" borderId="37" xfId="0" applyNumberFormat="1" applyFont="1" applyFill="1" applyBorder="1" applyAlignment="1">
      <alignment horizontal="center"/>
    </xf>
    <xf numFmtId="4" fontId="12" fillId="29" borderId="6" xfId="0" applyNumberFormat="1" applyFont="1" applyFill="1" applyBorder="1" applyAlignment="1">
      <alignment horizontal="center"/>
    </xf>
    <xf numFmtId="4" fontId="12" fillId="30" borderId="6" xfId="0" applyNumberFormat="1" applyFont="1" applyFill="1" applyBorder="1" applyAlignment="1">
      <alignment horizontal="center"/>
    </xf>
    <xf numFmtId="4" fontId="12" fillId="24" borderId="6" xfId="0" applyNumberFormat="1" applyFont="1" applyFill="1" applyBorder="1" applyAlignment="1">
      <alignment horizontal="center"/>
    </xf>
    <xf numFmtId="4" fontId="12" fillId="31" borderId="6" xfId="0" applyNumberFormat="1" applyFont="1" applyFill="1" applyBorder="1" applyAlignment="1">
      <alignment horizontal="center"/>
    </xf>
    <xf numFmtId="4" fontId="12" fillId="32" borderId="6" xfId="0" applyNumberFormat="1" applyFont="1" applyFill="1" applyBorder="1" applyAlignment="1">
      <alignment horizontal="center"/>
    </xf>
    <xf numFmtId="4" fontId="12" fillId="33" borderId="6" xfId="0" applyNumberFormat="1" applyFont="1" applyFill="1" applyBorder="1" applyAlignment="1">
      <alignment horizontal="center"/>
    </xf>
    <xf numFmtId="4" fontId="9" fillId="16" borderId="32" xfId="0" applyNumberFormat="1" applyFont="1" applyFill="1" applyBorder="1" applyAlignment="1">
      <alignment horizontal="center"/>
    </xf>
    <xf numFmtId="4" fontId="12" fillId="34" borderId="23" xfId="0" applyNumberFormat="1" applyFont="1" applyFill="1" applyBorder="1" applyAlignment="1">
      <alignment horizontal="center"/>
    </xf>
    <xf numFmtId="4" fontId="12" fillId="35" borderId="6" xfId="0" applyNumberFormat="1" applyFont="1" applyFill="1" applyBorder="1" applyAlignment="1">
      <alignment horizontal="center"/>
    </xf>
    <xf numFmtId="4" fontId="12" fillId="36" borderId="6" xfId="0" applyNumberFormat="1" applyFont="1" applyFill="1" applyBorder="1" applyAlignment="1">
      <alignment horizontal="center"/>
    </xf>
    <xf numFmtId="4" fontId="12" fillId="37" borderId="6" xfId="0" applyNumberFormat="1" applyFont="1" applyFill="1" applyBorder="1" applyAlignment="1">
      <alignment horizontal="center"/>
    </xf>
    <xf numFmtId="4" fontId="9" fillId="28" borderId="6" xfId="0" applyNumberFormat="1" applyFont="1" applyFill="1" applyBorder="1" applyAlignment="1">
      <alignment horizontal="center"/>
    </xf>
    <xf numFmtId="4" fontId="9" fillId="18" borderId="32" xfId="0" applyNumberFormat="1" applyFont="1" applyFill="1" applyBorder="1" applyAlignment="1">
      <alignment horizontal="center"/>
    </xf>
    <xf numFmtId="4" fontId="12" fillId="29" borderId="23" xfId="0" applyNumberFormat="1" applyFont="1" applyFill="1" applyBorder="1" applyAlignment="1">
      <alignment horizontal="center"/>
    </xf>
    <xf numFmtId="4" fontId="12" fillId="38" borderId="6" xfId="0" applyNumberFormat="1" applyFont="1" applyFill="1" applyBorder="1" applyAlignment="1">
      <alignment horizontal="center"/>
    </xf>
    <xf numFmtId="4" fontId="12" fillId="39" borderId="6" xfId="0" applyNumberFormat="1" applyFont="1" applyFill="1" applyBorder="1" applyAlignment="1">
      <alignment horizontal="center"/>
    </xf>
    <xf numFmtId="4" fontId="12" fillId="26" borderId="6" xfId="0" applyNumberFormat="1" applyFont="1" applyFill="1" applyBorder="1" applyAlignment="1">
      <alignment horizontal="center"/>
    </xf>
    <xf numFmtId="4" fontId="12" fillId="28" borderId="6" xfId="0" applyNumberFormat="1" applyFont="1" applyFill="1" applyBorder="1" applyAlignment="1">
      <alignment horizontal="center"/>
    </xf>
    <xf numFmtId="4" fontId="9" fillId="40" borderId="6" xfId="0" applyNumberFormat="1" applyFont="1" applyFill="1" applyBorder="1" applyAlignment="1">
      <alignment horizontal="center"/>
    </xf>
    <xf numFmtId="4" fontId="12" fillId="3" borderId="32" xfId="0" applyNumberFormat="1" applyFont="1" applyFill="1" applyBorder="1" applyAlignment="1">
      <alignment horizontal="center"/>
    </xf>
    <xf numFmtId="0" fontId="11" fillId="5" borderId="33" xfId="0" applyFont="1" applyFill="1" applyBorder="1"/>
    <xf numFmtId="4" fontId="12" fillId="3" borderId="33" xfId="0" applyNumberFormat="1" applyFont="1" applyFill="1" applyBorder="1" applyAlignment="1">
      <alignment horizontal="center"/>
    </xf>
    <xf numFmtId="4" fontId="12" fillId="3" borderId="34" xfId="0" applyNumberFormat="1" applyFont="1" applyFill="1" applyBorder="1" applyAlignment="1">
      <alignment horizontal="center"/>
    </xf>
    <xf numFmtId="4" fontId="12" fillId="41" borderId="34" xfId="0" applyNumberFormat="1" applyFont="1" applyFill="1" applyBorder="1" applyAlignment="1">
      <alignment horizontal="center"/>
    </xf>
    <xf numFmtId="4" fontId="9" fillId="42" borderId="35" xfId="0" applyNumberFormat="1" applyFont="1" applyFill="1" applyBorder="1" applyAlignment="1">
      <alignment horizontal="center"/>
    </xf>
    <xf numFmtId="164" fontId="11" fillId="5" borderId="11" xfId="0" applyNumberFormat="1" applyFont="1" applyFill="1" applyBorder="1"/>
    <xf numFmtId="164" fontId="5" fillId="3" borderId="11" xfId="0" applyNumberFormat="1" applyFont="1" applyFill="1" applyBorder="1" applyAlignment="1">
      <alignment horizontal="center"/>
    </xf>
    <xf numFmtId="4" fontId="5" fillId="3" borderId="11" xfId="0" applyNumberFormat="1" applyFont="1" applyFill="1" applyBorder="1" applyAlignment="1">
      <alignment horizontal="center"/>
    </xf>
    <xf numFmtId="4" fontId="12" fillId="43" borderId="28" xfId="0" applyNumberFormat="1" applyFont="1" applyFill="1" applyBorder="1" applyAlignment="1">
      <alignment horizontal="center"/>
    </xf>
    <xf numFmtId="4" fontId="12" fillId="26" borderId="29" xfId="0" applyNumberFormat="1" applyFont="1" applyFill="1" applyBorder="1" applyAlignment="1">
      <alignment horizontal="center"/>
    </xf>
    <xf numFmtId="4" fontId="12" fillId="44" borderId="29" xfId="0" applyNumberFormat="1" applyFont="1" applyFill="1" applyBorder="1" applyAlignment="1">
      <alignment horizontal="center"/>
    </xf>
    <xf numFmtId="4" fontId="12" fillId="45" borderId="29" xfId="0" applyNumberFormat="1" applyFont="1" applyFill="1" applyBorder="1" applyAlignment="1">
      <alignment horizontal="center"/>
    </xf>
    <xf numFmtId="4" fontId="12" fillId="46" borderId="29" xfId="0" applyNumberFormat="1" applyFont="1" applyFill="1" applyBorder="1" applyAlignment="1">
      <alignment horizontal="center"/>
    </xf>
    <xf numFmtId="4" fontId="9" fillId="47" borderId="29" xfId="0" applyNumberFormat="1" applyFont="1" applyFill="1" applyBorder="1" applyAlignment="1">
      <alignment horizontal="center"/>
    </xf>
    <xf numFmtId="164" fontId="10" fillId="0" borderId="31" xfId="0" applyNumberFormat="1" applyFont="1" applyBorder="1" applyAlignment="1">
      <alignment horizontal="center"/>
    </xf>
    <xf numFmtId="164" fontId="13" fillId="13" borderId="31" xfId="0" applyNumberFormat="1" applyFont="1" applyFill="1" applyBorder="1" applyAlignment="1">
      <alignment horizontal="center"/>
    </xf>
    <xf numFmtId="164" fontId="13" fillId="13" borderId="37" xfId="0" applyNumberFormat="1" applyFont="1" applyFill="1" applyBorder="1" applyAlignment="1">
      <alignment horizontal="center"/>
    </xf>
    <xf numFmtId="164" fontId="10" fillId="0" borderId="37" xfId="0" applyNumberFormat="1" applyFont="1" applyBorder="1" applyAlignment="1">
      <alignment horizontal="center"/>
    </xf>
    <xf numFmtId="4" fontId="12" fillId="48" borderId="23" xfId="0" applyNumberFormat="1" applyFont="1" applyFill="1" applyBorder="1" applyAlignment="1">
      <alignment horizontal="center"/>
    </xf>
    <xf numFmtId="4" fontId="12" fillId="49" borderId="6" xfId="0" applyNumberFormat="1" applyFont="1" applyFill="1" applyBorder="1" applyAlignment="1">
      <alignment horizontal="center"/>
    </xf>
    <xf numFmtId="4" fontId="12" fillId="50" borderId="6" xfId="0" applyNumberFormat="1" applyFont="1" applyFill="1" applyBorder="1" applyAlignment="1">
      <alignment horizontal="center"/>
    </xf>
    <xf numFmtId="4" fontId="12" fillId="51" borderId="6" xfId="0" applyNumberFormat="1" applyFont="1" applyFill="1" applyBorder="1" applyAlignment="1">
      <alignment horizontal="center"/>
    </xf>
    <xf numFmtId="4" fontId="12" fillId="44" borderId="6" xfId="0" applyNumberFormat="1" applyFont="1" applyFill="1" applyBorder="1" applyAlignment="1">
      <alignment horizontal="center"/>
    </xf>
    <xf numFmtId="4" fontId="9" fillId="10" borderId="32" xfId="0" applyNumberFormat="1" applyFont="1" applyFill="1" applyBorder="1" applyAlignment="1">
      <alignment horizontal="center"/>
    </xf>
    <xf numFmtId="4" fontId="12" fillId="52" borderId="23" xfId="0" applyNumberFormat="1" applyFont="1" applyFill="1" applyBorder="1" applyAlignment="1">
      <alignment horizontal="center"/>
    </xf>
    <xf numFmtId="4" fontId="12" fillId="53" borderId="6" xfId="0" applyNumberFormat="1" applyFont="1" applyFill="1" applyBorder="1" applyAlignment="1">
      <alignment horizontal="center"/>
    </xf>
    <xf numFmtId="4" fontId="12" fillId="54" borderId="6" xfId="0" applyNumberFormat="1" applyFont="1" applyFill="1" applyBorder="1" applyAlignment="1">
      <alignment horizontal="center"/>
    </xf>
    <xf numFmtId="4" fontId="12" fillId="55" borderId="6" xfId="0" applyNumberFormat="1" applyFont="1" applyFill="1" applyBorder="1" applyAlignment="1">
      <alignment horizontal="center"/>
    </xf>
    <xf numFmtId="4" fontId="12" fillId="56" borderId="6" xfId="0" applyNumberFormat="1" applyFont="1" applyFill="1" applyBorder="1" applyAlignment="1">
      <alignment horizontal="center"/>
    </xf>
    <xf numFmtId="4" fontId="12" fillId="57" borderId="6" xfId="0" applyNumberFormat="1" applyFont="1" applyFill="1" applyBorder="1" applyAlignment="1">
      <alignment horizontal="center"/>
    </xf>
    <xf numFmtId="4" fontId="12" fillId="58" borderId="32" xfId="0" applyNumberFormat="1" applyFont="1" applyFill="1" applyBorder="1" applyAlignment="1">
      <alignment horizontal="center"/>
    </xf>
    <xf numFmtId="4" fontId="12" fillId="59" borderId="23" xfId="0" applyNumberFormat="1" applyFont="1" applyFill="1" applyBorder="1" applyAlignment="1">
      <alignment horizontal="center"/>
    </xf>
    <xf numFmtId="4" fontId="12" fillId="60" borderId="6" xfId="0" applyNumberFormat="1" applyFont="1" applyFill="1" applyBorder="1" applyAlignment="1">
      <alignment horizontal="center"/>
    </xf>
    <xf numFmtId="4" fontId="12" fillId="61" borderId="6" xfId="0" applyNumberFormat="1" applyFont="1" applyFill="1" applyBorder="1" applyAlignment="1">
      <alignment horizontal="center"/>
    </xf>
    <xf numFmtId="4" fontId="12" fillId="62" borderId="6" xfId="0" applyNumberFormat="1" applyFont="1" applyFill="1" applyBorder="1" applyAlignment="1">
      <alignment horizontal="center"/>
    </xf>
    <xf numFmtId="4" fontId="12" fillId="30" borderId="32" xfId="0" applyNumberFormat="1" applyFont="1" applyFill="1" applyBorder="1" applyAlignment="1">
      <alignment horizontal="center"/>
    </xf>
    <xf numFmtId="4" fontId="12" fillId="56" borderId="23" xfId="0" applyNumberFormat="1" applyFont="1" applyFill="1" applyBorder="1" applyAlignment="1">
      <alignment horizontal="center"/>
    </xf>
    <xf numFmtId="4" fontId="12" fillId="63" borderId="6" xfId="0" applyNumberFormat="1" applyFont="1" applyFill="1" applyBorder="1" applyAlignment="1">
      <alignment horizontal="center"/>
    </xf>
    <xf numFmtId="4" fontId="12" fillId="64" borderId="6" xfId="0" applyNumberFormat="1" applyFont="1" applyFill="1" applyBorder="1" applyAlignment="1">
      <alignment horizontal="center"/>
    </xf>
    <xf numFmtId="4" fontId="12" fillId="48" borderId="6" xfId="0" applyNumberFormat="1" applyFont="1" applyFill="1" applyBorder="1" applyAlignment="1">
      <alignment horizontal="center"/>
    </xf>
    <xf numFmtId="4" fontId="12" fillId="65" borderId="6" xfId="0" applyNumberFormat="1" applyFont="1" applyFill="1" applyBorder="1" applyAlignment="1">
      <alignment horizontal="center"/>
    </xf>
    <xf numFmtId="4" fontId="12" fillId="66" borderId="6" xfId="0" applyNumberFormat="1" applyFont="1" applyFill="1" applyBorder="1" applyAlignment="1">
      <alignment horizontal="center"/>
    </xf>
    <xf numFmtId="4" fontId="12" fillId="67" borderId="32" xfId="0" applyNumberFormat="1" applyFont="1" applyFill="1" applyBorder="1" applyAlignment="1">
      <alignment horizontal="center"/>
    </xf>
    <xf numFmtId="4" fontId="12" fillId="68" borderId="23" xfId="0" applyNumberFormat="1" applyFont="1" applyFill="1" applyBorder="1" applyAlignment="1">
      <alignment horizontal="center"/>
    </xf>
    <xf numFmtId="4" fontId="12" fillId="69" borderId="6" xfId="0" applyNumberFormat="1" applyFont="1" applyFill="1" applyBorder="1" applyAlignment="1">
      <alignment horizontal="center"/>
    </xf>
    <xf numFmtId="4" fontId="12" fillId="70" borderId="6" xfId="0" applyNumberFormat="1" applyFont="1" applyFill="1" applyBorder="1" applyAlignment="1">
      <alignment horizontal="center"/>
    </xf>
    <xf numFmtId="4" fontId="12" fillId="71" borderId="32" xfId="0" applyNumberFormat="1" applyFont="1" applyFill="1" applyBorder="1" applyAlignment="1">
      <alignment horizontal="center"/>
    </xf>
    <xf numFmtId="4" fontId="12" fillId="72" borderId="6" xfId="0" applyNumberFormat="1" applyFont="1" applyFill="1" applyBorder="1" applyAlignment="1">
      <alignment horizontal="center"/>
    </xf>
    <xf numFmtId="4" fontId="12" fillId="73" borderId="6" xfId="0" applyNumberFormat="1" applyFont="1" applyFill="1" applyBorder="1" applyAlignment="1">
      <alignment horizontal="center"/>
    </xf>
    <xf numFmtId="4" fontId="12" fillId="74" borderId="6" xfId="0" applyNumberFormat="1" applyFont="1" applyFill="1" applyBorder="1" applyAlignment="1">
      <alignment horizontal="center"/>
    </xf>
    <xf numFmtId="4" fontId="12" fillId="75" borderId="6" xfId="0" applyNumberFormat="1" applyFont="1" applyFill="1" applyBorder="1" applyAlignment="1">
      <alignment horizontal="center"/>
    </xf>
    <xf numFmtId="4" fontId="12" fillId="76" borderId="32" xfId="0" applyNumberFormat="1" applyFont="1" applyFill="1" applyBorder="1" applyAlignment="1">
      <alignment horizontal="center"/>
    </xf>
    <xf numFmtId="0" fontId="15" fillId="5" borderId="23" xfId="0" applyFont="1" applyFill="1" applyBorder="1"/>
    <xf numFmtId="4" fontId="12" fillId="62" borderId="23" xfId="0" applyNumberFormat="1" applyFont="1" applyFill="1" applyBorder="1" applyAlignment="1">
      <alignment horizontal="center"/>
    </xf>
    <xf numFmtId="4" fontId="12" fillId="77" borderId="6" xfId="0" applyNumberFormat="1" applyFont="1" applyFill="1" applyBorder="1" applyAlignment="1">
      <alignment horizontal="center"/>
    </xf>
    <xf numFmtId="4" fontId="12" fillId="47" borderId="6" xfId="0" applyNumberFormat="1" applyFont="1" applyFill="1" applyBorder="1" applyAlignment="1">
      <alignment horizontal="center"/>
    </xf>
    <xf numFmtId="4" fontId="12" fillId="78" borderId="6" xfId="0" applyNumberFormat="1" applyFont="1" applyFill="1" applyBorder="1" applyAlignment="1">
      <alignment horizontal="center"/>
    </xf>
    <xf numFmtId="4" fontId="9" fillId="79" borderId="6" xfId="0" applyNumberFormat="1" applyFont="1" applyFill="1" applyBorder="1" applyAlignment="1">
      <alignment horizontal="center"/>
    </xf>
    <xf numFmtId="4" fontId="9" fillId="79" borderId="32" xfId="0" applyNumberFormat="1" applyFont="1" applyFill="1" applyBorder="1" applyAlignment="1">
      <alignment horizontal="center"/>
    </xf>
    <xf numFmtId="164" fontId="15" fillId="5" borderId="0" xfId="0" applyNumberFormat="1" applyFont="1" applyFill="1"/>
    <xf numFmtId="4" fontId="12" fillId="36" borderId="23" xfId="0" applyNumberFormat="1" applyFont="1" applyFill="1" applyBorder="1" applyAlignment="1">
      <alignment horizontal="center"/>
    </xf>
    <xf numFmtId="4" fontId="12" fillId="45" borderId="6" xfId="0" applyNumberFormat="1" applyFont="1" applyFill="1" applyBorder="1" applyAlignment="1">
      <alignment horizontal="center"/>
    </xf>
    <xf numFmtId="4" fontId="12" fillId="80" borderId="6" xfId="0" applyNumberFormat="1" applyFont="1" applyFill="1" applyBorder="1" applyAlignment="1">
      <alignment horizontal="center"/>
    </xf>
    <xf numFmtId="4" fontId="12" fillId="81" borderId="6" xfId="0" applyNumberFormat="1" applyFont="1" applyFill="1" applyBorder="1" applyAlignment="1">
      <alignment horizontal="center"/>
    </xf>
    <xf numFmtId="4" fontId="12" fillId="57" borderId="23" xfId="0" applyNumberFormat="1" applyFont="1" applyFill="1" applyBorder="1" applyAlignment="1">
      <alignment horizontal="center"/>
    </xf>
    <xf numFmtId="4" fontId="12" fillId="82" borderId="6" xfId="0" applyNumberFormat="1" applyFont="1" applyFill="1" applyBorder="1" applyAlignment="1">
      <alignment horizontal="center"/>
    </xf>
    <xf numFmtId="4" fontId="12" fillId="83" borderId="6" xfId="0" applyNumberFormat="1" applyFont="1" applyFill="1" applyBorder="1" applyAlignment="1">
      <alignment horizontal="center"/>
    </xf>
    <xf numFmtId="4" fontId="9" fillId="84" borderId="32" xfId="0" applyNumberFormat="1" applyFont="1" applyFill="1" applyBorder="1" applyAlignment="1">
      <alignment horizontal="center"/>
    </xf>
    <xf numFmtId="4" fontId="12" fillId="68" borderId="6" xfId="0" applyNumberFormat="1" applyFont="1" applyFill="1" applyBorder="1" applyAlignment="1">
      <alignment horizontal="center"/>
    </xf>
    <xf numFmtId="4" fontId="9" fillId="84" borderId="6" xfId="0" applyNumberFormat="1" applyFont="1" applyFill="1" applyBorder="1" applyAlignment="1">
      <alignment horizontal="center"/>
    </xf>
    <xf numFmtId="4" fontId="9" fillId="27" borderId="32" xfId="0" applyNumberFormat="1" applyFont="1" applyFill="1" applyBorder="1" applyAlignment="1">
      <alignment horizontal="center"/>
    </xf>
    <xf numFmtId="4" fontId="12" fillId="29" borderId="33" xfId="0" applyNumberFormat="1" applyFont="1" applyFill="1" applyBorder="1" applyAlignment="1">
      <alignment horizontal="center"/>
    </xf>
    <xf numFmtId="4" fontId="12" fillId="85" borderId="34" xfId="0" applyNumberFormat="1" applyFont="1" applyFill="1" applyBorder="1" applyAlignment="1">
      <alignment horizontal="center"/>
    </xf>
    <xf numFmtId="4" fontId="12" fillId="24" borderId="34" xfId="0" applyNumberFormat="1" applyFont="1" applyFill="1" applyBorder="1" applyAlignment="1">
      <alignment horizontal="center"/>
    </xf>
    <xf numFmtId="4" fontId="12" fillId="33" borderId="34" xfId="0" applyNumberFormat="1" applyFont="1" applyFill="1" applyBorder="1" applyAlignment="1">
      <alignment horizontal="center"/>
    </xf>
    <xf numFmtId="4" fontId="12" fillId="77" borderId="34" xfId="0" applyNumberFormat="1" applyFont="1" applyFill="1" applyBorder="1" applyAlignment="1">
      <alignment horizontal="center"/>
    </xf>
    <xf numFmtId="4" fontId="9" fillId="9" borderId="34" xfId="0" applyNumberFormat="1" applyFont="1" applyFill="1" applyBorder="1" applyAlignment="1">
      <alignment horizontal="center"/>
    </xf>
    <xf numFmtId="4" fontId="9" fillId="45" borderId="35" xfId="0" applyNumberFormat="1" applyFont="1" applyFill="1" applyBorder="1" applyAlignment="1">
      <alignment horizontal="center"/>
    </xf>
    <xf numFmtId="0" fontId="15" fillId="5" borderId="28" xfId="0" applyFont="1" applyFill="1" applyBorder="1"/>
    <xf numFmtId="4" fontId="12" fillId="36" borderId="28" xfId="0" applyNumberFormat="1" applyFont="1" applyFill="1" applyBorder="1" applyAlignment="1">
      <alignment horizontal="center"/>
    </xf>
    <xf numFmtId="4" fontId="12" fillId="27" borderId="29" xfId="0" applyNumberFormat="1" applyFont="1" applyFill="1" applyBorder="1" applyAlignment="1">
      <alignment horizontal="center"/>
    </xf>
    <xf numFmtId="4" fontId="12" fillId="86" borderId="29" xfId="0" applyNumberFormat="1" applyFont="1" applyFill="1" applyBorder="1" applyAlignment="1">
      <alignment horizontal="center"/>
    </xf>
    <xf numFmtId="4" fontId="12" fillId="87" borderId="29" xfId="0" applyNumberFormat="1" applyFont="1" applyFill="1" applyBorder="1" applyAlignment="1">
      <alignment horizontal="center"/>
    </xf>
    <xf numFmtId="4" fontId="9" fillId="79" borderId="29" xfId="0" applyNumberFormat="1" applyFont="1" applyFill="1" applyBorder="1" applyAlignment="1">
      <alignment horizontal="center"/>
    </xf>
    <xf numFmtId="4" fontId="9" fillId="79" borderId="30" xfId="0" applyNumberFormat="1" applyFont="1" applyFill="1" applyBorder="1" applyAlignment="1">
      <alignment horizontal="center"/>
    </xf>
    <xf numFmtId="164" fontId="15" fillId="5" borderId="31" xfId="0" applyNumberFormat="1" applyFont="1" applyFill="1" applyBorder="1"/>
    <xf numFmtId="4" fontId="12" fillId="7" borderId="23" xfId="0" applyNumberFormat="1" applyFont="1" applyFill="1" applyBorder="1" applyAlignment="1">
      <alignment horizontal="center"/>
    </xf>
    <xf numFmtId="4" fontId="12" fillId="41" borderId="6" xfId="0" applyNumberFormat="1" applyFont="1" applyFill="1" applyBorder="1" applyAlignment="1">
      <alignment horizontal="center"/>
    </xf>
    <xf numFmtId="4" fontId="12" fillId="88" borderId="6" xfId="0" applyNumberFormat="1" applyFont="1" applyFill="1" applyBorder="1" applyAlignment="1">
      <alignment horizontal="center"/>
    </xf>
    <xf numFmtId="4" fontId="12" fillId="89" borderId="6" xfId="0" applyNumberFormat="1" applyFont="1" applyFill="1" applyBorder="1" applyAlignment="1">
      <alignment horizontal="center"/>
    </xf>
    <xf numFmtId="4" fontId="12" fillId="90" borderId="23" xfId="0" applyNumberFormat="1" applyFont="1" applyFill="1" applyBorder="1" applyAlignment="1">
      <alignment horizontal="center"/>
    </xf>
    <xf numFmtId="4" fontId="12" fillId="91" borderId="6" xfId="0" applyNumberFormat="1" applyFont="1" applyFill="1" applyBorder="1" applyAlignment="1">
      <alignment horizontal="center"/>
    </xf>
    <xf numFmtId="4" fontId="12" fillId="85" borderId="6" xfId="0" applyNumberFormat="1" applyFont="1" applyFill="1" applyBorder="1" applyAlignment="1">
      <alignment horizontal="center"/>
    </xf>
    <xf numFmtId="4" fontId="12" fillId="92" borderId="6" xfId="0" applyNumberFormat="1" applyFont="1" applyFill="1" applyBorder="1" applyAlignment="1">
      <alignment horizontal="center"/>
    </xf>
    <xf numFmtId="4" fontId="12" fillId="93" borderId="32" xfId="0" applyNumberFormat="1" applyFont="1" applyFill="1" applyBorder="1" applyAlignment="1">
      <alignment horizontal="center"/>
    </xf>
    <xf numFmtId="4" fontId="12" fillId="94" borderId="6" xfId="0" applyNumberFormat="1" applyFont="1" applyFill="1" applyBorder="1" applyAlignment="1">
      <alignment horizontal="center"/>
    </xf>
    <xf numFmtId="4" fontId="12" fillId="76" borderId="6" xfId="0" applyNumberFormat="1" applyFont="1" applyFill="1" applyBorder="1" applyAlignment="1">
      <alignment horizontal="center"/>
    </xf>
    <xf numFmtId="4" fontId="12" fillId="95" borderId="32" xfId="0" applyNumberFormat="1" applyFont="1" applyFill="1" applyBorder="1" applyAlignment="1">
      <alignment horizontal="center"/>
    </xf>
    <xf numFmtId="4" fontId="12" fillId="96" borderId="23" xfId="0" applyNumberFormat="1" applyFont="1" applyFill="1" applyBorder="1" applyAlignment="1">
      <alignment horizontal="center"/>
    </xf>
    <xf numFmtId="4" fontId="12" fillId="97" borderId="6" xfId="0" applyNumberFormat="1" applyFont="1" applyFill="1" applyBorder="1" applyAlignment="1">
      <alignment horizontal="center"/>
    </xf>
    <xf numFmtId="4" fontId="12" fillId="98" borderId="6" xfId="0" applyNumberFormat="1" applyFont="1" applyFill="1" applyBorder="1" applyAlignment="1">
      <alignment horizontal="center"/>
    </xf>
    <xf numFmtId="4" fontId="12" fillId="90" borderId="6" xfId="0" applyNumberFormat="1" applyFont="1" applyFill="1" applyBorder="1" applyAlignment="1">
      <alignment horizontal="center"/>
    </xf>
    <xf numFmtId="4" fontId="12" fillId="95" borderId="6" xfId="0" applyNumberFormat="1" applyFont="1" applyFill="1" applyBorder="1" applyAlignment="1">
      <alignment horizontal="center"/>
    </xf>
    <xf numFmtId="4" fontId="12" fillId="66" borderId="32" xfId="0" applyNumberFormat="1" applyFont="1" applyFill="1" applyBorder="1" applyAlignment="1">
      <alignment horizontal="center"/>
    </xf>
    <xf numFmtId="4" fontId="12" fillId="99" borderId="6" xfId="0" applyNumberFormat="1" applyFont="1" applyFill="1" applyBorder="1" applyAlignment="1">
      <alignment horizontal="center"/>
    </xf>
    <xf numFmtId="4" fontId="12" fillId="100" borderId="6" xfId="0" applyNumberFormat="1" applyFont="1" applyFill="1" applyBorder="1" applyAlignment="1">
      <alignment horizontal="center"/>
    </xf>
    <xf numFmtId="4" fontId="12" fillId="101" borderId="6" xfId="0" applyNumberFormat="1" applyFont="1" applyFill="1" applyBorder="1" applyAlignment="1">
      <alignment horizontal="center"/>
    </xf>
    <xf numFmtId="4" fontId="12" fillId="59" borderId="6" xfId="0" applyNumberFormat="1" applyFont="1" applyFill="1" applyBorder="1" applyAlignment="1">
      <alignment horizontal="center"/>
    </xf>
    <xf numFmtId="4" fontId="16" fillId="3" borderId="23" xfId="0" applyNumberFormat="1" applyFont="1" applyFill="1" applyBorder="1" applyAlignment="1">
      <alignment horizontal="center"/>
    </xf>
    <xf numFmtId="4" fontId="9" fillId="26" borderId="32" xfId="0" applyNumberFormat="1" applyFont="1" applyFill="1" applyBorder="1" applyAlignment="1">
      <alignment horizontal="center"/>
    </xf>
    <xf numFmtId="4" fontId="12" fillId="20" borderId="34" xfId="0" applyNumberFormat="1" applyFont="1" applyFill="1" applyBorder="1" applyAlignment="1">
      <alignment horizontal="center"/>
    </xf>
    <xf numFmtId="4" fontId="12" fillId="6" borderId="34" xfId="0" applyNumberFormat="1" applyFont="1" applyFill="1" applyBorder="1" applyAlignment="1">
      <alignment horizontal="center"/>
    </xf>
    <xf numFmtId="4" fontId="12" fillId="21" borderId="34" xfId="0" applyNumberFormat="1" applyFont="1" applyFill="1" applyBorder="1" applyAlignment="1">
      <alignment horizontal="center"/>
    </xf>
    <xf numFmtId="4" fontId="12" fillId="22" borderId="34" xfId="0" applyNumberFormat="1" applyFont="1" applyFill="1" applyBorder="1" applyAlignment="1">
      <alignment horizontal="center"/>
    </xf>
    <xf numFmtId="4" fontId="12" fillId="23" borderId="34" xfId="0" applyNumberFormat="1" applyFont="1" applyFill="1" applyBorder="1" applyAlignment="1">
      <alignment horizontal="center"/>
    </xf>
    <xf numFmtId="4" fontId="12" fillId="24" borderId="35" xfId="0" applyNumberFormat="1" applyFont="1" applyFill="1" applyBorder="1" applyAlignment="1">
      <alignment horizontal="center"/>
    </xf>
    <xf numFmtId="4" fontId="5" fillId="3" borderId="29" xfId="0" applyNumberFormat="1" applyFont="1" applyFill="1" applyBorder="1" applyAlignment="1">
      <alignment horizontal="center"/>
    </xf>
    <xf numFmtId="4" fontId="12" fillId="102" borderId="29" xfId="0" applyNumberFormat="1" applyFont="1" applyFill="1" applyBorder="1" applyAlignment="1">
      <alignment horizontal="center"/>
    </xf>
    <xf numFmtId="4" fontId="12" fillId="100" borderId="29" xfId="0" applyNumberFormat="1" applyFont="1" applyFill="1" applyBorder="1" applyAlignment="1">
      <alignment horizontal="center"/>
    </xf>
    <xf numFmtId="4" fontId="12" fillId="103" borderId="29" xfId="0" applyNumberFormat="1" applyFont="1" applyFill="1" applyBorder="1" applyAlignment="1">
      <alignment horizontal="center"/>
    </xf>
    <xf numFmtId="4" fontId="12" fillId="71" borderId="29" xfId="0" applyNumberFormat="1" applyFont="1" applyFill="1" applyBorder="1" applyAlignment="1">
      <alignment horizontal="center"/>
    </xf>
    <xf numFmtId="4" fontId="12" fillId="59" borderId="29" xfId="0" applyNumberFormat="1" applyFont="1" applyFill="1" applyBorder="1" applyAlignment="1">
      <alignment horizontal="center"/>
    </xf>
    <xf numFmtId="4" fontId="12" fillId="95" borderId="30" xfId="0" applyNumberFormat="1" applyFont="1" applyFill="1" applyBorder="1" applyAlignment="1">
      <alignment horizontal="center"/>
    </xf>
    <xf numFmtId="0" fontId="11" fillId="5" borderId="38" xfId="0" applyFont="1" applyFill="1" applyBorder="1"/>
    <xf numFmtId="4" fontId="12" fillId="104" borderId="23" xfId="0" applyNumberFormat="1" applyFont="1" applyFill="1" applyBorder="1" applyAlignment="1">
      <alignment horizontal="center"/>
    </xf>
    <xf numFmtId="4" fontId="12" fillId="105" borderId="6" xfId="0" applyNumberFormat="1" applyFont="1" applyFill="1" applyBorder="1" applyAlignment="1">
      <alignment horizontal="center"/>
    </xf>
    <xf numFmtId="4" fontId="12" fillId="106" borderId="6" xfId="0" applyNumberFormat="1" applyFont="1" applyFill="1" applyBorder="1" applyAlignment="1">
      <alignment horizontal="center"/>
    </xf>
    <xf numFmtId="4" fontId="12" fillId="107" borderId="6" xfId="0" applyNumberFormat="1" applyFont="1" applyFill="1" applyBorder="1" applyAlignment="1">
      <alignment horizontal="center"/>
    </xf>
    <xf numFmtId="4" fontId="12" fillId="108" borderId="32" xfId="0" applyNumberFormat="1" applyFont="1" applyFill="1" applyBorder="1" applyAlignment="1">
      <alignment horizontal="center"/>
    </xf>
    <xf numFmtId="4" fontId="5" fillId="3" borderId="34" xfId="0" applyNumberFormat="1" applyFont="1" applyFill="1" applyBorder="1" applyAlignment="1">
      <alignment horizontal="center"/>
    </xf>
    <xf numFmtId="4" fontId="12" fillId="102" borderId="34" xfId="0" applyNumberFormat="1" applyFont="1" applyFill="1" applyBorder="1" applyAlignment="1">
      <alignment horizontal="center"/>
    </xf>
    <xf numFmtId="4" fontId="12" fillId="109" borderId="34" xfId="0" applyNumberFormat="1" applyFont="1" applyFill="1" applyBorder="1" applyAlignment="1">
      <alignment horizontal="center"/>
    </xf>
    <xf numFmtId="4" fontId="12" fillId="103" borderId="34" xfId="0" applyNumberFormat="1" applyFont="1" applyFill="1" applyBorder="1" applyAlignment="1">
      <alignment horizontal="center"/>
    </xf>
    <xf numFmtId="4" fontId="12" fillId="59" borderId="34" xfId="0" applyNumberFormat="1" applyFont="1" applyFill="1" applyBorder="1" applyAlignment="1">
      <alignment horizontal="center"/>
    </xf>
    <xf numFmtId="4" fontId="12" fillId="95" borderId="34" xfId="0" applyNumberFormat="1" applyFont="1" applyFill="1" applyBorder="1" applyAlignment="1">
      <alignment horizontal="center"/>
    </xf>
    <xf numFmtId="4" fontId="12" fillId="108" borderId="35" xfId="0" applyNumberFormat="1" applyFont="1" applyFill="1" applyBorder="1" applyAlignment="1">
      <alignment horizontal="center"/>
    </xf>
    <xf numFmtId="4" fontId="5" fillId="3" borderId="30" xfId="0" applyNumberFormat="1" applyFont="1" applyFill="1" applyBorder="1" applyAlignment="1">
      <alignment horizontal="center"/>
    </xf>
    <xf numFmtId="4" fontId="5" fillId="3" borderId="32" xfId="0" applyNumberFormat="1" applyFont="1" applyFill="1" applyBorder="1" applyAlignment="1">
      <alignment horizontal="center"/>
    </xf>
    <xf numFmtId="4" fontId="12" fillId="110" borderId="23" xfId="0" applyNumberFormat="1" applyFont="1" applyFill="1" applyBorder="1" applyAlignment="1">
      <alignment horizontal="center"/>
    </xf>
    <xf numFmtId="4" fontId="12" fillId="111" borderId="6" xfId="0" applyNumberFormat="1" applyFont="1" applyFill="1" applyBorder="1" applyAlignment="1">
      <alignment horizontal="center"/>
    </xf>
    <xf numFmtId="4" fontId="12" fillId="112" borderId="23" xfId="0" applyNumberFormat="1" applyFont="1" applyFill="1" applyBorder="1" applyAlignment="1">
      <alignment horizontal="center"/>
    </xf>
    <xf numFmtId="4" fontId="12" fillId="113" borderId="6" xfId="0" applyNumberFormat="1" applyFont="1" applyFill="1" applyBorder="1" applyAlignment="1">
      <alignment horizontal="center"/>
    </xf>
    <xf numFmtId="4" fontId="12" fillId="114" borderId="6" xfId="0" applyNumberFormat="1" applyFont="1" applyFill="1" applyBorder="1" applyAlignment="1">
      <alignment horizontal="center"/>
    </xf>
    <xf numFmtId="4" fontId="9" fillId="45" borderId="6" xfId="0" applyNumberFormat="1" applyFont="1" applyFill="1" applyBorder="1" applyAlignment="1">
      <alignment horizontal="center"/>
    </xf>
    <xf numFmtId="4" fontId="12" fillId="115" borderId="23" xfId="0" applyNumberFormat="1" applyFont="1" applyFill="1" applyBorder="1" applyAlignment="1">
      <alignment horizontal="center"/>
    </xf>
    <xf numFmtId="4" fontId="12" fillId="116" borderId="6" xfId="0" applyNumberFormat="1" applyFont="1" applyFill="1" applyBorder="1" applyAlignment="1">
      <alignment horizontal="center"/>
    </xf>
    <xf numFmtId="4" fontId="12" fillId="3" borderId="6" xfId="0" applyNumberFormat="1" applyFont="1" applyFill="1" applyBorder="1" applyAlignment="1">
      <alignment horizontal="center"/>
    </xf>
    <xf numFmtId="4" fontId="12" fillId="117" borderId="6" xfId="0" applyNumberFormat="1" applyFont="1" applyFill="1" applyBorder="1" applyAlignment="1">
      <alignment horizontal="center"/>
    </xf>
    <xf numFmtId="4" fontId="12" fillId="67" borderId="6" xfId="0" applyNumberFormat="1" applyFont="1" applyFill="1" applyBorder="1" applyAlignment="1">
      <alignment horizontal="center"/>
    </xf>
    <xf numFmtId="4" fontId="12" fillId="82" borderId="32" xfId="0" applyNumberFormat="1" applyFont="1" applyFill="1" applyBorder="1" applyAlignment="1">
      <alignment horizontal="center"/>
    </xf>
    <xf numFmtId="4" fontId="12" fillId="118" borderId="6" xfId="0" applyNumberFormat="1" applyFont="1" applyFill="1" applyBorder="1" applyAlignment="1">
      <alignment horizontal="center"/>
    </xf>
    <xf numFmtId="4" fontId="12" fillId="108" borderId="6" xfId="0" applyNumberFormat="1" applyFont="1" applyFill="1" applyBorder="1" applyAlignment="1">
      <alignment horizontal="center"/>
    </xf>
    <xf numFmtId="4" fontId="12" fillId="119" borderId="6" xfId="0" applyNumberFormat="1" applyFont="1" applyFill="1" applyBorder="1" applyAlignment="1">
      <alignment horizontal="center"/>
    </xf>
    <xf numFmtId="4" fontId="12" fillId="119" borderId="32" xfId="0" applyNumberFormat="1" applyFont="1" applyFill="1" applyBorder="1" applyAlignment="1">
      <alignment horizontal="center"/>
    </xf>
    <xf numFmtId="4" fontId="12" fillId="64" borderId="34" xfId="0" applyNumberFormat="1" applyFont="1" applyFill="1" applyBorder="1" applyAlignment="1">
      <alignment horizontal="center"/>
    </xf>
    <xf numFmtId="4" fontId="12" fillId="120" borderId="34" xfId="0" applyNumberFormat="1" applyFont="1" applyFill="1" applyBorder="1" applyAlignment="1">
      <alignment horizontal="center"/>
    </xf>
    <xf numFmtId="4" fontId="12" fillId="121" borderId="35" xfId="0" applyNumberFormat="1" applyFont="1" applyFill="1" applyBorder="1" applyAlignment="1">
      <alignment horizontal="center"/>
    </xf>
    <xf numFmtId="4" fontId="12" fillId="115" borderId="28" xfId="0" applyNumberFormat="1" applyFont="1" applyFill="1" applyBorder="1" applyAlignment="1">
      <alignment horizontal="center"/>
    </xf>
    <xf numFmtId="4" fontId="12" fillId="116" borderId="29" xfId="0" applyNumberFormat="1" applyFont="1" applyFill="1" applyBorder="1" applyAlignment="1">
      <alignment horizontal="center"/>
    </xf>
    <xf numFmtId="4" fontId="12" fillId="24" borderId="29" xfId="0" applyNumberFormat="1" applyFont="1" applyFill="1" applyBorder="1" applyAlignment="1">
      <alignment horizontal="center"/>
    </xf>
    <xf numFmtId="4" fontId="12" fillId="74" borderId="29" xfId="0" applyNumberFormat="1" applyFont="1" applyFill="1" applyBorder="1" applyAlignment="1">
      <alignment horizontal="center"/>
    </xf>
    <xf numFmtId="4" fontId="12" fillId="39" borderId="29" xfId="0" applyNumberFormat="1" applyFont="1" applyFill="1" applyBorder="1" applyAlignment="1">
      <alignment horizontal="center"/>
    </xf>
    <xf numFmtId="4" fontId="12" fillId="24" borderId="30" xfId="0" applyNumberFormat="1" applyFont="1" applyFill="1" applyBorder="1" applyAlignment="1">
      <alignment horizontal="center"/>
    </xf>
    <xf numFmtId="4" fontId="12" fillId="122" borderId="6" xfId="0" applyNumberFormat="1" applyFont="1" applyFill="1" applyBorder="1" applyAlignment="1">
      <alignment horizontal="center"/>
    </xf>
    <xf numFmtId="4" fontId="12" fillId="25" borderId="6" xfId="0" applyNumberFormat="1" applyFont="1" applyFill="1" applyBorder="1" applyAlignment="1">
      <alignment horizontal="center"/>
    </xf>
    <xf numFmtId="4" fontId="9" fillId="123" borderId="32" xfId="0" applyNumberFormat="1" applyFont="1" applyFill="1" applyBorder="1" applyAlignment="1">
      <alignment horizontal="center"/>
    </xf>
    <xf numFmtId="4" fontId="12" fillId="124" borderId="6" xfId="0" applyNumberFormat="1" applyFont="1" applyFill="1" applyBorder="1" applyAlignment="1">
      <alignment horizontal="center"/>
    </xf>
    <xf numFmtId="4" fontId="9" fillId="31" borderId="32" xfId="0" applyNumberFormat="1" applyFont="1" applyFill="1" applyBorder="1" applyAlignment="1">
      <alignment horizontal="center"/>
    </xf>
    <xf numFmtId="4" fontId="12" fillId="125" borderId="23" xfId="0" applyNumberFormat="1" applyFont="1" applyFill="1" applyBorder="1" applyAlignment="1">
      <alignment horizontal="center"/>
    </xf>
    <xf numFmtId="4" fontId="12" fillId="126" borderId="6" xfId="0" applyNumberFormat="1" applyFont="1" applyFill="1" applyBorder="1" applyAlignment="1">
      <alignment horizontal="center"/>
    </xf>
    <xf numFmtId="4" fontId="9" fillId="127" borderId="6" xfId="0" applyNumberFormat="1" applyFont="1" applyFill="1" applyBorder="1" applyAlignment="1">
      <alignment horizontal="center"/>
    </xf>
    <xf numFmtId="4" fontId="9" fillId="126" borderId="32" xfId="0" applyNumberFormat="1" applyFont="1" applyFill="1" applyBorder="1" applyAlignment="1">
      <alignment horizontal="center"/>
    </xf>
    <xf numFmtId="4" fontId="5" fillId="3" borderId="23" xfId="0" applyNumberFormat="1" applyFont="1" applyFill="1" applyBorder="1" applyAlignment="1">
      <alignment horizontal="center"/>
    </xf>
    <xf numFmtId="4" fontId="5" fillId="3" borderId="24" xfId="0" applyNumberFormat="1" applyFont="1" applyFill="1" applyBorder="1" applyAlignment="1">
      <alignment horizontal="center"/>
    </xf>
    <xf numFmtId="4" fontId="12" fillId="128" borderId="6" xfId="0" applyNumberFormat="1" applyFont="1" applyFill="1" applyBorder="1" applyAlignment="1">
      <alignment horizontal="center"/>
    </xf>
    <xf numFmtId="4" fontId="12" fillId="129" borderId="6" xfId="0" applyNumberFormat="1" applyFont="1" applyFill="1" applyBorder="1" applyAlignment="1">
      <alignment horizontal="center"/>
    </xf>
    <xf numFmtId="4" fontId="12" fillId="125" borderId="32" xfId="0" applyNumberFormat="1" applyFont="1" applyFill="1" applyBorder="1" applyAlignment="1">
      <alignment horizontal="center"/>
    </xf>
    <xf numFmtId="4" fontId="12" fillId="130" borderId="6" xfId="0" applyNumberFormat="1" applyFont="1" applyFill="1" applyBorder="1" applyAlignment="1">
      <alignment horizontal="center"/>
    </xf>
    <xf numFmtId="4" fontId="12" fillId="48" borderId="32" xfId="0" applyNumberFormat="1" applyFont="1" applyFill="1" applyBorder="1" applyAlignment="1">
      <alignment horizontal="center"/>
    </xf>
    <xf numFmtId="4" fontId="12" fillId="131" borderId="6" xfId="0" applyNumberFormat="1" applyFont="1" applyFill="1" applyBorder="1" applyAlignment="1">
      <alignment horizontal="center"/>
    </xf>
    <xf numFmtId="4" fontId="12" fillId="71" borderId="6" xfId="0" applyNumberFormat="1" applyFont="1" applyFill="1" applyBorder="1" applyAlignment="1">
      <alignment horizontal="center"/>
    </xf>
    <xf numFmtId="4" fontId="12" fillId="132" borderId="6" xfId="0" applyNumberFormat="1" applyFont="1" applyFill="1" applyBorder="1" applyAlignment="1">
      <alignment horizontal="center"/>
    </xf>
    <xf numFmtId="4" fontId="12" fillId="38" borderId="32" xfId="0" applyNumberFormat="1" applyFont="1" applyFill="1" applyBorder="1" applyAlignment="1">
      <alignment horizontal="center"/>
    </xf>
    <xf numFmtId="0" fontId="7" fillId="5" borderId="39" xfId="0" applyFont="1" applyFill="1" applyBorder="1"/>
    <xf numFmtId="4" fontId="12" fillId="133" borderId="6" xfId="0" applyNumberFormat="1" applyFont="1" applyFill="1" applyBorder="1" applyAlignment="1">
      <alignment horizontal="center"/>
    </xf>
    <xf numFmtId="4" fontId="12" fillId="134" borderId="6" xfId="0" applyNumberFormat="1" applyFont="1" applyFill="1" applyBorder="1" applyAlignment="1">
      <alignment horizontal="center"/>
    </xf>
    <xf numFmtId="4" fontId="12" fillId="135" borderId="6" xfId="0" applyNumberFormat="1" applyFont="1" applyFill="1" applyBorder="1" applyAlignment="1">
      <alignment horizontal="center"/>
    </xf>
    <xf numFmtId="4" fontId="12" fillId="85" borderId="32" xfId="0" applyNumberFormat="1" applyFont="1" applyFill="1" applyBorder="1" applyAlignment="1">
      <alignment horizontal="center"/>
    </xf>
    <xf numFmtId="4" fontId="12" fillId="68" borderId="34" xfId="0" applyNumberFormat="1" applyFont="1" applyFill="1" applyBorder="1" applyAlignment="1">
      <alignment horizontal="center"/>
    </xf>
    <xf numFmtId="4" fontId="12" fillId="93" borderId="34" xfId="0" applyNumberFormat="1" applyFont="1" applyFill="1" applyBorder="1" applyAlignment="1">
      <alignment horizontal="center"/>
    </xf>
    <xf numFmtId="4" fontId="12" fillId="113" borderId="34" xfId="0" applyNumberFormat="1" applyFont="1" applyFill="1" applyBorder="1" applyAlignment="1">
      <alignment horizontal="center"/>
    </xf>
    <xf numFmtId="4" fontId="12" fillId="6" borderId="35" xfId="0" applyNumberFormat="1" applyFont="1" applyFill="1" applyBorder="1" applyAlignment="1">
      <alignment horizontal="center"/>
    </xf>
    <xf numFmtId="4" fontId="12" fillId="136" borderId="29" xfId="0" applyNumberFormat="1" applyFont="1" applyFill="1" applyBorder="1" applyAlignment="1">
      <alignment horizontal="center"/>
    </xf>
    <xf numFmtId="4" fontId="12" fillId="135" borderId="29" xfId="0" applyNumberFormat="1" applyFont="1" applyFill="1" applyBorder="1" applyAlignment="1">
      <alignment horizontal="center"/>
    </xf>
    <xf numFmtId="4" fontId="12" fillId="77" borderId="29" xfId="0" applyNumberFormat="1" applyFont="1" applyFill="1" applyBorder="1" applyAlignment="1">
      <alignment horizontal="center"/>
    </xf>
    <xf numFmtId="4" fontId="12" fillId="114" borderId="29" xfId="0" applyNumberFormat="1" applyFont="1" applyFill="1" applyBorder="1" applyAlignment="1">
      <alignment horizontal="center"/>
    </xf>
    <xf numFmtId="4" fontId="12" fillId="50" borderId="29" xfId="0" applyNumberFormat="1" applyFont="1" applyFill="1" applyBorder="1" applyAlignment="1">
      <alignment horizontal="center"/>
    </xf>
    <xf numFmtId="4" fontId="9" fillId="72" borderId="30" xfId="0" applyNumberFormat="1" applyFont="1" applyFill="1" applyBorder="1" applyAlignment="1">
      <alignment horizontal="center"/>
    </xf>
    <xf numFmtId="4" fontId="12" fillId="137" borderId="6" xfId="0" applyNumberFormat="1" applyFont="1" applyFill="1" applyBorder="1" applyAlignment="1">
      <alignment horizontal="center"/>
    </xf>
    <xf numFmtId="4" fontId="12" fillId="121" borderId="6" xfId="0" applyNumberFormat="1" applyFont="1" applyFill="1" applyBorder="1" applyAlignment="1">
      <alignment horizontal="center"/>
    </xf>
    <xf numFmtId="4" fontId="12" fillId="138" borderId="6" xfId="0" applyNumberFormat="1" applyFont="1" applyFill="1" applyBorder="1" applyAlignment="1">
      <alignment horizontal="center"/>
    </xf>
    <xf numFmtId="4" fontId="12" fillId="74" borderId="32" xfId="0" applyNumberFormat="1" applyFont="1" applyFill="1" applyBorder="1" applyAlignment="1">
      <alignment horizontal="center"/>
    </xf>
    <xf numFmtId="4" fontId="12" fillId="92" borderId="23" xfId="0" applyNumberFormat="1" applyFont="1" applyFill="1" applyBorder="1" applyAlignment="1">
      <alignment horizontal="center"/>
    </xf>
    <xf numFmtId="4" fontId="12" fillId="75" borderId="32" xfId="0" applyNumberFormat="1" applyFont="1" applyFill="1" applyBorder="1" applyAlignment="1">
      <alignment horizontal="center"/>
    </xf>
    <xf numFmtId="4" fontId="12" fillId="93" borderId="6" xfId="0" applyNumberFormat="1" applyFont="1" applyFill="1" applyBorder="1" applyAlignment="1">
      <alignment horizontal="center"/>
    </xf>
    <xf numFmtId="4" fontId="12" fillId="96" borderId="32" xfId="0" applyNumberFormat="1" applyFont="1" applyFill="1" applyBorder="1" applyAlignment="1">
      <alignment horizontal="center"/>
    </xf>
    <xf numFmtId="4" fontId="12" fillId="118" borderId="23" xfId="0" applyNumberFormat="1" applyFont="1" applyFill="1" applyBorder="1" applyAlignment="1">
      <alignment horizontal="center"/>
    </xf>
    <xf numFmtId="4" fontId="12" fillId="64" borderId="32" xfId="0" applyNumberFormat="1" applyFont="1" applyFill="1" applyBorder="1" applyAlignment="1">
      <alignment horizontal="center"/>
    </xf>
    <xf numFmtId="4" fontId="12" fillId="109" borderId="23" xfId="0" applyNumberFormat="1" applyFont="1" applyFill="1" applyBorder="1" applyAlignment="1">
      <alignment horizontal="center"/>
    </xf>
    <xf numFmtId="4" fontId="12" fillId="101" borderId="34" xfId="0" applyNumberFormat="1" applyFont="1" applyFill="1" applyBorder="1" applyAlignment="1">
      <alignment horizontal="center"/>
    </xf>
    <xf numFmtId="4" fontId="12" fillId="71" borderId="34" xfId="0" applyNumberFormat="1" applyFont="1" applyFill="1" applyBorder="1" applyAlignment="1">
      <alignment horizontal="center"/>
    </xf>
    <xf numFmtId="4" fontId="12" fillId="63" borderId="28" xfId="0" applyNumberFormat="1" applyFont="1" applyFill="1" applyBorder="1" applyAlignment="1">
      <alignment horizontal="center"/>
    </xf>
    <xf numFmtId="4" fontId="12" fillId="113" borderId="29" xfId="0" applyNumberFormat="1" applyFont="1" applyFill="1" applyBorder="1" applyAlignment="1">
      <alignment horizontal="center"/>
    </xf>
    <xf numFmtId="4" fontId="12" fillId="139" borderId="29" xfId="0" applyNumberFormat="1" applyFont="1" applyFill="1" applyBorder="1" applyAlignment="1">
      <alignment horizontal="center"/>
    </xf>
    <xf numFmtId="4" fontId="12" fillId="3" borderId="29" xfId="0" applyNumberFormat="1" applyFont="1" applyFill="1" applyBorder="1" applyAlignment="1">
      <alignment horizontal="center"/>
    </xf>
    <xf numFmtId="4" fontId="12" fillId="3" borderId="30" xfId="0" applyNumberFormat="1" applyFont="1" applyFill="1" applyBorder="1" applyAlignment="1">
      <alignment horizontal="center"/>
    </xf>
    <xf numFmtId="4" fontId="12" fillId="140" borderId="6" xfId="0" applyNumberFormat="1" applyFont="1" applyFill="1" applyBorder="1" applyAlignment="1">
      <alignment horizontal="center"/>
    </xf>
    <xf numFmtId="4" fontId="12" fillId="109" borderId="6" xfId="0" applyNumberFormat="1" applyFont="1" applyFill="1" applyBorder="1" applyAlignment="1">
      <alignment horizontal="center"/>
    </xf>
    <xf numFmtId="4" fontId="12" fillId="102" borderId="6" xfId="0" applyNumberFormat="1" applyFont="1" applyFill="1" applyBorder="1" applyAlignment="1">
      <alignment horizontal="center"/>
    </xf>
    <xf numFmtId="4" fontId="12" fillId="103" borderId="6" xfId="0" applyNumberFormat="1" applyFont="1" applyFill="1" applyBorder="1" applyAlignment="1">
      <alignment horizontal="center"/>
    </xf>
    <xf numFmtId="4" fontId="12" fillId="97" borderId="23" xfId="0" applyNumberFormat="1" applyFont="1" applyFill="1" applyBorder="1" applyAlignment="1">
      <alignment horizontal="center"/>
    </xf>
    <xf numFmtId="4" fontId="12" fillId="23" borderId="32" xfId="0" applyNumberFormat="1" applyFont="1" applyFill="1" applyBorder="1" applyAlignment="1">
      <alignment horizontal="center"/>
    </xf>
    <xf numFmtId="4" fontId="12" fillId="141" borderId="6" xfId="0" applyNumberFormat="1" applyFont="1" applyFill="1" applyBorder="1" applyAlignment="1">
      <alignment horizontal="center"/>
    </xf>
    <xf numFmtId="4" fontId="12" fillId="136" borderId="6" xfId="0" applyNumberFormat="1" applyFont="1" applyFill="1" applyBorder="1" applyAlignment="1">
      <alignment horizontal="center"/>
    </xf>
    <xf numFmtId="4" fontId="12" fillId="96" borderId="6" xfId="0" applyNumberFormat="1" applyFont="1" applyFill="1" applyBorder="1" applyAlignment="1">
      <alignment horizontal="center"/>
    </xf>
    <xf numFmtId="4" fontId="12" fillId="132" borderId="32" xfId="0" applyNumberFormat="1" applyFont="1" applyFill="1" applyBorder="1" applyAlignment="1">
      <alignment horizontal="center"/>
    </xf>
    <xf numFmtId="4" fontId="12" fillId="67" borderId="23" xfId="0" applyNumberFormat="1" applyFont="1" applyFill="1" applyBorder="1" applyAlignment="1">
      <alignment horizontal="center"/>
    </xf>
    <xf numFmtId="4" fontId="12" fillId="113" borderId="32" xfId="0" applyNumberFormat="1" applyFont="1" applyFill="1" applyBorder="1" applyAlignment="1">
      <alignment horizontal="center"/>
    </xf>
    <xf numFmtId="4" fontId="12" fillId="9" borderId="6" xfId="0" applyNumberFormat="1" applyFont="1" applyFill="1" applyBorder="1" applyAlignment="1">
      <alignment horizontal="center"/>
    </xf>
    <xf numFmtId="4" fontId="12" fillId="136" borderId="23" xfId="0" applyNumberFormat="1" applyFont="1" applyFill="1" applyBorder="1" applyAlignment="1">
      <alignment horizontal="center"/>
    </xf>
    <xf numFmtId="4" fontId="12" fillId="142" borderId="6" xfId="0" applyNumberFormat="1" applyFont="1" applyFill="1" applyBorder="1" applyAlignment="1">
      <alignment horizontal="center"/>
    </xf>
    <xf numFmtId="4" fontId="12" fillId="39" borderId="32" xfId="0" applyNumberFormat="1" applyFont="1" applyFill="1" applyBorder="1" applyAlignment="1">
      <alignment horizontal="center"/>
    </xf>
    <xf numFmtId="4" fontId="12" fillId="143" borderId="6" xfId="0" applyNumberFormat="1" applyFont="1" applyFill="1" applyBorder="1" applyAlignment="1">
      <alignment horizontal="center"/>
    </xf>
    <xf numFmtId="4" fontId="12" fillId="99" borderId="32" xfId="0" applyNumberFormat="1" applyFont="1" applyFill="1" applyBorder="1" applyAlignment="1">
      <alignment horizontal="center"/>
    </xf>
    <xf numFmtId="4" fontId="12" fillId="144" borderId="6" xfId="0" applyNumberFormat="1" applyFont="1" applyFill="1" applyBorder="1" applyAlignment="1">
      <alignment horizontal="center"/>
    </xf>
    <xf numFmtId="4" fontId="12" fillId="145" borderId="6" xfId="0" applyNumberFormat="1" applyFont="1" applyFill="1" applyBorder="1" applyAlignment="1">
      <alignment horizontal="center"/>
    </xf>
    <xf numFmtId="4" fontId="9" fillId="138" borderId="32" xfId="0" applyNumberFormat="1" applyFont="1" applyFill="1" applyBorder="1" applyAlignment="1">
      <alignment horizontal="center"/>
    </xf>
    <xf numFmtId="4" fontId="12" fillId="36" borderId="34" xfId="0" applyNumberFormat="1" applyFont="1" applyFill="1" applyBorder="1" applyAlignment="1">
      <alignment horizontal="center"/>
    </xf>
    <xf numFmtId="4" fontId="12" fillId="32" borderId="34" xfId="0" applyNumberFormat="1" applyFont="1" applyFill="1" applyBorder="1" applyAlignment="1">
      <alignment horizontal="center"/>
    </xf>
    <xf numFmtId="4" fontId="12" fillId="25" borderId="34" xfId="0" applyNumberFormat="1" applyFont="1" applyFill="1" applyBorder="1" applyAlignment="1">
      <alignment horizontal="center"/>
    </xf>
    <xf numFmtId="4" fontId="12" fillId="94" borderId="35" xfId="0" applyNumberFormat="1" applyFont="1" applyFill="1" applyBorder="1" applyAlignment="1">
      <alignment horizontal="center"/>
    </xf>
    <xf numFmtId="0" fontId="10" fillId="0" borderId="0" xfId="0" applyFont="1" applyAlignment="1">
      <alignment horizontal="center" vertical="center"/>
    </xf>
    <xf numFmtId="0" fontId="7" fillId="5" borderId="40" xfId="0" applyFont="1" applyFill="1" applyBorder="1"/>
    <xf numFmtId="4" fontId="12" fillId="136" borderId="40" xfId="0" applyNumberFormat="1" applyFont="1" applyFill="1" applyBorder="1" applyAlignment="1">
      <alignment horizontal="center"/>
    </xf>
    <xf numFmtId="4" fontId="12" fillId="92" borderId="38" xfId="0" applyNumberFormat="1" applyFont="1" applyFill="1" applyBorder="1" applyAlignment="1">
      <alignment horizontal="center"/>
    </xf>
    <xf numFmtId="4" fontId="12" fillId="43" borderId="38" xfId="0" applyNumberFormat="1" applyFont="1" applyFill="1" applyBorder="1" applyAlignment="1">
      <alignment horizontal="center"/>
    </xf>
    <xf numFmtId="4" fontId="12" fillId="61" borderId="38" xfId="0" applyNumberFormat="1" applyFont="1" applyFill="1" applyBorder="1" applyAlignment="1">
      <alignment horizontal="center"/>
    </xf>
    <xf numFmtId="4" fontId="12" fillId="22" borderId="38" xfId="0" applyNumberFormat="1" applyFont="1" applyFill="1" applyBorder="1" applyAlignment="1">
      <alignment horizontal="center"/>
    </xf>
    <xf numFmtId="4" fontId="12" fillId="121" borderId="41" xfId="0" applyNumberFormat="1" applyFont="1" applyFill="1" applyBorder="1" applyAlignment="1">
      <alignment horizontal="center"/>
    </xf>
    <xf numFmtId="4" fontId="12" fillId="125" borderId="42" xfId="0" applyNumberFormat="1" applyFont="1" applyFill="1" applyBorder="1" applyAlignment="1">
      <alignment horizontal="center"/>
    </xf>
    <xf numFmtId="4" fontId="12" fillId="146" borderId="23" xfId="0" applyNumberFormat="1" applyFont="1" applyFill="1" applyBorder="1" applyAlignment="1">
      <alignment horizontal="center"/>
    </xf>
    <xf numFmtId="4" fontId="12" fillId="60" borderId="42" xfId="0" applyNumberFormat="1" applyFont="1" applyFill="1" applyBorder="1" applyAlignment="1">
      <alignment horizontal="center"/>
    </xf>
    <xf numFmtId="4" fontId="12" fillId="95" borderId="23" xfId="0" applyNumberFormat="1" applyFont="1" applyFill="1" applyBorder="1" applyAlignment="1">
      <alignment horizontal="center"/>
    </xf>
    <xf numFmtId="4" fontId="12" fillId="3" borderId="42" xfId="0" applyNumberFormat="1" applyFont="1" applyFill="1" applyBorder="1" applyAlignment="1">
      <alignment horizontal="center"/>
    </xf>
    <xf numFmtId="4" fontId="12" fillId="147" borderId="6" xfId="0" applyNumberFormat="1" applyFont="1" applyFill="1" applyBorder="1" applyAlignment="1">
      <alignment horizontal="center"/>
    </xf>
    <xf numFmtId="4" fontId="12" fillId="67" borderId="42" xfId="0" applyNumberFormat="1" applyFont="1" applyFill="1" applyBorder="1" applyAlignment="1">
      <alignment horizontal="center"/>
    </xf>
    <xf numFmtId="4" fontId="5" fillId="3" borderId="42" xfId="0" applyNumberFormat="1" applyFont="1" applyFill="1" applyBorder="1" applyAlignment="1">
      <alignment horizontal="center"/>
    </xf>
    <xf numFmtId="4" fontId="12" fillId="148" borderId="6" xfId="0" applyNumberFormat="1" applyFont="1" applyFill="1" applyBorder="1" applyAlignment="1">
      <alignment horizontal="center"/>
    </xf>
    <xf numFmtId="4" fontId="12" fillId="113" borderId="42" xfId="0" applyNumberFormat="1" applyFont="1" applyFill="1" applyBorder="1" applyAlignment="1">
      <alignment horizontal="center"/>
    </xf>
    <xf numFmtId="0" fontId="11" fillId="5" borderId="43" xfId="0" applyFont="1" applyFill="1" applyBorder="1"/>
    <xf numFmtId="4" fontId="5" fillId="3" borderId="44" xfId="0" applyNumberFormat="1" applyFont="1" applyFill="1" applyBorder="1" applyAlignment="1">
      <alignment horizontal="center"/>
    </xf>
    <xf numFmtId="4" fontId="5" fillId="3" borderId="45" xfId="0" applyNumberFormat="1" applyFont="1" applyFill="1" applyBorder="1" applyAlignment="1">
      <alignment horizontal="center"/>
    </xf>
    <xf numFmtId="4" fontId="5" fillId="3" borderId="12" xfId="0" applyNumberFormat="1" applyFont="1" applyFill="1" applyBorder="1" applyAlignment="1">
      <alignment horizontal="center"/>
    </xf>
    <xf numFmtId="4" fontId="12" fillId="68" borderId="28" xfId="0" applyNumberFormat="1" applyFont="1" applyFill="1" applyBorder="1" applyAlignment="1">
      <alignment horizontal="center"/>
    </xf>
    <xf numFmtId="4" fontId="12" fillId="120" borderId="29" xfId="0" applyNumberFormat="1" applyFont="1" applyFill="1" applyBorder="1" applyAlignment="1">
      <alignment horizontal="center"/>
    </xf>
    <xf numFmtId="4" fontId="12" fillId="94" borderId="29" xfId="0" applyNumberFormat="1" applyFont="1" applyFill="1" applyBorder="1" applyAlignment="1">
      <alignment horizontal="center"/>
    </xf>
    <xf numFmtId="4" fontId="12" fillId="142" borderId="29" xfId="0" applyNumberFormat="1" applyFont="1" applyFill="1" applyBorder="1" applyAlignment="1">
      <alignment horizontal="center"/>
    </xf>
    <xf numFmtId="4" fontId="12" fillId="23" borderId="30" xfId="0" applyNumberFormat="1" applyFont="1" applyFill="1" applyBorder="1" applyAlignment="1">
      <alignment horizontal="center"/>
    </xf>
    <xf numFmtId="4" fontId="12" fillId="149" borderId="23" xfId="0" applyNumberFormat="1" applyFont="1" applyFill="1" applyBorder="1" applyAlignment="1">
      <alignment horizontal="center"/>
    </xf>
    <xf numFmtId="4" fontId="12" fillId="150" borderId="6" xfId="0" applyNumberFormat="1" applyFont="1" applyFill="1" applyBorder="1" applyAlignment="1">
      <alignment horizontal="center"/>
    </xf>
    <xf numFmtId="4" fontId="12" fillId="59" borderId="32" xfId="0" applyNumberFormat="1" applyFont="1" applyFill="1" applyBorder="1" applyAlignment="1">
      <alignment horizontal="center"/>
    </xf>
    <xf numFmtId="4" fontId="12" fillId="100" borderId="34" xfId="0" applyNumberFormat="1" applyFont="1" applyFill="1" applyBorder="1" applyAlignment="1">
      <alignment horizontal="center"/>
    </xf>
    <xf numFmtId="4" fontId="12" fillId="67" borderId="34" xfId="0" applyNumberFormat="1" applyFont="1" applyFill="1" applyBorder="1" applyAlignment="1">
      <alignment horizontal="center"/>
    </xf>
    <xf numFmtId="4" fontId="12" fillId="111" borderId="35" xfId="0" applyNumberFormat="1" applyFont="1" applyFill="1" applyBorder="1" applyAlignment="1">
      <alignment horizontal="center"/>
    </xf>
    <xf numFmtId="4" fontId="12" fillId="133" borderId="28" xfId="0" applyNumberFormat="1" applyFont="1" applyFill="1" applyBorder="1" applyAlignment="1">
      <alignment horizontal="center"/>
    </xf>
    <xf numFmtId="4" fontId="12" fillId="132" borderId="29" xfId="0" applyNumberFormat="1" applyFont="1" applyFill="1" applyBorder="1" applyAlignment="1">
      <alignment horizontal="center"/>
    </xf>
    <xf numFmtId="4" fontId="12" fillId="60" borderId="29" xfId="0" applyNumberFormat="1" applyFont="1" applyFill="1" applyBorder="1" applyAlignment="1">
      <alignment horizontal="center"/>
    </xf>
    <xf numFmtId="4" fontId="12" fillId="75" borderId="29" xfId="0" applyNumberFormat="1" applyFont="1" applyFill="1" applyBorder="1" applyAlignment="1">
      <alignment horizontal="center"/>
    </xf>
    <xf numFmtId="4" fontId="12" fillId="145" borderId="29" xfId="0" applyNumberFormat="1" applyFont="1" applyFill="1" applyBorder="1" applyAlignment="1">
      <alignment horizontal="center"/>
    </xf>
    <xf numFmtId="4" fontId="9" fillId="16" borderId="30" xfId="0" applyNumberFormat="1" applyFont="1" applyFill="1" applyBorder="1" applyAlignment="1">
      <alignment horizontal="center"/>
    </xf>
    <xf numFmtId="4" fontId="12" fillId="133" borderId="23" xfId="0" applyNumberFormat="1" applyFont="1" applyFill="1" applyBorder="1" applyAlignment="1">
      <alignment horizontal="center"/>
    </xf>
    <xf numFmtId="4" fontId="12" fillId="151" borderId="6" xfId="0" applyNumberFormat="1" applyFont="1" applyFill="1" applyBorder="1" applyAlignment="1">
      <alignment horizontal="center"/>
    </xf>
    <xf numFmtId="4" fontId="12" fillId="152" borderId="32" xfId="0" applyNumberFormat="1" applyFont="1" applyFill="1" applyBorder="1" applyAlignment="1">
      <alignment horizontal="center"/>
    </xf>
    <xf numFmtId="4" fontId="12" fillId="29" borderId="32" xfId="0" applyNumberFormat="1" applyFont="1" applyFill="1" applyBorder="1" applyAlignment="1">
      <alignment horizontal="center"/>
    </xf>
    <xf numFmtId="4" fontId="9" fillId="37" borderId="32" xfId="0" applyNumberFormat="1" applyFont="1" applyFill="1" applyBorder="1" applyAlignment="1">
      <alignment horizontal="center"/>
    </xf>
    <xf numFmtId="4" fontId="12" fillId="106" borderId="23" xfId="0" applyNumberFormat="1" applyFont="1" applyFill="1" applyBorder="1" applyAlignment="1">
      <alignment horizontal="center"/>
    </xf>
    <xf numFmtId="4" fontId="12" fillId="147" borderId="32" xfId="0" applyNumberFormat="1" applyFont="1" applyFill="1" applyBorder="1" applyAlignment="1">
      <alignment horizontal="center"/>
    </xf>
    <xf numFmtId="4" fontId="12" fillId="43" borderId="6" xfId="0" applyNumberFormat="1" applyFont="1" applyFill="1" applyBorder="1" applyAlignment="1">
      <alignment horizontal="center"/>
    </xf>
    <xf numFmtId="4" fontId="12" fillId="120" borderId="6" xfId="0" applyNumberFormat="1" applyFont="1" applyFill="1" applyBorder="1" applyAlignment="1">
      <alignment horizontal="center"/>
    </xf>
    <xf numFmtId="4" fontId="12" fillId="153" borderId="23" xfId="0" applyNumberFormat="1" applyFont="1" applyFill="1" applyBorder="1" applyAlignment="1">
      <alignment horizontal="center"/>
    </xf>
    <xf numFmtId="4" fontId="12" fillId="35" borderId="32" xfId="0" applyNumberFormat="1" applyFont="1" applyFill="1" applyBorder="1" applyAlignment="1">
      <alignment horizontal="center"/>
    </xf>
    <xf numFmtId="0" fontId="7" fillId="5" borderId="43" xfId="0" applyFont="1" applyFill="1" applyBorder="1"/>
    <xf numFmtId="4" fontId="9" fillId="77" borderId="32" xfId="0" applyNumberFormat="1" applyFont="1" applyFill="1" applyBorder="1" applyAlignment="1">
      <alignment horizontal="center"/>
    </xf>
    <xf numFmtId="4" fontId="12" fillId="65" borderId="34" xfId="0" applyNumberFormat="1" applyFont="1" applyFill="1" applyBorder="1" applyAlignment="1">
      <alignment horizontal="center"/>
    </xf>
    <xf numFmtId="4" fontId="12" fillId="129" borderId="34" xfId="0" applyNumberFormat="1" applyFont="1" applyFill="1" applyBorder="1" applyAlignment="1">
      <alignment horizontal="center"/>
    </xf>
    <xf numFmtId="4" fontId="12" fillId="154" borderId="35" xfId="0" applyNumberFormat="1" applyFont="1" applyFill="1" applyBorder="1" applyAlignment="1">
      <alignment horizontal="center"/>
    </xf>
    <xf numFmtId="4" fontId="12" fillId="119" borderId="29" xfId="0" applyNumberFormat="1" applyFont="1" applyFill="1" applyBorder="1" applyAlignment="1">
      <alignment horizontal="center"/>
    </xf>
    <xf numFmtId="4" fontId="12" fillId="97" borderId="29" xfId="0" applyNumberFormat="1" applyFont="1" applyFill="1" applyBorder="1" applyAlignment="1">
      <alignment horizontal="center"/>
    </xf>
    <xf numFmtId="4" fontId="12" fillId="131" borderId="30" xfId="0" applyNumberFormat="1" applyFont="1" applyFill="1" applyBorder="1" applyAlignment="1">
      <alignment horizontal="center"/>
    </xf>
    <xf numFmtId="4" fontId="12" fillId="155" borderId="6" xfId="0" applyNumberFormat="1" applyFont="1" applyFill="1" applyBorder="1" applyAlignment="1">
      <alignment horizontal="center"/>
    </xf>
    <xf numFmtId="4" fontId="12" fillId="156" borderId="6" xfId="0" applyNumberFormat="1" applyFont="1" applyFill="1" applyBorder="1" applyAlignment="1">
      <alignment horizontal="center"/>
    </xf>
    <xf numFmtId="4" fontId="12" fillId="157" borderId="32" xfId="0" applyNumberFormat="1" applyFont="1" applyFill="1" applyBorder="1" applyAlignment="1">
      <alignment horizontal="center"/>
    </xf>
    <xf numFmtId="4" fontId="12" fillId="31" borderId="23" xfId="0" applyNumberFormat="1" applyFont="1" applyFill="1" applyBorder="1" applyAlignment="1">
      <alignment horizontal="center"/>
    </xf>
    <xf numFmtId="4" fontId="12" fillId="27" borderId="6" xfId="0" applyNumberFormat="1" applyFont="1" applyFill="1" applyBorder="1" applyAlignment="1">
      <alignment horizontal="center"/>
    </xf>
    <xf numFmtId="4" fontId="12" fillId="142" borderId="32" xfId="0" applyNumberFormat="1" applyFont="1" applyFill="1" applyBorder="1" applyAlignment="1">
      <alignment horizontal="center"/>
    </xf>
    <xf numFmtId="4" fontId="12" fillId="6" borderId="32" xfId="0" applyNumberFormat="1" applyFont="1" applyFill="1" applyBorder="1" applyAlignment="1">
      <alignment horizontal="center"/>
    </xf>
    <xf numFmtId="4" fontId="12" fillId="27" borderId="23" xfId="0" applyNumberFormat="1" applyFont="1" applyFill="1" applyBorder="1" applyAlignment="1">
      <alignment horizontal="center"/>
    </xf>
    <xf numFmtId="4" fontId="12" fillId="19" borderId="6" xfId="0" applyNumberFormat="1" applyFont="1" applyFill="1" applyBorder="1" applyAlignment="1">
      <alignment horizontal="center"/>
    </xf>
    <xf numFmtId="4" fontId="12" fillId="158" borderId="6" xfId="0" applyNumberFormat="1" applyFont="1" applyFill="1" applyBorder="1" applyAlignment="1">
      <alignment horizontal="center"/>
    </xf>
    <xf numFmtId="4" fontId="12" fillId="159" borderId="6" xfId="0" applyNumberFormat="1" applyFont="1" applyFill="1" applyBorder="1" applyAlignment="1">
      <alignment horizontal="center"/>
    </xf>
    <xf numFmtId="4" fontId="12" fillId="160" borderId="6" xfId="0" applyNumberFormat="1" applyFont="1" applyFill="1" applyBorder="1" applyAlignment="1">
      <alignment horizontal="center"/>
    </xf>
    <xf numFmtId="4" fontId="12" fillId="34" borderId="6" xfId="0" applyNumberFormat="1" applyFont="1" applyFill="1" applyBorder="1" applyAlignment="1">
      <alignment horizontal="center"/>
    </xf>
    <xf numFmtId="4" fontId="12" fillId="161" borderId="32" xfId="0" applyNumberFormat="1" applyFont="1" applyFill="1" applyBorder="1" applyAlignment="1">
      <alignment horizontal="center"/>
    </xf>
    <xf numFmtId="4" fontId="12" fillId="162" borderId="6" xfId="0" applyNumberFormat="1" applyFont="1" applyFill="1" applyBorder="1" applyAlignment="1">
      <alignment horizontal="center"/>
    </xf>
    <xf numFmtId="4" fontId="12" fillId="163" borderId="6" xfId="0" applyNumberFormat="1" applyFont="1" applyFill="1" applyBorder="1" applyAlignment="1">
      <alignment horizontal="center"/>
    </xf>
    <xf numFmtId="4" fontId="12" fillId="157" borderId="6" xfId="0" applyNumberFormat="1" applyFont="1" applyFill="1" applyBorder="1" applyAlignment="1">
      <alignment horizontal="center"/>
    </xf>
    <xf numFmtId="4" fontId="12" fillId="60" borderId="32" xfId="0" applyNumberFormat="1" applyFont="1" applyFill="1" applyBorder="1" applyAlignment="1">
      <alignment horizontal="center"/>
    </xf>
    <xf numFmtId="4" fontId="12" fillId="164" borderId="32" xfId="0" applyNumberFormat="1" applyFont="1" applyFill="1" applyBorder="1" applyAlignment="1">
      <alignment horizontal="center"/>
    </xf>
    <xf numFmtId="4" fontId="12" fillId="117" borderId="34" xfId="0" applyNumberFormat="1" applyFont="1" applyFill="1" applyBorder="1" applyAlignment="1">
      <alignment horizontal="center"/>
    </xf>
    <xf numFmtId="4" fontId="12" fillId="147" borderId="34" xfId="0" applyNumberFormat="1" applyFont="1" applyFill="1" applyBorder="1" applyAlignment="1">
      <alignment horizontal="center"/>
    </xf>
    <xf numFmtId="4" fontId="12" fillId="96" borderId="34" xfId="0" applyNumberFormat="1" applyFont="1" applyFill="1" applyBorder="1" applyAlignment="1">
      <alignment horizontal="center"/>
    </xf>
    <xf numFmtId="4" fontId="12" fillId="152" borderId="35" xfId="0" applyNumberFormat="1" applyFont="1" applyFill="1" applyBorder="1" applyAlignment="1">
      <alignment horizontal="center"/>
    </xf>
    <xf numFmtId="4" fontId="12" fillId="36" borderId="29" xfId="0" applyNumberFormat="1" applyFont="1" applyFill="1" applyBorder="1" applyAlignment="1">
      <alignment horizontal="center"/>
    </xf>
    <xf numFmtId="4" fontId="12" fillId="23" borderId="29" xfId="0" applyNumberFormat="1" applyFont="1" applyFill="1" applyBorder="1" applyAlignment="1">
      <alignment horizontal="center"/>
    </xf>
    <xf numFmtId="4" fontId="12" fillId="92" borderId="29" xfId="0" applyNumberFormat="1" applyFont="1" applyFill="1" applyBorder="1" applyAlignment="1">
      <alignment horizontal="center"/>
    </xf>
    <xf numFmtId="4" fontId="12" fillId="165" borderId="6" xfId="0" applyNumberFormat="1" applyFont="1" applyFill="1" applyBorder="1" applyAlignment="1">
      <alignment horizontal="center"/>
    </xf>
    <xf numFmtId="4" fontId="12" fillId="113" borderId="23" xfId="0" applyNumberFormat="1" applyFont="1" applyFill="1" applyBorder="1" applyAlignment="1">
      <alignment horizontal="center"/>
    </xf>
    <xf numFmtId="4" fontId="12" fillId="166" borderId="32" xfId="0" applyNumberFormat="1" applyFont="1" applyFill="1" applyBorder="1" applyAlignment="1">
      <alignment horizontal="center"/>
    </xf>
    <xf numFmtId="4" fontId="12" fillId="167" borderId="6" xfId="0" applyNumberFormat="1" applyFont="1" applyFill="1" applyBorder="1" applyAlignment="1">
      <alignment horizontal="center"/>
    </xf>
    <xf numFmtId="4" fontId="12" fillId="168" borderId="6" xfId="0" applyNumberFormat="1" applyFont="1" applyFill="1" applyBorder="1" applyAlignment="1">
      <alignment horizontal="center"/>
    </xf>
    <xf numFmtId="4" fontId="12" fillId="63" borderId="23" xfId="0" applyNumberFormat="1" applyFont="1" applyFill="1" applyBorder="1" applyAlignment="1">
      <alignment horizontal="center"/>
    </xf>
    <xf numFmtId="4" fontId="12" fillId="130" borderId="32" xfId="0" applyNumberFormat="1" applyFont="1" applyFill="1" applyBorder="1" applyAlignment="1">
      <alignment horizontal="center"/>
    </xf>
    <xf numFmtId="4" fontId="12" fillId="169" borderId="32" xfId="0" applyNumberFormat="1" applyFont="1" applyFill="1" applyBorder="1" applyAlignment="1">
      <alignment horizontal="center"/>
    </xf>
    <xf numFmtId="4" fontId="12" fillId="151" borderId="32" xfId="0" applyNumberFormat="1" applyFont="1" applyFill="1" applyBorder="1" applyAlignment="1">
      <alignment horizontal="center"/>
    </xf>
    <xf numFmtId="4" fontId="12" fillId="170" borderId="23" xfId="0" applyNumberFormat="1" applyFont="1" applyFill="1" applyBorder="1" applyAlignment="1">
      <alignment horizontal="center"/>
    </xf>
    <xf numFmtId="4" fontId="12" fillId="171" borderId="6" xfId="0" applyNumberFormat="1" applyFont="1" applyFill="1" applyBorder="1" applyAlignment="1">
      <alignment horizontal="center"/>
    </xf>
    <xf numFmtId="4" fontId="12" fillId="86" borderId="6" xfId="0" applyNumberFormat="1" applyFont="1" applyFill="1" applyBorder="1" applyAlignment="1">
      <alignment horizontal="center"/>
    </xf>
    <xf numFmtId="4" fontId="12" fillId="84" borderId="6" xfId="0" applyNumberFormat="1" applyFont="1" applyFill="1" applyBorder="1" applyAlignment="1">
      <alignment horizontal="center"/>
    </xf>
    <xf numFmtId="4" fontId="12" fillId="172" borderId="32" xfId="0" applyNumberFormat="1" applyFont="1" applyFill="1" applyBorder="1" applyAlignment="1">
      <alignment horizontal="center"/>
    </xf>
    <xf numFmtId="4" fontId="12" fillId="153" borderId="34" xfId="0" applyNumberFormat="1" applyFont="1" applyFill="1" applyBorder="1" applyAlignment="1">
      <alignment horizontal="center"/>
    </xf>
    <xf numFmtId="4" fontId="12" fillId="134" borderId="34" xfId="0" applyNumberFormat="1" applyFont="1" applyFill="1" applyBorder="1" applyAlignment="1">
      <alignment horizontal="center"/>
    </xf>
    <xf numFmtId="4" fontId="12" fillId="35" borderId="34" xfId="0" applyNumberFormat="1" applyFont="1" applyFill="1" applyBorder="1" applyAlignment="1">
      <alignment horizontal="center"/>
    </xf>
    <xf numFmtId="4" fontId="12" fillId="99" borderId="35" xfId="0" applyNumberFormat="1" applyFont="1" applyFill="1" applyBorder="1" applyAlignment="1">
      <alignment horizontal="center"/>
    </xf>
    <xf numFmtId="4" fontId="12" fillId="64" borderId="29" xfId="0" applyNumberFormat="1" applyFont="1" applyFill="1" applyBorder="1" applyAlignment="1">
      <alignment horizontal="center"/>
    </xf>
    <xf numFmtId="4" fontId="12" fillId="20" borderId="29" xfId="0" applyNumberFormat="1" applyFont="1" applyFill="1" applyBorder="1" applyAlignment="1">
      <alignment horizontal="center"/>
    </xf>
    <xf numFmtId="4" fontId="12" fillId="68" borderId="29" xfId="0" applyNumberFormat="1" applyFont="1" applyFill="1" applyBorder="1" applyAlignment="1">
      <alignment horizontal="center"/>
    </xf>
    <xf numFmtId="4" fontId="12" fillId="125" borderId="30" xfId="0" applyNumberFormat="1" applyFont="1" applyFill="1" applyBorder="1" applyAlignment="1">
      <alignment horizontal="center"/>
    </xf>
    <xf numFmtId="4" fontId="12" fillId="131" borderId="32" xfId="0" applyNumberFormat="1" applyFont="1" applyFill="1" applyBorder="1" applyAlignment="1">
      <alignment horizontal="center"/>
    </xf>
    <xf numFmtId="4" fontId="12" fillId="146" borderId="6" xfId="0" applyNumberFormat="1" applyFont="1" applyFill="1" applyBorder="1" applyAlignment="1">
      <alignment horizontal="center"/>
    </xf>
    <xf numFmtId="4" fontId="12" fillId="173" borderId="32" xfId="0" applyNumberFormat="1" applyFont="1" applyFill="1" applyBorder="1" applyAlignment="1">
      <alignment horizontal="center"/>
    </xf>
    <xf numFmtId="4" fontId="12" fillId="93" borderId="23" xfId="0" applyNumberFormat="1" applyFont="1" applyFill="1" applyBorder="1" applyAlignment="1">
      <alignment horizontal="center"/>
    </xf>
    <xf numFmtId="4" fontId="12" fillId="152" borderId="6" xfId="0" applyNumberFormat="1" applyFont="1" applyFill="1" applyBorder="1" applyAlignment="1">
      <alignment horizontal="center"/>
    </xf>
    <xf numFmtId="4" fontId="12" fillId="159" borderId="32" xfId="0" applyNumberFormat="1" applyFont="1" applyFill="1" applyBorder="1" applyAlignment="1">
      <alignment horizontal="center"/>
    </xf>
    <xf numFmtId="4" fontId="12" fillId="115" borderId="6" xfId="0" applyNumberFormat="1" applyFont="1" applyFill="1" applyBorder="1" applyAlignment="1">
      <alignment horizontal="center"/>
    </xf>
    <xf numFmtId="4" fontId="12" fillId="7" borderId="34" xfId="0" applyNumberFormat="1" applyFont="1" applyFill="1" applyBorder="1" applyAlignment="1">
      <alignment horizontal="center"/>
    </xf>
    <xf numFmtId="4" fontId="12" fillId="60" borderId="34" xfId="0" applyNumberFormat="1" applyFont="1" applyFill="1" applyBorder="1" applyAlignment="1">
      <alignment horizontal="center"/>
    </xf>
    <xf numFmtId="4" fontId="12" fillId="71" borderId="35" xfId="0" applyNumberFormat="1" applyFont="1" applyFill="1" applyBorder="1" applyAlignment="1">
      <alignment horizontal="center"/>
    </xf>
    <xf numFmtId="4" fontId="12" fillId="167" borderId="29" xfId="0" applyNumberFormat="1" applyFont="1" applyFill="1" applyBorder="1" applyAlignment="1">
      <alignment horizontal="center"/>
    </xf>
    <xf numFmtId="4" fontId="12" fillId="118" borderId="29" xfId="0" applyNumberFormat="1" applyFont="1" applyFill="1" applyBorder="1" applyAlignment="1">
      <alignment horizontal="center"/>
    </xf>
    <xf numFmtId="4" fontId="12" fillId="161" borderId="30" xfId="0" applyNumberFormat="1" applyFont="1" applyFill="1" applyBorder="1" applyAlignment="1">
      <alignment horizontal="center"/>
    </xf>
    <xf numFmtId="4" fontId="12" fillId="154" borderId="32" xfId="0" applyNumberFormat="1" applyFont="1" applyFill="1" applyBorder="1" applyAlignment="1">
      <alignment horizontal="center"/>
    </xf>
    <xf numFmtId="4" fontId="12" fillId="174" borderId="32" xfId="0" applyNumberFormat="1" applyFont="1" applyFill="1" applyBorder="1" applyAlignment="1">
      <alignment horizontal="center"/>
    </xf>
    <xf numFmtId="4" fontId="12" fillId="175" borderId="6" xfId="0" applyNumberFormat="1" applyFont="1" applyFill="1" applyBorder="1" applyAlignment="1">
      <alignment horizontal="center"/>
    </xf>
    <xf numFmtId="4" fontId="12" fillId="176" borderId="32" xfId="0" applyNumberFormat="1" applyFont="1" applyFill="1" applyBorder="1" applyAlignment="1">
      <alignment horizontal="center"/>
    </xf>
    <xf numFmtId="4" fontId="12" fillId="164" borderId="6" xfId="0" applyNumberFormat="1" applyFont="1" applyFill="1" applyBorder="1" applyAlignment="1">
      <alignment horizontal="center"/>
    </xf>
    <xf numFmtId="4" fontId="12" fillId="139" borderId="32" xfId="0" applyNumberFormat="1" applyFont="1" applyFill="1" applyBorder="1" applyAlignment="1">
      <alignment horizontal="center"/>
    </xf>
    <xf numFmtId="4" fontId="12" fillId="177" borderId="6" xfId="0" applyNumberFormat="1" applyFont="1" applyFill="1" applyBorder="1" applyAlignment="1">
      <alignment horizontal="center"/>
    </xf>
    <xf numFmtId="4" fontId="12" fillId="66" borderId="34" xfId="0" applyNumberFormat="1" applyFont="1" applyFill="1" applyBorder="1" applyAlignment="1">
      <alignment horizontal="center"/>
    </xf>
    <xf numFmtId="4" fontId="12" fillId="133" borderId="35" xfId="0" applyNumberFormat="1" applyFont="1" applyFill="1" applyBorder="1" applyAlignment="1">
      <alignment horizontal="center"/>
    </xf>
    <xf numFmtId="4" fontId="12" fillId="66" borderId="29" xfId="0" applyNumberFormat="1" applyFont="1" applyFill="1" applyBorder="1" applyAlignment="1">
      <alignment horizontal="center"/>
    </xf>
    <xf numFmtId="4" fontId="12" fillId="101" borderId="29" xfId="0" applyNumberFormat="1" applyFont="1" applyFill="1" applyBorder="1" applyAlignment="1">
      <alignment horizontal="center"/>
    </xf>
    <xf numFmtId="4" fontId="12" fillId="35" borderId="29" xfId="0" applyNumberFormat="1" applyFont="1" applyFill="1" applyBorder="1" applyAlignment="1">
      <alignment horizontal="center"/>
    </xf>
    <xf numFmtId="4" fontId="12" fillId="53" borderId="29" xfId="0" applyNumberFormat="1" applyFont="1" applyFill="1" applyBorder="1" applyAlignment="1">
      <alignment horizontal="center"/>
    </xf>
    <xf numFmtId="4" fontId="12" fillId="178" borderId="30" xfId="0" applyNumberFormat="1" applyFont="1" applyFill="1" applyBorder="1" applyAlignment="1">
      <alignment horizontal="center"/>
    </xf>
    <xf numFmtId="4" fontId="12" fillId="179" borderId="6" xfId="0" applyNumberFormat="1" applyFont="1" applyFill="1" applyBorder="1" applyAlignment="1">
      <alignment horizontal="center"/>
    </xf>
    <xf numFmtId="4" fontId="12" fillId="58" borderId="6" xfId="0" applyNumberFormat="1" applyFont="1" applyFill="1" applyBorder="1" applyAlignment="1">
      <alignment horizontal="center"/>
    </xf>
    <xf numFmtId="4" fontId="12" fillId="180" borderId="6" xfId="0" applyNumberFormat="1" applyFont="1" applyFill="1" applyBorder="1" applyAlignment="1">
      <alignment horizontal="center"/>
    </xf>
    <xf numFmtId="4" fontId="12" fillId="181" borderId="6" xfId="0" applyNumberFormat="1" applyFont="1" applyFill="1" applyBorder="1" applyAlignment="1">
      <alignment horizontal="center"/>
    </xf>
    <xf numFmtId="4" fontId="12" fillId="182" borderId="6" xfId="0" applyNumberFormat="1" applyFont="1" applyFill="1" applyBorder="1" applyAlignment="1">
      <alignment horizontal="center"/>
    </xf>
    <xf numFmtId="4" fontId="12" fillId="178" borderId="6" xfId="0" applyNumberFormat="1" applyFont="1" applyFill="1" applyBorder="1" applyAlignment="1">
      <alignment horizontal="center"/>
    </xf>
    <xf numFmtId="4" fontId="12" fillId="183" borderId="6" xfId="0" applyNumberFormat="1" applyFont="1" applyFill="1" applyBorder="1" applyAlignment="1">
      <alignment horizontal="center"/>
    </xf>
    <xf numFmtId="4" fontId="12" fillId="43" borderId="23" xfId="0" applyNumberFormat="1" applyFont="1" applyFill="1" applyBorder="1" applyAlignment="1">
      <alignment horizontal="center"/>
    </xf>
    <xf numFmtId="4" fontId="12" fillId="184" borderId="32" xfId="0" applyNumberFormat="1" applyFont="1" applyFill="1" applyBorder="1" applyAlignment="1">
      <alignment horizontal="center"/>
    </xf>
    <xf numFmtId="4" fontId="12" fillId="185" borderId="6" xfId="0" applyNumberFormat="1" applyFont="1" applyFill="1" applyBorder="1" applyAlignment="1">
      <alignment horizontal="center"/>
    </xf>
    <xf numFmtId="4" fontId="12" fillId="186" borderId="32" xfId="0" applyNumberFormat="1" applyFont="1" applyFill="1" applyBorder="1" applyAlignment="1">
      <alignment horizontal="center"/>
    </xf>
    <xf numFmtId="4" fontId="12" fillId="49" borderId="23" xfId="0" applyNumberFormat="1" applyFont="1" applyFill="1" applyBorder="1" applyAlignment="1">
      <alignment horizontal="center"/>
    </xf>
    <xf numFmtId="4" fontId="12" fillId="119" borderId="34" xfId="0" applyNumberFormat="1" applyFont="1" applyFill="1" applyBorder="1" applyAlignment="1">
      <alignment horizontal="center"/>
    </xf>
    <xf numFmtId="4" fontId="12" fillId="128" borderId="34" xfId="0" applyNumberFormat="1" applyFont="1" applyFill="1" applyBorder="1" applyAlignment="1">
      <alignment horizontal="center"/>
    </xf>
    <xf numFmtId="4" fontId="12" fillId="175" borderId="34" xfId="0" applyNumberFormat="1" applyFont="1" applyFill="1" applyBorder="1" applyAlignment="1">
      <alignment horizontal="center"/>
    </xf>
    <xf numFmtId="4" fontId="12" fillId="176" borderId="35" xfId="0" applyNumberFormat="1" applyFont="1" applyFill="1" applyBorder="1" applyAlignment="1">
      <alignment horizontal="center"/>
    </xf>
    <xf numFmtId="4" fontId="12" fillId="187" borderId="29" xfId="0" applyNumberFormat="1" applyFont="1" applyFill="1" applyBorder="1" applyAlignment="1">
      <alignment horizontal="center"/>
    </xf>
    <xf numFmtId="4" fontId="12" fillId="141" borderId="29" xfId="0" applyNumberFormat="1" applyFont="1" applyFill="1" applyBorder="1" applyAlignment="1">
      <alignment horizontal="center"/>
    </xf>
    <xf numFmtId="4" fontId="12" fillId="180" borderId="29" xfId="0" applyNumberFormat="1" applyFont="1" applyFill="1" applyBorder="1" applyAlignment="1">
      <alignment horizontal="center"/>
    </xf>
    <xf numFmtId="4" fontId="12" fillId="153" borderId="6" xfId="0" applyNumberFormat="1" applyFont="1" applyFill="1" applyBorder="1" applyAlignment="1">
      <alignment horizontal="center"/>
    </xf>
    <xf numFmtId="4" fontId="12" fillId="188" borderId="6" xfId="0" applyNumberFormat="1" applyFont="1" applyFill="1" applyBorder="1" applyAlignment="1">
      <alignment horizontal="center"/>
    </xf>
    <xf numFmtId="4" fontId="12" fillId="184" borderId="6" xfId="0" applyNumberFormat="1" applyFont="1" applyFill="1" applyBorder="1" applyAlignment="1">
      <alignment horizontal="center"/>
    </xf>
    <xf numFmtId="4" fontId="12" fillId="170" borderId="6" xfId="0" applyNumberFormat="1" applyFont="1" applyFill="1" applyBorder="1" applyAlignment="1">
      <alignment horizontal="center"/>
    </xf>
    <xf numFmtId="4" fontId="12" fillId="189" borderId="6" xfId="0" applyNumberFormat="1" applyFont="1" applyFill="1" applyBorder="1" applyAlignment="1">
      <alignment horizontal="center"/>
    </xf>
    <xf numFmtId="4" fontId="12" fillId="190" borderId="6" xfId="0" applyNumberFormat="1" applyFont="1" applyFill="1" applyBorder="1" applyAlignment="1">
      <alignment horizontal="center"/>
    </xf>
    <xf numFmtId="4" fontId="12" fillId="191" borderId="6" xfId="0" applyNumberFormat="1" applyFont="1" applyFill="1" applyBorder="1" applyAlignment="1">
      <alignment horizontal="center"/>
    </xf>
    <xf numFmtId="4" fontId="12" fillId="192" borderId="6" xfId="0" applyNumberFormat="1" applyFont="1" applyFill="1" applyBorder="1" applyAlignment="1">
      <alignment horizontal="center"/>
    </xf>
    <xf numFmtId="4" fontId="12" fillId="193" borderId="6" xfId="0" applyNumberFormat="1" applyFont="1" applyFill="1" applyBorder="1" applyAlignment="1">
      <alignment horizontal="center"/>
    </xf>
    <xf numFmtId="4" fontId="12" fillId="79" borderId="23" xfId="0" applyNumberFormat="1" applyFont="1" applyFill="1" applyBorder="1" applyAlignment="1">
      <alignment horizontal="center"/>
    </xf>
    <xf numFmtId="4" fontId="12" fillId="10" borderId="23" xfId="0" applyNumberFormat="1" applyFont="1" applyFill="1" applyBorder="1" applyAlignment="1">
      <alignment horizontal="center"/>
    </xf>
    <xf numFmtId="4" fontId="12" fillId="194" borderId="6" xfId="0" applyNumberFormat="1" applyFont="1" applyFill="1" applyBorder="1" applyAlignment="1">
      <alignment horizontal="center"/>
    </xf>
    <xf numFmtId="4" fontId="12" fillId="46" borderId="33" xfId="0" applyNumberFormat="1" applyFont="1" applyFill="1" applyBorder="1" applyAlignment="1">
      <alignment horizontal="center"/>
    </xf>
    <xf numFmtId="4" fontId="12" fillId="145" borderId="34" xfId="0" applyNumberFormat="1" applyFont="1" applyFill="1" applyBorder="1" applyAlignment="1">
      <alignment horizontal="center"/>
    </xf>
    <xf numFmtId="4" fontId="12" fillId="8" borderId="34" xfId="0" applyNumberFormat="1" applyFont="1" applyFill="1" applyBorder="1" applyAlignment="1">
      <alignment horizontal="center"/>
    </xf>
    <xf numFmtId="4" fontId="12" fillId="49" borderId="34" xfId="0" applyNumberFormat="1" applyFont="1" applyFill="1" applyBorder="1" applyAlignment="1">
      <alignment horizontal="center"/>
    </xf>
    <xf numFmtId="4" fontId="12" fillId="184" borderId="35" xfId="0" applyNumberFormat="1" applyFont="1" applyFill="1" applyBorder="1" applyAlignment="1">
      <alignment horizontal="center"/>
    </xf>
    <xf numFmtId="164" fontId="13" fillId="13" borderId="0" xfId="0" applyNumberFormat="1" applyFont="1" applyFill="1"/>
    <xf numFmtId="4" fontId="12" fillId="24" borderId="28" xfId="0" applyNumberFormat="1" applyFont="1" applyFill="1" applyBorder="1" applyAlignment="1">
      <alignment horizontal="center"/>
    </xf>
    <xf numFmtId="4" fontId="12" fillId="32" borderId="29" xfId="0" applyNumberFormat="1" applyFont="1" applyFill="1" applyBorder="1" applyAlignment="1">
      <alignment horizontal="center"/>
    </xf>
    <xf numFmtId="4" fontId="12" fillId="121" borderId="29" xfId="0" applyNumberFormat="1" applyFont="1" applyFill="1" applyBorder="1" applyAlignment="1">
      <alignment horizontal="center"/>
    </xf>
    <xf numFmtId="4" fontId="12" fillId="67" borderId="29" xfId="0" applyNumberFormat="1" applyFont="1" applyFill="1" applyBorder="1" applyAlignment="1">
      <alignment horizontal="center"/>
    </xf>
    <xf numFmtId="4" fontId="12" fillId="188" borderId="29" xfId="0" applyNumberFormat="1" applyFont="1" applyFill="1" applyBorder="1" applyAlignment="1">
      <alignment horizontal="center"/>
    </xf>
    <xf numFmtId="4" fontId="12" fillId="195" borderId="6" xfId="0" applyNumberFormat="1" applyFont="1" applyFill="1" applyBorder="1" applyAlignment="1">
      <alignment horizontal="center"/>
    </xf>
    <xf numFmtId="4" fontId="12" fillId="196" borderId="6" xfId="0" applyNumberFormat="1" applyFont="1" applyFill="1" applyBorder="1" applyAlignment="1">
      <alignment horizontal="center"/>
    </xf>
    <xf numFmtId="4" fontId="12" fillId="78" borderId="23" xfId="0" applyNumberFormat="1" applyFont="1" applyFill="1" applyBorder="1" applyAlignment="1">
      <alignment horizontal="center"/>
    </xf>
    <xf numFmtId="4" fontId="12" fillId="24" borderId="23" xfId="0" applyNumberFormat="1" applyFont="1" applyFill="1" applyBorder="1" applyAlignment="1">
      <alignment horizontal="center"/>
    </xf>
    <xf numFmtId="4" fontId="12" fillId="197" borderId="6" xfId="0" applyNumberFormat="1" applyFont="1" applyFill="1" applyBorder="1" applyAlignment="1">
      <alignment horizontal="center"/>
    </xf>
    <xf numFmtId="165" fontId="10" fillId="0" borderId="0" xfId="0" applyNumberFormat="1" applyFont="1"/>
    <xf numFmtId="4" fontId="12" fillId="145" borderId="23" xfId="0" applyNumberFormat="1" applyFont="1" applyFill="1" applyBorder="1" applyAlignment="1">
      <alignment horizontal="center"/>
    </xf>
    <xf numFmtId="4" fontId="12" fillId="24" borderId="33" xfId="0" applyNumberFormat="1" applyFont="1" applyFill="1" applyBorder="1" applyAlignment="1">
      <alignment horizontal="center"/>
    </xf>
    <xf numFmtId="4" fontId="12" fillId="148" borderId="34" xfId="0" applyNumberFormat="1" applyFont="1" applyFill="1" applyBorder="1" applyAlignment="1">
      <alignment horizontal="center"/>
    </xf>
    <xf numFmtId="4" fontId="12" fillId="182" borderId="34" xfId="0" applyNumberFormat="1" applyFont="1" applyFill="1" applyBorder="1" applyAlignment="1">
      <alignment horizontal="center"/>
    </xf>
    <xf numFmtId="4" fontId="5" fillId="3" borderId="35" xfId="0" applyNumberFormat="1" applyFont="1" applyFill="1" applyBorder="1" applyAlignment="1">
      <alignment horizontal="center"/>
    </xf>
    <xf numFmtId="4" fontId="12" fillId="31" borderId="28" xfId="0" applyNumberFormat="1" applyFont="1" applyFill="1" applyBorder="1" applyAlignment="1">
      <alignment horizontal="center"/>
    </xf>
    <xf numFmtId="4" fontId="12" fillId="184" borderId="29" xfId="0" applyNumberFormat="1" applyFont="1" applyFill="1" applyBorder="1" applyAlignment="1">
      <alignment horizontal="center"/>
    </xf>
    <xf numFmtId="4" fontId="12" fillId="198" borderId="23" xfId="0" applyNumberFormat="1" applyFont="1" applyFill="1" applyBorder="1" applyAlignment="1">
      <alignment horizontal="center"/>
    </xf>
    <xf numFmtId="4" fontId="12" fillId="110" borderId="6" xfId="0" applyNumberFormat="1" applyFont="1" applyFill="1" applyBorder="1" applyAlignment="1">
      <alignment horizontal="center"/>
    </xf>
    <xf numFmtId="4" fontId="12" fillId="27" borderId="33" xfId="0" applyNumberFormat="1" applyFont="1" applyFill="1" applyBorder="1" applyAlignment="1">
      <alignment horizontal="center"/>
    </xf>
    <xf numFmtId="4" fontId="12" fillId="121" borderId="34" xfId="0" applyNumberFormat="1" applyFont="1" applyFill="1" applyBorder="1" applyAlignment="1">
      <alignment horizontal="center"/>
    </xf>
    <xf numFmtId="4" fontId="12" fillId="113" borderId="28" xfId="0" applyNumberFormat="1" applyFont="1" applyFill="1" applyBorder="1" applyAlignment="1">
      <alignment horizontal="center"/>
    </xf>
    <xf numFmtId="4" fontId="12" fillId="117" borderId="29" xfId="0" applyNumberFormat="1" applyFont="1" applyFill="1" applyBorder="1" applyAlignment="1">
      <alignment horizontal="center"/>
    </xf>
    <xf numFmtId="4" fontId="12" fillId="199" borderId="29" xfId="0" applyNumberFormat="1" applyFont="1" applyFill="1" applyBorder="1" applyAlignment="1">
      <alignment horizontal="center"/>
    </xf>
    <xf numFmtId="0" fontId="7" fillId="5" borderId="0" xfId="0" applyFont="1" applyFill="1"/>
    <xf numFmtId="4" fontId="12" fillId="200" borderId="23" xfId="0" applyNumberFormat="1" applyFont="1" applyFill="1" applyBorder="1" applyAlignment="1">
      <alignment horizontal="center"/>
    </xf>
    <xf numFmtId="4" fontId="12" fillId="198" borderId="33" xfId="0" applyNumberFormat="1" applyFont="1" applyFill="1" applyBorder="1" applyAlignment="1">
      <alignment horizontal="center"/>
    </xf>
    <xf numFmtId="4" fontId="12" fillId="69" borderId="34" xfId="0" applyNumberFormat="1" applyFont="1" applyFill="1" applyBorder="1" applyAlignment="1">
      <alignment horizontal="center"/>
    </xf>
    <xf numFmtId="0" fontId="17" fillId="201" borderId="13" xfId="0" applyFont="1" applyFill="1" applyBorder="1" applyAlignment="1">
      <alignment horizontal="center" vertical="center" wrapText="1"/>
    </xf>
    <xf numFmtId="0" fontId="17" fillId="201" borderId="14" xfId="0" applyFont="1" applyFill="1" applyBorder="1" applyAlignment="1">
      <alignment horizontal="center" vertical="center" wrapText="1"/>
    </xf>
    <xf numFmtId="0" fontId="17" fillId="201" borderId="15" xfId="0" applyFont="1" applyFill="1" applyBorder="1" applyAlignment="1">
      <alignment horizontal="center" vertical="center" wrapText="1"/>
    </xf>
    <xf numFmtId="0" fontId="10" fillId="0" borderId="0" xfId="0" applyFont="1" applyAlignment="1">
      <alignment wrapText="1"/>
    </xf>
    <xf numFmtId="0" fontId="17" fillId="0" borderId="27" xfId="0" applyFont="1" applyBorder="1"/>
    <xf numFmtId="164" fontId="10" fillId="202" borderId="31" xfId="0" applyNumberFormat="1" applyFont="1" applyFill="1" applyBorder="1" applyAlignment="1">
      <alignment horizontal="center" vertical="center"/>
    </xf>
    <xf numFmtId="164" fontId="10" fillId="203" borderId="0" xfId="0" applyNumberFormat="1" applyFont="1" applyFill="1" applyAlignment="1">
      <alignment horizontal="center" vertical="center"/>
    </xf>
    <xf numFmtId="164" fontId="10" fillId="0" borderId="31" xfId="0" applyNumberFormat="1" applyFont="1" applyBorder="1" applyAlignment="1">
      <alignment horizontal="center" vertical="center"/>
    </xf>
    <xf numFmtId="164" fontId="10" fillId="203" borderId="31" xfId="0" applyNumberFormat="1" applyFont="1" applyFill="1" applyBorder="1" applyAlignment="1">
      <alignment horizontal="center" vertical="center"/>
    </xf>
    <xf numFmtId="0" fontId="17" fillId="0" borderId="25" xfId="0" applyFont="1" applyBorder="1"/>
    <xf numFmtId="164" fontId="10" fillId="202" borderId="0" xfId="0" applyNumberFormat="1" applyFont="1" applyFill="1" applyAlignment="1">
      <alignment horizontal="center" vertical="center"/>
    </xf>
    <xf numFmtId="164" fontId="6" fillId="203" borderId="0" xfId="0" applyNumberFormat="1" applyFont="1" applyFill="1" applyAlignment="1">
      <alignment horizontal="center"/>
    </xf>
    <xf numFmtId="164" fontId="0" fillId="202" borderId="0" xfId="0" applyNumberFormat="1" applyFill="1" applyAlignment="1">
      <alignment horizontal="center" vertical="center"/>
    </xf>
    <xf numFmtId="164" fontId="6" fillId="202" borderId="0" xfId="0" applyNumberFormat="1" applyFont="1" applyFill="1" applyAlignment="1">
      <alignment horizontal="center"/>
    </xf>
    <xf numFmtId="164" fontId="0" fillId="203" borderId="0" xfId="0" applyNumberFormat="1" applyFill="1" applyAlignment="1">
      <alignment horizontal="center" vertical="center"/>
    </xf>
    <xf numFmtId="0" fontId="17" fillId="0" borderId="10" xfId="0" applyFont="1" applyBorder="1"/>
    <xf numFmtId="164" fontId="10" fillId="203" borderId="11" xfId="0" applyNumberFormat="1" applyFont="1" applyFill="1" applyBorder="1" applyAlignment="1">
      <alignment horizontal="center" vertical="center"/>
    </xf>
    <xf numFmtId="164" fontId="10" fillId="202" borderId="11" xfId="0" applyNumberFormat="1" applyFont="1" applyFill="1" applyBorder="1" applyAlignment="1">
      <alignment horizontal="center" vertical="center"/>
    </xf>
    <xf numFmtId="164" fontId="10" fillId="0" borderId="11" xfId="0" applyNumberFormat="1" applyFont="1" applyBorder="1" applyAlignment="1">
      <alignment horizontal="center" vertical="center"/>
    </xf>
    <xf numFmtId="164" fontId="6" fillId="202" borderId="11" xfId="0" applyNumberFormat="1" applyFont="1" applyFill="1" applyBorder="1" applyAlignment="1">
      <alignment horizontal="center"/>
    </xf>
    <xf numFmtId="0" fontId="10" fillId="204" borderId="0" xfId="0" applyFont="1" applyFill="1"/>
    <xf numFmtId="0" fontId="10" fillId="3" borderId="0" xfId="0" applyFont="1" applyFill="1"/>
    <xf numFmtId="0" fontId="17" fillId="204" borderId="27" xfId="0" applyFont="1" applyFill="1" applyBorder="1"/>
    <xf numFmtId="164" fontId="10" fillId="203" borderId="27" xfId="0" applyNumberFormat="1" applyFont="1" applyFill="1" applyBorder="1" applyAlignment="1">
      <alignment horizontal="center" vertical="center"/>
    </xf>
    <xf numFmtId="164" fontId="10" fillId="203" borderId="37" xfId="0" applyNumberFormat="1" applyFont="1" applyFill="1" applyBorder="1" applyAlignment="1">
      <alignment horizontal="center" vertical="center"/>
    </xf>
    <xf numFmtId="0" fontId="17" fillId="204" borderId="25" xfId="0" applyFont="1" applyFill="1" applyBorder="1"/>
    <xf numFmtId="164" fontId="10" fillId="202" borderId="25" xfId="0" applyNumberFormat="1" applyFont="1" applyFill="1" applyBorder="1" applyAlignment="1">
      <alignment horizontal="center" vertical="center"/>
    </xf>
    <xf numFmtId="164" fontId="10" fillId="202" borderId="26" xfId="0" applyNumberFormat="1" applyFont="1" applyFill="1" applyBorder="1" applyAlignment="1">
      <alignment horizontal="center" vertical="center"/>
    </xf>
    <xf numFmtId="164" fontId="10" fillId="203" borderId="25" xfId="0" applyNumberFormat="1" applyFont="1" applyFill="1" applyBorder="1" applyAlignment="1">
      <alignment horizontal="center" vertical="center"/>
    </xf>
    <xf numFmtId="164" fontId="10" fillId="203" borderId="26" xfId="0" applyNumberFormat="1" applyFont="1" applyFill="1" applyBorder="1" applyAlignment="1">
      <alignment horizontal="center" vertical="center"/>
    </xf>
    <xf numFmtId="0" fontId="17" fillId="3" borderId="25" xfId="0" applyFont="1" applyFill="1" applyBorder="1"/>
    <xf numFmtId="164" fontId="6" fillId="203" borderId="25" xfId="0" applyNumberFormat="1" applyFont="1" applyFill="1" applyBorder="1" applyAlignment="1">
      <alignment horizontal="center" vertical="center"/>
    </xf>
    <xf numFmtId="164" fontId="6" fillId="203" borderId="0" xfId="0" applyNumberFormat="1" applyFont="1" applyFill="1" applyAlignment="1">
      <alignment horizontal="center" vertical="center"/>
    </xf>
    <xf numFmtId="164" fontId="6" fillId="203" borderId="26" xfId="0" applyNumberFormat="1" applyFont="1" applyFill="1" applyBorder="1" applyAlignment="1">
      <alignment horizontal="center" vertical="center"/>
    </xf>
    <xf numFmtId="164" fontId="6" fillId="202" borderId="25" xfId="0" applyNumberFormat="1" applyFont="1" applyFill="1" applyBorder="1" applyAlignment="1">
      <alignment horizontal="center" vertical="center"/>
    </xf>
    <xf numFmtId="164" fontId="6" fillId="202" borderId="0" xfId="0" applyNumberFormat="1" applyFont="1" applyFill="1" applyAlignment="1">
      <alignment horizontal="center" vertical="center"/>
    </xf>
    <xf numFmtId="164" fontId="6" fillId="202" borderId="26" xfId="0" applyNumberFormat="1" applyFont="1" applyFill="1" applyBorder="1" applyAlignment="1">
      <alignment horizontal="center" vertical="center"/>
    </xf>
    <xf numFmtId="164" fontId="6" fillId="202" borderId="25" xfId="0" applyNumberFormat="1" applyFont="1" applyFill="1" applyBorder="1" applyAlignment="1">
      <alignment horizontal="center"/>
    </xf>
    <xf numFmtId="164" fontId="6" fillId="202" borderId="26" xfId="0" applyNumberFormat="1" applyFont="1" applyFill="1" applyBorder="1" applyAlignment="1">
      <alignment horizontal="center"/>
    </xf>
    <xf numFmtId="164" fontId="19" fillId="202" borderId="0" xfId="0" applyNumberFormat="1" applyFont="1" applyFill="1" applyAlignment="1">
      <alignment horizontal="center" vertical="center" wrapText="1"/>
    </xf>
    <xf numFmtId="0" fontId="17" fillId="3" borderId="10" xfId="0" applyFont="1" applyFill="1" applyBorder="1"/>
    <xf numFmtId="164" fontId="10" fillId="202" borderId="10" xfId="0" applyNumberFormat="1" applyFont="1" applyFill="1" applyBorder="1" applyAlignment="1">
      <alignment horizontal="center" vertical="center"/>
    </xf>
    <xf numFmtId="164" fontId="10" fillId="202" borderId="12" xfId="0" applyNumberFormat="1" applyFont="1" applyFill="1" applyBorder="1" applyAlignment="1">
      <alignment horizontal="center" vertical="center"/>
    </xf>
    <xf numFmtId="164" fontId="10" fillId="202" borderId="27" xfId="0" applyNumberFormat="1" applyFont="1" applyFill="1" applyBorder="1" applyAlignment="1">
      <alignment horizontal="center" vertical="center"/>
    </xf>
    <xf numFmtId="0" fontId="17" fillId="0" borderId="0" xfId="0" applyFont="1"/>
    <xf numFmtId="0" fontId="6" fillId="0" borderId="0" xfId="0" applyFont="1" applyAlignment="1">
      <alignment vertical="top"/>
    </xf>
    <xf numFmtId="0" fontId="2" fillId="2" borderId="49" xfId="0" applyFont="1" applyFill="1" applyBorder="1" applyAlignment="1">
      <alignment horizontal="center" vertical="center"/>
    </xf>
    <xf numFmtId="0" fontId="2" fillId="2" borderId="50" xfId="0" applyFont="1" applyFill="1" applyBorder="1" applyAlignment="1">
      <alignment horizontal="center" vertical="center"/>
    </xf>
    <xf numFmtId="0" fontId="2" fillId="2" borderId="51" xfId="0" applyFont="1" applyFill="1" applyBorder="1" applyAlignment="1">
      <alignment horizontal="center" vertical="center"/>
    </xf>
    <xf numFmtId="1" fontId="6" fillId="202" borderId="31" xfId="0" applyNumberFormat="1" applyFont="1" applyFill="1" applyBorder="1" applyAlignment="1">
      <alignment horizontal="center"/>
    </xf>
    <xf numFmtId="0" fontId="6" fillId="202" borderId="31" xfId="0" applyFont="1" applyFill="1" applyBorder="1" applyAlignment="1">
      <alignment horizontal="center"/>
    </xf>
    <xf numFmtId="1" fontId="6" fillId="202" borderId="37" xfId="0" applyNumberFormat="1" applyFont="1" applyFill="1" applyBorder="1" applyAlignment="1">
      <alignment horizontal="center"/>
    </xf>
    <xf numFmtId="0" fontId="10" fillId="0" borderId="0" xfId="0" applyFont="1" applyAlignment="1">
      <alignment horizontal="center" vertical="center" wrapText="1"/>
    </xf>
    <xf numFmtId="1" fontId="6" fillId="202" borderId="0" xfId="0" applyNumberFormat="1" applyFont="1" applyFill="1" applyAlignment="1">
      <alignment horizontal="center"/>
    </xf>
    <xf numFmtId="0" fontId="6" fillId="202" borderId="0" xfId="0" applyFont="1" applyFill="1" applyAlignment="1">
      <alignment horizontal="center"/>
    </xf>
    <xf numFmtId="1" fontId="6" fillId="202" borderId="26" xfId="0" applyNumberFormat="1" applyFont="1" applyFill="1" applyBorder="1" applyAlignment="1">
      <alignment horizontal="center"/>
    </xf>
    <xf numFmtId="0" fontId="10" fillId="12" borderId="13" xfId="0" applyFont="1" applyFill="1" applyBorder="1" applyAlignment="1">
      <alignment horizontal="center"/>
    </xf>
    <xf numFmtId="0" fontId="14" fillId="5" borderId="33" xfId="0" applyFont="1" applyFill="1" applyBorder="1"/>
    <xf numFmtId="1" fontId="6" fillId="202" borderId="11" xfId="0" applyNumberFormat="1" applyFont="1" applyFill="1" applyBorder="1" applyAlignment="1">
      <alignment horizontal="center"/>
    </xf>
    <xf numFmtId="0" fontId="6" fillId="202" borderId="11" xfId="0" applyFont="1" applyFill="1" applyBorder="1" applyAlignment="1">
      <alignment horizontal="center"/>
    </xf>
    <xf numFmtId="1" fontId="6" fillId="202" borderId="12" xfId="0" applyNumberFormat="1" applyFont="1" applyFill="1" applyBorder="1" applyAlignment="1">
      <alignment horizontal="center"/>
    </xf>
    <xf numFmtId="0" fontId="10" fillId="12" borderId="14" xfId="0" applyFont="1" applyFill="1" applyBorder="1" applyAlignment="1">
      <alignment horizontal="center"/>
    </xf>
    <xf numFmtId="0" fontId="10" fillId="12" borderId="15" xfId="0" applyFont="1" applyFill="1" applyBorder="1" applyAlignment="1">
      <alignment horizontal="center"/>
    </xf>
    <xf numFmtId="0" fontId="10" fillId="11" borderId="52" xfId="0" applyFont="1" applyFill="1" applyBorder="1"/>
    <xf numFmtId="0" fontId="10" fillId="0" borderId="27" xfId="0" applyFont="1" applyBorder="1" applyAlignment="1">
      <alignment horizontal="center"/>
    </xf>
    <xf numFmtId="0" fontId="10" fillId="0" borderId="31" xfId="0" applyFont="1" applyBorder="1" applyAlignment="1">
      <alignment horizontal="center"/>
    </xf>
    <xf numFmtId="1" fontId="10" fillId="0" borderId="31" xfId="0" applyNumberFormat="1" applyFont="1" applyBorder="1" applyAlignment="1">
      <alignment horizontal="center"/>
    </xf>
    <xf numFmtId="1" fontId="10" fillId="0" borderId="26" xfId="0" applyNumberFormat="1" applyFont="1" applyBorder="1" applyAlignment="1">
      <alignment horizontal="center"/>
    </xf>
    <xf numFmtId="0" fontId="10" fillId="11" borderId="53" xfId="0" applyFont="1" applyFill="1" applyBorder="1"/>
    <xf numFmtId="0" fontId="10" fillId="0" borderId="25" xfId="0" applyFont="1" applyBorder="1" applyAlignment="1">
      <alignment horizontal="center"/>
    </xf>
    <xf numFmtId="0" fontId="10" fillId="0" borderId="0" xfId="0" applyFont="1" applyAlignment="1">
      <alignment horizontal="center"/>
    </xf>
    <xf numFmtId="1" fontId="10" fillId="0" borderId="0" xfId="0" applyNumberFormat="1" applyFont="1" applyAlignment="1">
      <alignment horizontal="center"/>
    </xf>
    <xf numFmtId="0" fontId="10" fillId="0" borderId="0" xfId="0" applyFont="1" applyAlignment="1">
      <alignment horizontal="left" vertical="center"/>
    </xf>
    <xf numFmtId="0" fontId="6" fillId="202" borderId="11" xfId="0" applyFont="1" applyFill="1" applyBorder="1"/>
    <xf numFmtId="0" fontId="10" fillId="0" borderId="0" xfId="0" applyFont="1" applyAlignment="1">
      <alignment vertical="top" wrapText="1"/>
    </xf>
    <xf numFmtId="0" fontId="10" fillId="11" borderId="54" xfId="0" applyFont="1" applyFill="1" applyBorder="1"/>
    <xf numFmtId="0" fontId="10" fillId="0" borderId="10" xfId="0" applyFont="1" applyBorder="1" applyAlignment="1">
      <alignment horizontal="center"/>
    </xf>
    <xf numFmtId="0" fontId="10" fillId="0" borderId="11" xfId="0" applyFont="1" applyBorder="1" applyAlignment="1">
      <alignment horizontal="center"/>
    </xf>
    <xf numFmtId="1" fontId="10" fillId="0" borderId="11" xfId="0" applyNumberFormat="1" applyFont="1" applyBorder="1" applyAlignment="1">
      <alignment horizontal="center"/>
    </xf>
    <xf numFmtId="1" fontId="6" fillId="202" borderId="11" xfId="0" applyNumberFormat="1" applyFont="1" applyFill="1" applyBorder="1"/>
    <xf numFmtId="0" fontId="6" fillId="201" borderId="0" xfId="0" applyFont="1" applyFill="1"/>
    <xf numFmtId="0" fontId="6" fillId="13" borderId="0" xfId="0" applyFont="1" applyFill="1"/>
    <xf numFmtId="0" fontId="24" fillId="201" borderId="0" xfId="0" applyFont="1" applyFill="1"/>
    <xf numFmtId="0" fontId="17" fillId="201" borderId="0" xfId="0" applyFont="1" applyFill="1" applyAlignment="1">
      <alignment horizontal="center"/>
    </xf>
    <xf numFmtId="0" fontId="17" fillId="201" borderId="0" xfId="0" applyFont="1" applyFill="1"/>
    <xf numFmtId="0" fontId="10" fillId="201" borderId="0" xfId="0" applyFont="1" applyFill="1"/>
    <xf numFmtId="0" fontId="27" fillId="201" borderId="0" xfId="0" applyFont="1" applyFill="1"/>
    <xf numFmtId="0" fontId="28" fillId="201" borderId="0" xfId="0" applyFont="1" applyFill="1"/>
    <xf numFmtId="0" fontId="29" fillId="201" borderId="0" xfId="0" applyFont="1" applyFill="1"/>
    <xf numFmtId="0" fontId="30" fillId="201" borderId="0" xfId="0" applyFont="1" applyFill="1" applyAlignment="1">
      <alignment horizontal="center" vertical="center"/>
    </xf>
    <xf numFmtId="0" fontId="31" fillId="201" borderId="0" xfId="0" applyFont="1" applyFill="1" applyAlignment="1">
      <alignment horizontal="center" vertical="center"/>
    </xf>
    <xf numFmtId="0" fontId="7" fillId="207" borderId="55" xfId="0" applyFont="1" applyFill="1" applyBorder="1" applyAlignment="1">
      <alignment horizontal="center"/>
    </xf>
    <xf numFmtId="0" fontId="7" fillId="207" borderId="13" xfId="0" applyFont="1" applyFill="1" applyBorder="1" applyAlignment="1">
      <alignment horizontal="center"/>
    </xf>
    <xf numFmtId="0" fontId="7" fillId="207" borderId="56" xfId="0" applyFont="1" applyFill="1" applyBorder="1" applyAlignment="1">
      <alignment horizontal="center"/>
    </xf>
    <xf numFmtId="0" fontId="6" fillId="203" borderId="57" xfId="0" applyFont="1" applyFill="1" applyBorder="1" applyAlignment="1">
      <alignment horizontal="center"/>
    </xf>
    <xf numFmtId="0" fontId="6" fillId="203" borderId="58" xfId="0" applyFont="1" applyFill="1" applyBorder="1" applyAlignment="1">
      <alignment horizontal="center"/>
    </xf>
    <xf numFmtId="0" fontId="6" fillId="203" borderId="25" xfId="0" applyFont="1" applyFill="1" applyBorder="1" applyAlignment="1">
      <alignment horizontal="center"/>
    </xf>
    <xf numFmtId="0" fontId="6" fillId="203" borderId="59" xfId="0" applyFont="1" applyFill="1" applyBorder="1" applyAlignment="1">
      <alignment horizontal="center"/>
    </xf>
    <xf numFmtId="0" fontId="6" fillId="4" borderId="60" xfId="0" applyFont="1" applyFill="1" applyBorder="1" applyAlignment="1">
      <alignment horizontal="center"/>
    </xf>
    <xf numFmtId="0" fontId="6" fillId="4" borderId="56" xfId="0" applyFont="1" applyFill="1" applyBorder="1" applyAlignment="1">
      <alignment horizontal="center"/>
    </xf>
    <xf numFmtId="0" fontId="6" fillId="203" borderId="63" xfId="0" applyFont="1" applyFill="1" applyBorder="1" applyAlignment="1">
      <alignment horizontal="center"/>
    </xf>
    <xf numFmtId="0" fontId="6" fillId="4" borderId="54" xfId="0" applyFont="1" applyFill="1" applyBorder="1" applyAlignment="1">
      <alignment horizontal="center"/>
    </xf>
    <xf numFmtId="0" fontId="7" fillId="207" borderId="54" xfId="0" applyFont="1" applyFill="1" applyBorder="1" applyAlignment="1">
      <alignment horizontal="center"/>
    </xf>
    <xf numFmtId="0" fontId="33" fillId="202" borderId="0" xfId="0" applyFont="1" applyFill="1" applyAlignment="1">
      <alignment vertical="center" wrapText="1"/>
    </xf>
    <xf numFmtId="0" fontId="33" fillId="202" borderId="0" xfId="0" applyFont="1" applyFill="1" applyAlignment="1">
      <alignment horizontal="center" vertical="center" wrapText="1"/>
    </xf>
    <xf numFmtId="0" fontId="34" fillId="203" borderId="0" xfId="0" applyFont="1" applyFill="1" applyAlignment="1">
      <alignment horizontal="center" vertical="center" wrapText="1"/>
    </xf>
    <xf numFmtId="0" fontId="33" fillId="203" borderId="0" xfId="0" applyFont="1" applyFill="1" applyAlignment="1">
      <alignment horizontal="center" vertical="center" wrapText="1"/>
    </xf>
    <xf numFmtId="0" fontId="34" fillId="202" borderId="0" xfId="0" applyFont="1" applyFill="1" applyAlignment="1">
      <alignment horizontal="center" vertical="center" wrapText="1"/>
    </xf>
    <xf numFmtId="0" fontId="33" fillId="208" borderId="0" xfId="0" applyFont="1" applyFill="1" applyAlignment="1">
      <alignment vertical="center" wrapText="1"/>
    </xf>
    <xf numFmtId="0" fontId="10" fillId="208" borderId="0" xfId="0" applyFont="1" applyFill="1" applyAlignment="1">
      <alignment horizontal="center" vertical="center" wrapText="1"/>
    </xf>
    <xf numFmtId="0" fontId="10" fillId="208" borderId="0" xfId="0" applyFont="1" applyFill="1" applyAlignment="1">
      <alignment vertical="center" wrapText="1"/>
    </xf>
    <xf numFmtId="0" fontId="6" fillId="208" borderId="0" xfId="0" applyFont="1" applyFill="1" applyAlignment="1">
      <alignment vertical="center"/>
    </xf>
    <xf numFmtId="0" fontId="6" fillId="208" borderId="0" xfId="0" applyFont="1" applyFill="1" applyAlignment="1">
      <alignment vertical="center" wrapText="1"/>
    </xf>
    <xf numFmtId="0" fontId="10" fillId="202" borderId="0" xfId="0" applyFont="1" applyFill="1" applyAlignment="1">
      <alignment vertical="center"/>
    </xf>
    <xf numFmtId="0" fontId="6" fillId="203" borderId="0" xfId="0" applyFont="1" applyFill="1" applyAlignment="1">
      <alignment horizontal="right" vertical="center"/>
    </xf>
    <xf numFmtId="0" fontId="10" fillId="203" borderId="0" xfId="0" applyFont="1" applyFill="1" applyAlignment="1">
      <alignment vertical="center"/>
    </xf>
    <xf numFmtId="0" fontId="6" fillId="202" borderId="0" xfId="0" applyFont="1" applyFill="1" applyAlignment="1">
      <alignment horizontal="right" vertical="center"/>
    </xf>
    <xf numFmtId="0" fontId="6" fillId="202" borderId="0" xfId="0" applyFont="1" applyFill="1" applyAlignment="1">
      <alignment horizontal="right"/>
    </xf>
    <xf numFmtId="0" fontId="10" fillId="203" borderId="0" xfId="0" applyFont="1" applyFill="1" applyAlignment="1">
      <alignment horizontal="right" vertical="center"/>
    </xf>
    <xf numFmtId="0" fontId="10" fillId="202" borderId="0" xfId="0" applyFont="1" applyFill="1" applyAlignment="1">
      <alignment horizontal="center" vertical="center"/>
    </xf>
    <xf numFmtId="0" fontId="6" fillId="203" borderId="0" xfId="0" applyFont="1" applyFill="1" applyAlignment="1">
      <alignment horizontal="center" vertical="center"/>
    </xf>
    <xf numFmtId="0" fontId="10" fillId="203" borderId="0" xfId="0" applyFont="1" applyFill="1" applyAlignment="1">
      <alignment horizontal="center" vertical="center"/>
    </xf>
    <xf numFmtId="0" fontId="6" fillId="202" borderId="0" xfId="0" applyFont="1" applyFill="1" applyAlignment="1">
      <alignment horizontal="center" vertical="center"/>
    </xf>
    <xf numFmtId="0" fontId="35" fillId="209" borderId="0" xfId="0" applyFont="1" applyFill="1" applyAlignment="1">
      <alignment vertical="center" wrapText="1"/>
    </xf>
    <xf numFmtId="0" fontId="36" fillId="209" borderId="0" xfId="0" applyFont="1" applyFill="1" applyAlignment="1">
      <alignment vertical="center"/>
    </xf>
    <xf numFmtId="0" fontId="6" fillId="209" borderId="0" xfId="0" applyFont="1" applyFill="1" applyAlignment="1">
      <alignment vertical="center"/>
    </xf>
    <xf numFmtId="0" fontId="6" fillId="209" borderId="0" xfId="0" applyFont="1" applyFill="1"/>
    <xf numFmtId="2" fontId="10" fillId="202" borderId="0" xfId="0" applyNumberFormat="1" applyFont="1" applyFill="1" applyAlignment="1">
      <alignment vertical="center"/>
    </xf>
    <xf numFmtId="2" fontId="6" fillId="203" borderId="0" xfId="0" applyNumberFormat="1" applyFont="1" applyFill="1" applyAlignment="1">
      <alignment horizontal="right" vertical="center"/>
    </xf>
    <xf numFmtId="2" fontId="10" fillId="0" borderId="0" xfId="0" applyNumberFormat="1" applyFont="1" applyAlignment="1">
      <alignment vertical="center"/>
    </xf>
    <xf numFmtId="2" fontId="10" fillId="203" borderId="0" xfId="0" applyNumberFormat="1" applyFont="1" applyFill="1" applyAlignment="1">
      <alignment vertical="center"/>
    </xf>
    <xf numFmtId="2" fontId="6" fillId="202" borderId="0" xfId="0" applyNumberFormat="1" applyFont="1" applyFill="1" applyAlignment="1">
      <alignment horizontal="right" vertical="center"/>
    </xf>
    <xf numFmtId="2" fontId="6" fillId="202" borderId="0" xfId="0" applyNumberFormat="1" applyFont="1" applyFill="1" applyAlignment="1">
      <alignment horizontal="right"/>
    </xf>
    <xf numFmtId="0" fontId="37" fillId="202" borderId="0" xfId="0" applyFont="1" applyFill="1" applyAlignment="1">
      <alignment vertical="center"/>
    </xf>
    <xf numFmtId="0" fontId="10" fillId="202" borderId="0" xfId="0" applyFont="1" applyFill="1" applyAlignment="1">
      <alignment vertical="center" wrapText="1"/>
    </xf>
    <xf numFmtId="2" fontId="10" fillId="202" borderId="0" xfId="0" applyNumberFormat="1" applyFont="1" applyFill="1" applyAlignment="1">
      <alignment horizontal="center" vertical="center"/>
    </xf>
    <xf numFmtId="2" fontId="6" fillId="203" borderId="0" xfId="0" applyNumberFormat="1" applyFont="1" applyFill="1" applyAlignment="1">
      <alignment horizontal="center" vertical="center"/>
    </xf>
    <xf numFmtId="2" fontId="10" fillId="203" borderId="0" xfId="0" applyNumberFormat="1" applyFont="1" applyFill="1" applyAlignment="1">
      <alignment horizontal="center" vertical="center"/>
    </xf>
    <xf numFmtId="2" fontId="6" fillId="202" borderId="0" xfId="0" applyNumberFormat="1" applyFont="1" applyFill="1" applyAlignment="1">
      <alignment horizontal="center" vertical="center"/>
    </xf>
    <xf numFmtId="1" fontId="10" fillId="203" borderId="0" xfId="0" applyNumberFormat="1" applyFont="1" applyFill="1" applyAlignment="1">
      <alignment horizontal="right" vertical="center"/>
    </xf>
    <xf numFmtId="1" fontId="6" fillId="203" borderId="0" xfId="0" applyNumberFormat="1" applyFont="1" applyFill="1" applyAlignment="1">
      <alignment horizontal="right" vertical="center"/>
    </xf>
    <xf numFmtId="2" fontId="6" fillId="202" borderId="0" xfId="0" applyNumberFormat="1" applyFont="1" applyFill="1" applyAlignment="1">
      <alignment horizontal="center"/>
    </xf>
    <xf numFmtId="164" fontId="10" fillId="203" borderId="0" xfId="0" applyNumberFormat="1" applyFont="1" applyFill="1" applyAlignment="1">
      <alignment horizontal="right" vertical="center"/>
    </xf>
    <xf numFmtId="164" fontId="6" fillId="203" borderId="0" xfId="0" applyNumberFormat="1" applyFont="1" applyFill="1" applyAlignment="1">
      <alignment horizontal="right" vertical="center"/>
    </xf>
    <xf numFmtId="2" fontId="10" fillId="203" borderId="0" xfId="0" applyNumberFormat="1" applyFont="1" applyFill="1" applyAlignment="1">
      <alignment horizontal="right" vertical="center"/>
    </xf>
    <xf numFmtId="2" fontId="37" fillId="203" borderId="0" xfId="0" applyNumberFormat="1" applyFont="1" applyFill="1" applyAlignment="1">
      <alignment horizontal="right" vertical="center" wrapText="1"/>
    </xf>
    <xf numFmtId="2" fontId="10" fillId="202" borderId="0" xfId="0" applyNumberFormat="1" applyFont="1" applyFill="1" applyAlignment="1">
      <alignment horizontal="right" vertical="center"/>
    </xf>
    <xf numFmtId="0" fontId="33" fillId="210" borderId="0" xfId="0" applyFont="1" applyFill="1" applyAlignment="1">
      <alignment vertical="center"/>
    </xf>
    <xf numFmtId="0" fontId="10" fillId="210" borderId="0" xfId="0" applyFont="1" applyFill="1" applyAlignment="1">
      <alignment vertical="center"/>
    </xf>
    <xf numFmtId="0" fontId="6" fillId="210" borderId="0" xfId="0" applyFont="1" applyFill="1" applyAlignment="1">
      <alignment vertical="center"/>
    </xf>
    <xf numFmtId="0" fontId="6" fillId="210" borderId="0" xfId="0" applyFont="1" applyFill="1"/>
    <xf numFmtId="0" fontId="37" fillId="202" borderId="0" xfId="0" applyFont="1" applyFill="1" applyAlignment="1">
      <alignment horizontal="left" vertical="center" wrapText="1"/>
    </xf>
    <xf numFmtId="0" fontId="33" fillId="211" borderId="0" xfId="0" applyFont="1" applyFill="1" applyAlignment="1">
      <alignment vertical="center"/>
    </xf>
    <xf numFmtId="0" fontId="10" fillId="211" borderId="0" xfId="0" applyFont="1" applyFill="1" applyAlignment="1">
      <alignment vertical="center"/>
    </xf>
    <xf numFmtId="0" fontId="6" fillId="211" borderId="0" xfId="0" applyFont="1" applyFill="1" applyAlignment="1">
      <alignment vertical="center"/>
    </xf>
    <xf numFmtId="0" fontId="6" fillId="211" borderId="0" xfId="0" applyFont="1" applyFill="1"/>
    <xf numFmtId="0" fontId="10" fillId="202" borderId="0" xfId="0" applyFont="1" applyFill="1" applyAlignment="1">
      <alignment horizontal="right" vertical="center"/>
    </xf>
    <xf numFmtId="0" fontId="10" fillId="202" borderId="0" xfId="0" applyFont="1" applyFill="1" applyAlignment="1">
      <alignment horizontal="left" vertical="center"/>
    </xf>
    <xf numFmtId="0" fontId="10" fillId="202" borderId="0" xfId="0" applyFont="1" applyFill="1" applyAlignment="1">
      <alignment horizontal="center" vertical="center" wrapText="1"/>
    </xf>
    <xf numFmtId="0" fontId="33" fillId="212" borderId="0" xfId="0" applyFont="1" applyFill="1" applyAlignment="1">
      <alignment vertical="center" wrapText="1"/>
    </xf>
    <xf numFmtId="0" fontId="10" fillId="212" borderId="0" xfId="0" applyFont="1" applyFill="1" applyAlignment="1">
      <alignment vertical="center"/>
    </xf>
    <xf numFmtId="0" fontId="6" fillId="212" borderId="0" xfId="0" applyFont="1" applyFill="1" applyAlignment="1">
      <alignment vertical="center"/>
    </xf>
    <xf numFmtId="0" fontId="6" fillId="212" borderId="0" xfId="0" applyFont="1" applyFill="1"/>
    <xf numFmtId="0" fontId="6" fillId="203" borderId="0" xfId="0" applyFont="1" applyFill="1" applyAlignment="1">
      <alignment vertical="center"/>
    </xf>
    <xf numFmtId="0" fontId="6" fillId="202" borderId="0" xfId="0" applyFont="1" applyFill="1"/>
    <xf numFmtId="166" fontId="0" fillId="202" borderId="0" xfId="0" applyNumberFormat="1" applyFill="1" applyAlignment="1">
      <alignment horizontal="center" vertical="center"/>
    </xf>
    <xf numFmtId="166" fontId="6" fillId="202" borderId="0" xfId="0" applyNumberFormat="1" applyFont="1" applyFill="1" applyAlignment="1">
      <alignment horizontal="center" vertical="center"/>
    </xf>
    <xf numFmtId="166" fontId="6" fillId="203" borderId="0" xfId="0" applyNumberFormat="1" applyFont="1" applyFill="1" applyAlignment="1">
      <alignment horizontal="center" vertical="center"/>
    </xf>
    <xf numFmtId="1" fontId="0" fillId="202" borderId="0" xfId="0" applyNumberFormat="1" applyFill="1" applyAlignment="1">
      <alignment horizontal="right" vertical="center"/>
    </xf>
    <xf numFmtId="1" fontId="0" fillId="203" borderId="0" xfId="0" applyNumberFormat="1" applyFill="1" applyAlignment="1">
      <alignment horizontal="center" vertical="center"/>
    </xf>
    <xf numFmtId="1" fontId="6" fillId="202" borderId="0" xfId="0" applyNumberFormat="1" applyFont="1" applyFill="1" applyAlignment="1">
      <alignment horizontal="center" vertical="center"/>
    </xf>
    <xf numFmtId="1" fontId="6" fillId="203" borderId="0" xfId="0" applyNumberFormat="1" applyFont="1" applyFill="1" applyAlignment="1">
      <alignment horizontal="center" vertical="center"/>
    </xf>
    <xf numFmtId="166" fontId="0" fillId="203" borderId="0" xfId="0" applyNumberFormat="1" applyFill="1" applyAlignment="1">
      <alignment horizontal="right" vertical="center"/>
    </xf>
    <xf numFmtId="1" fontId="0" fillId="202" borderId="0" xfId="0" applyNumberFormat="1" applyFill="1" applyAlignment="1">
      <alignment horizontal="center" vertical="center"/>
    </xf>
    <xf numFmtId="0" fontId="38" fillId="202" borderId="0" xfId="0" applyFont="1" applyFill="1" applyAlignment="1">
      <alignment horizontal="left" vertical="center" wrapText="1"/>
    </xf>
    <xf numFmtId="1" fontId="39" fillId="203" borderId="0" xfId="0" applyNumberFormat="1" applyFont="1" applyFill="1" applyAlignment="1">
      <alignment vertical="center" wrapText="1"/>
    </xf>
    <xf numFmtId="1" fontId="6" fillId="203" borderId="0" xfId="0" applyNumberFormat="1" applyFont="1" applyFill="1" applyAlignment="1">
      <alignment vertical="center" wrapText="1"/>
    </xf>
    <xf numFmtId="1" fontId="6" fillId="202" borderId="0" xfId="0" applyNumberFormat="1" applyFont="1" applyFill="1" applyAlignment="1">
      <alignment vertical="center" wrapText="1"/>
    </xf>
    <xf numFmtId="1" fontId="6" fillId="202" borderId="0" xfId="0" applyNumberFormat="1" applyFont="1" applyFill="1"/>
    <xf numFmtId="0" fontId="31" fillId="202" borderId="0" xfId="0" applyFont="1" applyFill="1" applyAlignment="1">
      <alignment horizontal="center" vertical="center" wrapText="1"/>
    </xf>
    <xf numFmtId="0" fontId="6" fillId="202" borderId="0" xfId="0" applyFont="1" applyFill="1" applyAlignment="1">
      <alignment vertical="center"/>
    </xf>
    <xf numFmtId="0" fontId="31" fillId="202" borderId="0" xfId="0" applyFont="1" applyFill="1" applyAlignment="1">
      <alignment vertical="center" wrapText="1"/>
    </xf>
    <xf numFmtId="0" fontId="36" fillId="202" borderId="0" xfId="0" applyFont="1" applyFill="1" applyAlignment="1">
      <alignment vertical="center" wrapText="1"/>
    </xf>
    <xf numFmtId="0" fontId="40" fillId="202" borderId="0" xfId="0" applyFont="1" applyFill="1" applyAlignment="1">
      <alignment horizontal="center" wrapText="1"/>
    </xf>
    <xf numFmtId="0" fontId="6" fillId="208" borderId="0" xfId="0" applyFont="1" applyFill="1" applyAlignment="1">
      <alignment horizontal="center" vertical="center"/>
    </xf>
    <xf numFmtId="0" fontId="6" fillId="203" borderId="0" xfId="0" applyFont="1" applyFill="1" applyAlignment="1">
      <alignment horizontal="right"/>
    </xf>
    <xf numFmtId="1" fontId="6" fillId="202" borderId="0" xfId="0" applyNumberFormat="1" applyFont="1" applyFill="1" applyAlignment="1">
      <alignment horizontal="right"/>
    </xf>
    <xf numFmtId="2" fontId="6" fillId="203" borderId="0" xfId="0" applyNumberFormat="1" applyFont="1" applyFill="1" applyAlignment="1">
      <alignment horizontal="right"/>
    </xf>
    <xf numFmtId="1" fontId="6" fillId="203" borderId="0" xfId="0" applyNumberFormat="1" applyFont="1" applyFill="1" applyAlignment="1">
      <alignment horizontal="right"/>
    </xf>
    <xf numFmtId="1" fontId="10" fillId="202" borderId="0" xfId="0" applyNumberFormat="1" applyFont="1" applyFill="1" applyAlignment="1">
      <alignment horizontal="right" vertical="center"/>
    </xf>
    <xf numFmtId="164" fontId="6" fillId="203" borderId="0" xfId="0" applyNumberFormat="1" applyFont="1" applyFill="1" applyAlignment="1">
      <alignment horizontal="right"/>
    </xf>
    <xf numFmtId="164" fontId="10" fillId="202" borderId="0" xfId="0" applyNumberFormat="1" applyFont="1" applyFill="1" applyAlignment="1">
      <alignment horizontal="right" vertical="center"/>
    </xf>
    <xf numFmtId="2" fontId="6" fillId="203" borderId="0" xfId="0" applyNumberFormat="1" applyFont="1" applyFill="1" applyAlignment="1">
      <alignment horizontal="right" wrapText="1"/>
    </xf>
    <xf numFmtId="0" fontId="6" fillId="203" borderId="0" xfId="0" applyFont="1" applyFill="1" applyAlignment="1">
      <alignment horizontal="center"/>
    </xf>
    <xf numFmtId="164" fontId="0" fillId="202" borderId="0" xfId="0" applyNumberFormat="1" applyFill="1" applyAlignment="1">
      <alignment horizontal="right" vertical="center"/>
    </xf>
    <xf numFmtId="164" fontId="0" fillId="203" borderId="0" xfId="0" applyNumberFormat="1" applyFill="1" applyAlignment="1">
      <alignment horizontal="right" vertical="center"/>
    </xf>
    <xf numFmtId="167" fontId="10" fillId="202" borderId="0" xfId="0" applyNumberFormat="1" applyFont="1" applyFill="1" applyAlignment="1">
      <alignment horizontal="right" vertical="center"/>
    </xf>
    <xf numFmtId="1" fontId="6" fillId="203" borderId="0" xfId="0" applyNumberFormat="1" applyFont="1" applyFill="1" applyAlignment="1">
      <alignment horizontal="center"/>
    </xf>
    <xf numFmtId="0" fontId="41" fillId="0" borderId="0" xfId="0" applyFont="1"/>
    <xf numFmtId="1" fontId="6" fillId="203" borderId="0" xfId="0" applyNumberFormat="1" applyFont="1" applyFill="1" applyAlignment="1">
      <alignment vertical="top" wrapText="1"/>
    </xf>
    <xf numFmtId="1" fontId="39" fillId="202" borderId="0" xfId="0" applyNumberFormat="1" applyFont="1" applyFill="1" applyAlignment="1">
      <alignment vertical="center" wrapText="1"/>
    </xf>
    <xf numFmtId="0" fontId="39" fillId="203" borderId="0" xfId="0" applyFont="1" applyFill="1" applyAlignment="1">
      <alignment vertical="center" wrapText="1"/>
    </xf>
    <xf numFmtId="0" fontId="6" fillId="203" borderId="0" xfId="0" applyFont="1" applyFill="1"/>
    <xf numFmtId="1" fontId="10" fillId="203" borderId="0" xfId="0" applyNumberFormat="1" applyFont="1" applyFill="1" applyAlignment="1">
      <alignment vertical="center"/>
    </xf>
    <xf numFmtId="1" fontId="42" fillId="203" borderId="0" xfId="0" applyNumberFormat="1" applyFont="1" applyFill="1" applyAlignment="1">
      <alignment vertical="center"/>
    </xf>
    <xf numFmtId="0" fontId="10" fillId="208" borderId="0" xfId="0" applyFont="1" applyFill="1" applyAlignment="1">
      <alignment horizontal="left" vertical="center" wrapText="1"/>
    </xf>
    <xf numFmtId="1" fontId="10" fillId="202" borderId="0" xfId="0" applyNumberFormat="1" applyFont="1" applyFill="1" applyAlignment="1">
      <alignment vertical="center"/>
    </xf>
    <xf numFmtId="0" fontId="10" fillId="211" borderId="0" xfId="0" applyFont="1" applyFill="1" applyAlignment="1">
      <alignment horizontal="center" vertical="center"/>
    </xf>
    <xf numFmtId="2" fontId="10" fillId="212" borderId="0" xfId="0" applyNumberFormat="1" applyFont="1" applyFill="1" applyAlignment="1">
      <alignment vertical="center"/>
    </xf>
    <xf numFmtId="0" fontId="39" fillId="202" borderId="0" xfId="0" applyFont="1" applyFill="1" applyAlignment="1">
      <alignment vertical="center" wrapText="1"/>
    </xf>
    <xf numFmtId="1" fontId="42" fillId="202" borderId="0" xfId="0" applyNumberFormat="1" applyFont="1" applyFill="1" applyAlignment="1">
      <alignment vertical="center"/>
    </xf>
    <xf numFmtId="0" fontId="10" fillId="202" borderId="0" xfId="0" applyFont="1" applyFill="1"/>
    <xf numFmtId="0" fontId="6" fillId="208" borderId="0" xfId="0" applyFont="1" applyFill="1"/>
    <xf numFmtId="2" fontId="6" fillId="203" borderId="0" xfId="0" applyNumberFormat="1" applyFont="1" applyFill="1" applyAlignment="1">
      <alignment horizontal="center"/>
    </xf>
    <xf numFmtId="1" fontId="43" fillId="202" borderId="0" xfId="0" applyNumberFormat="1" applyFont="1" applyFill="1" applyAlignment="1">
      <alignment horizontal="center" vertical="center"/>
    </xf>
    <xf numFmtId="168" fontId="0" fillId="203" borderId="0" xfId="0" applyNumberFormat="1" applyFill="1" applyAlignment="1">
      <alignment horizontal="right" vertical="center"/>
    </xf>
    <xf numFmtId="0" fontId="37" fillId="202" borderId="0" xfId="0" applyFont="1" applyFill="1" applyAlignment="1">
      <alignment vertical="center" wrapText="1"/>
    </xf>
    <xf numFmtId="1" fontId="6" fillId="203" borderId="0" xfId="0" applyNumberFormat="1" applyFont="1" applyFill="1" applyAlignment="1">
      <alignment vertical="center"/>
    </xf>
    <xf numFmtId="0" fontId="51" fillId="213" borderId="0" xfId="0" applyFont="1" applyFill="1"/>
    <xf numFmtId="0" fontId="52" fillId="213" borderId="0" xfId="0" applyFont="1" applyFill="1"/>
    <xf numFmtId="0" fontId="53" fillId="213" borderId="0" xfId="0" applyFont="1" applyFill="1" applyAlignment="1">
      <alignment wrapText="1"/>
    </xf>
    <xf numFmtId="0" fontId="54" fillId="213" borderId="0" xfId="0" applyFont="1" applyFill="1"/>
    <xf numFmtId="0" fontId="21" fillId="213" borderId="0" xfId="0" applyFont="1" applyFill="1" applyAlignment="1">
      <alignment vertical="center" wrapText="1"/>
    </xf>
    <xf numFmtId="0" fontId="31" fillId="213" borderId="0" xfId="0" applyFont="1" applyFill="1"/>
    <xf numFmtId="0" fontId="33" fillId="213" borderId="0" xfId="0" applyFont="1" applyFill="1" applyAlignment="1">
      <alignment vertical="top" wrapText="1"/>
    </xf>
    <xf numFmtId="1" fontId="10" fillId="203" borderId="0" xfId="0" applyNumberFormat="1" applyFont="1" applyFill="1" applyAlignment="1">
      <alignment vertical="center" wrapText="1"/>
    </xf>
    <xf numFmtId="0" fontId="10" fillId="203" borderId="0" xfId="0" applyFont="1" applyFill="1" applyAlignment="1">
      <alignment vertical="center" wrapText="1"/>
    </xf>
    <xf numFmtId="0" fontId="6" fillId="202" borderId="0" xfId="0" applyFont="1" applyFill="1" applyAlignment="1">
      <alignment horizontal="left" vertical="center" wrapText="1"/>
    </xf>
    <xf numFmtId="0" fontId="6" fillId="202" borderId="0" xfId="0" applyFont="1" applyFill="1" applyAlignment="1">
      <alignment vertical="center" wrapText="1"/>
    </xf>
    <xf numFmtId="2" fontId="6" fillId="203" borderId="0" xfId="0" applyNumberFormat="1" applyFont="1" applyFill="1" applyAlignment="1">
      <alignment horizontal="right" vertical="center" wrapText="1"/>
    </xf>
    <xf numFmtId="2" fontId="0" fillId="203" borderId="0" xfId="0" applyNumberFormat="1" applyFill="1" applyAlignment="1">
      <alignment horizontal="right" vertical="center"/>
    </xf>
    <xf numFmtId="0" fontId="55" fillId="202" borderId="0" xfId="0" applyFont="1" applyFill="1" applyAlignment="1">
      <alignment horizontal="left" vertical="center" wrapText="1"/>
    </xf>
    <xf numFmtId="0" fontId="6" fillId="203" borderId="0" xfId="0" applyFont="1" applyFill="1" applyAlignment="1">
      <alignment horizontal="right" vertical="center" wrapText="1"/>
    </xf>
    <xf numFmtId="2" fontId="6" fillId="202" borderId="0" xfId="0" applyNumberFormat="1" applyFont="1" applyFill="1" applyAlignment="1">
      <alignment vertical="center"/>
    </xf>
    <xf numFmtId="2" fontId="6" fillId="203" borderId="0" xfId="0" applyNumberFormat="1" applyFont="1" applyFill="1" applyAlignment="1">
      <alignment vertical="center"/>
    </xf>
    <xf numFmtId="1" fontId="6" fillId="202" borderId="0" xfId="0" applyNumberFormat="1" applyFont="1" applyFill="1" applyAlignment="1">
      <alignment vertical="center"/>
    </xf>
    <xf numFmtId="1" fontId="10" fillId="202" borderId="0" xfId="0" applyNumberFormat="1" applyFont="1" applyFill="1" applyAlignment="1">
      <alignment vertical="center" wrapText="1"/>
    </xf>
    <xf numFmtId="0" fontId="41" fillId="0" borderId="0" xfId="0" applyFont="1" applyAlignment="1">
      <alignment vertical="center"/>
    </xf>
    <xf numFmtId="1" fontId="6" fillId="202" borderId="0" xfId="0" applyNumberFormat="1" applyFont="1" applyFill="1" applyAlignment="1">
      <alignment horizontal="right" vertical="center"/>
    </xf>
    <xf numFmtId="0" fontId="10" fillId="0" borderId="0" xfId="0" applyFont="1" applyAlignment="1">
      <alignment vertical="center"/>
    </xf>
    <xf numFmtId="0" fontId="6" fillId="203" borderId="0" xfId="0" applyFont="1" applyFill="1" applyAlignment="1">
      <alignment vertical="center" wrapText="1"/>
    </xf>
    <xf numFmtId="0" fontId="10" fillId="0" borderId="0" xfId="0" applyFont="1" applyAlignment="1">
      <alignment horizontal="right" vertical="center"/>
    </xf>
    <xf numFmtId="0" fontId="6" fillId="203" borderId="0" xfId="0" applyFont="1" applyFill="1" applyAlignment="1">
      <alignment horizontal="center" vertical="center" wrapText="1"/>
    </xf>
    <xf numFmtId="0" fontId="6" fillId="212" borderId="0" xfId="0" applyFont="1" applyFill="1" applyAlignment="1">
      <alignment vertical="center" wrapText="1"/>
    </xf>
    <xf numFmtId="0" fontId="6" fillId="210" borderId="0" xfId="0" applyFont="1" applyFill="1" applyAlignment="1">
      <alignment vertical="center" wrapText="1"/>
    </xf>
    <xf numFmtId="2" fontId="6" fillId="203" borderId="0" xfId="0" applyNumberFormat="1" applyFont="1" applyFill="1" applyAlignment="1">
      <alignment vertical="center" wrapText="1"/>
    </xf>
    <xf numFmtId="0" fontId="6" fillId="209" borderId="0" xfId="0" applyFont="1" applyFill="1" applyAlignment="1">
      <alignment vertical="center" wrapText="1"/>
    </xf>
    <xf numFmtId="168" fontId="6" fillId="203" borderId="0" xfId="0" applyNumberFormat="1" applyFont="1" applyFill="1" applyAlignment="1">
      <alignment horizontal="right" vertical="center"/>
    </xf>
    <xf numFmtId="168" fontId="43" fillId="202" borderId="0" xfId="0" applyNumberFormat="1" applyFont="1" applyFill="1" applyAlignment="1">
      <alignment horizontal="right" vertical="center"/>
    </xf>
    <xf numFmtId="2" fontId="43" fillId="202" borderId="0" xfId="0" applyNumberFormat="1" applyFont="1" applyFill="1" applyAlignment="1">
      <alignment horizontal="right" vertical="center"/>
    </xf>
    <xf numFmtId="168" fontId="6" fillId="202" borderId="0" xfId="0" applyNumberFormat="1" applyFont="1" applyFill="1" applyAlignment="1">
      <alignment horizontal="right" vertical="center"/>
    </xf>
    <xf numFmtId="168" fontId="43" fillId="203" borderId="0" xfId="0" applyNumberFormat="1" applyFont="1" applyFill="1" applyAlignment="1">
      <alignment horizontal="right" vertical="center"/>
    </xf>
    <xf numFmtId="1" fontId="43" fillId="202" borderId="0" xfId="0" applyNumberFormat="1" applyFont="1" applyFill="1" applyAlignment="1">
      <alignment horizontal="right" vertical="center"/>
    </xf>
    <xf numFmtId="1" fontId="43" fillId="203" borderId="0" xfId="0" applyNumberFormat="1" applyFont="1" applyFill="1" applyAlignment="1">
      <alignment horizontal="right" vertical="center"/>
    </xf>
    <xf numFmtId="2" fontId="6" fillId="212" borderId="0" xfId="0" applyNumberFormat="1" applyFont="1" applyFill="1" applyAlignment="1">
      <alignment vertical="center"/>
    </xf>
    <xf numFmtId="0" fontId="34" fillId="212" borderId="0" xfId="0" applyFont="1" applyFill="1" applyAlignment="1">
      <alignment vertical="center" wrapText="1"/>
    </xf>
    <xf numFmtId="0" fontId="34" fillId="211" borderId="0" xfId="0" applyFont="1" applyFill="1" applyAlignment="1">
      <alignment vertical="center"/>
    </xf>
    <xf numFmtId="0" fontId="34" fillId="210" borderId="0" xfId="0" applyFont="1" applyFill="1" applyAlignment="1">
      <alignment vertical="center"/>
    </xf>
    <xf numFmtId="2" fontId="6" fillId="202" borderId="0" xfId="0" applyNumberFormat="1" applyFont="1" applyFill="1" applyAlignment="1">
      <alignment horizontal="right" vertical="center" wrapText="1"/>
    </xf>
    <xf numFmtId="164" fontId="10" fillId="203" borderId="0" xfId="0" applyNumberFormat="1" applyFont="1" applyFill="1" applyAlignment="1">
      <alignment vertical="center"/>
    </xf>
    <xf numFmtId="164" fontId="6" fillId="202" borderId="0" xfId="0" applyNumberFormat="1" applyFont="1" applyFill="1" applyAlignment="1">
      <alignment horizontal="right" vertical="center"/>
    </xf>
    <xf numFmtId="0" fontId="56" fillId="209" borderId="0" xfId="0" applyFont="1" applyFill="1" applyAlignment="1">
      <alignment vertical="center" wrapText="1"/>
    </xf>
    <xf numFmtId="0" fontId="34" fillId="208" borderId="0" xfId="0" applyFont="1" applyFill="1" applyAlignment="1">
      <alignment vertical="center" wrapText="1"/>
    </xf>
    <xf numFmtId="0" fontId="34" fillId="202" borderId="0" xfId="0" applyFont="1" applyFill="1" applyAlignment="1">
      <alignment horizontal="left" vertical="center" wrapText="1"/>
    </xf>
    <xf numFmtId="0" fontId="6" fillId="202" borderId="0" xfId="0" applyFont="1" applyFill="1" applyAlignment="1">
      <alignment horizontal="right" vertical="center" wrapText="1"/>
    </xf>
    <xf numFmtId="0" fontId="10" fillId="202" borderId="0" xfId="0" applyFont="1" applyFill="1" applyAlignment="1">
      <alignment horizontal="right" vertical="center" wrapText="1"/>
    </xf>
    <xf numFmtId="0" fontId="57" fillId="203" borderId="0" xfId="0" applyFont="1" applyFill="1" applyAlignment="1">
      <alignment horizontal="center" vertical="center" wrapText="1"/>
    </xf>
    <xf numFmtId="0" fontId="6" fillId="202" borderId="0" xfId="0" applyFont="1" applyFill="1" applyAlignment="1">
      <alignment horizontal="center" vertical="center" wrapText="1"/>
    </xf>
    <xf numFmtId="0" fontId="6" fillId="211" borderId="0" xfId="0" applyFont="1" applyFill="1" applyAlignment="1">
      <alignment horizontal="center" vertical="center"/>
    </xf>
    <xf numFmtId="0" fontId="34" fillId="210" borderId="0" xfId="0" applyFont="1" applyFill="1" applyAlignment="1">
      <alignment vertical="center" wrapText="1"/>
    </xf>
    <xf numFmtId="2" fontId="6" fillId="202" borderId="0" xfId="0" applyNumberFormat="1" applyFont="1" applyFill="1" applyAlignment="1">
      <alignment vertical="center" wrapText="1"/>
    </xf>
    <xf numFmtId="0" fontId="6" fillId="208" borderId="0" xfId="0" applyFont="1" applyFill="1" applyAlignment="1">
      <alignment horizontal="center" vertical="center" wrapText="1"/>
    </xf>
    <xf numFmtId="169" fontId="6" fillId="202" borderId="0" xfId="0" applyNumberFormat="1" applyFont="1" applyFill="1" applyAlignment="1">
      <alignment horizontal="right" vertical="center" wrapText="1"/>
    </xf>
    <xf numFmtId="1" fontId="6" fillId="202" borderId="0" xfId="0" applyNumberFormat="1" applyFont="1" applyFill="1" applyAlignment="1">
      <alignment horizontal="right" vertical="center" wrapText="1"/>
    </xf>
    <xf numFmtId="0" fontId="43" fillId="209" borderId="0" xfId="0" applyFont="1" applyFill="1" applyAlignment="1">
      <alignment vertical="center" wrapText="1"/>
    </xf>
    <xf numFmtId="1" fontId="43" fillId="203" borderId="0" xfId="0" applyNumberFormat="1" applyFont="1" applyFill="1" applyAlignment="1">
      <alignment horizontal="center" vertical="center"/>
    </xf>
    <xf numFmtId="0" fontId="43" fillId="209" borderId="0" xfId="0" applyFont="1" applyFill="1" applyAlignment="1">
      <alignment vertical="center"/>
    </xf>
    <xf numFmtId="0" fontId="6" fillId="0" borderId="0" xfId="0" applyFont="1" applyAlignment="1">
      <alignment horizontal="right"/>
    </xf>
    <xf numFmtId="0" fontId="6" fillId="0" borderId="0" xfId="0" applyFont="1" applyAlignment="1">
      <alignment horizontal="center"/>
    </xf>
    <xf numFmtId="0" fontId="6" fillId="202" borderId="0" xfId="0" applyFont="1" applyFill="1" applyAlignment="1">
      <alignment horizontal="right" wrapText="1"/>
    </xf>
    <xf numFmtId="0" fontId="32" fillId="202" borderId="0" xfId="0" applyFont="1" applyFill="1" applyAlignment="1">
      <alignment horizontal="center" vertical="center" wrapText="1"/>
    </xf>
    <xf numFmtId="0" fontId="6" fillId="203" borderId="0" xfId="0" applyFont="1" applyFill="1" applyAlignment="1">
      <alignment horizontal="right" wrapText="1"/>
    </xf>
    <xf numFmtId="2" fontId="6" fillId="212" borderId="0" xfId="0" applyNumberFormat="1" applyFont="1" applyFill="1"/>
    <xf numFmtId="0" fontId="6" fillId="0" borderId="0" xfId="0" applyFont="1" applyAlignment="1">
      <alignment horizontal="right" vertical="center"/>
    </xf>
    <xf numFmtId="0" fontId="6" fillId="0" borderId="0" xfId="0" applyFont="1" applyAlignment="1">
      <alignment horizontal="center" vertical="center"/>
    </xf>
    <xf numFmtId="0" fontId="34" fillId="0" borderId="0" xfId="0" applyFont="1" applyAlignment="1">
      <alignment horizontal="center" vertical="center" wrapText="1"/>
    </xf>
    <xf numFmtId="1" fontId="58" fillId="203" borderId="0" xfId="0" applyNumberFormat="1" applyFont="1" applyFill="1" applyAlignment="1">
      <alignment vertical="center" wrapText="1"/>
    </xf>
    <xf numFmtId="0" fontId="43" fillId="202" borderId="0" xfId="0" applyFont="1" applyFill="1" applyAlignment="1">
      <alignment horizontal="left" vertical="center"/>
    </xf>
    <xf numFmtId="164" fontId="6" fillId="202" borderId="0" xfId="0" applyNumberFormat="1" applyFont="1" applyFill="1" applyAlignment="1">
      <alignment vertical="center"/>
    </xf>
    <xf numFmtId="0" fontId="6" fillId="202" borderId="0" xfId="0" applyFont="1" applyFill="1" applyAlignment="1">
      <alignment horizontal="left" vertical="center"/>
    </xf>
    <xf numFmtId="0" fontId="6" fillId="203" borderId="0" xfId="0" applyFont="1" applyFill="1" applyAlignment="1">
      <alignment horizontal="left" vertical="center" wrapText="1"/>
    </xf>
    <xf numFmtId="0" fontId="34" fillId="211" borderId="0" xfId="0" applyFont="1" applyFill="1" applyAlignment="1">
      <alignment horizontal="left" vertical="center"/>
    </xf>
    <xf numFmtId="0" fontId="34" fillId="202" borderId="0" xfId="0" quotePrefix="1" applyFont="1" applyFill="1" applyAlignment="1">
      <alignment horizontal="center" vertical="center" wrapText="1"/>
    </xf>
    <xf numFmtId="0" fontId="32" fillId="203" borderId="0" xfId="0" applyFont="1" applyFill="1" applyAlignment="1">
      <alignment horizontal="center" vertical="center" wrapText="1"/>
    </xf>
    <xf numFmtId="0" fontId="6" fillId="203" borderId="0" xfId="0" applyFont="1" applyFill="1" applyAlignment="1">
      <alignment horizontal="center" wrapText="1"/>
    </xf>
    <xf numFmtId="0" fontId="6" fillId="208" borderId="0" xfId="0" applyFont="1" applyFill="1" applyAlignment="1">
      <alignment horizontal="center"/>
    </xf>
    <xf numFmtId="1" fontId="58" fillId="203" borderId="0" xfId="0" applyNumberFormat="1" applyFont="1" applyFill="1" applyAlignment="1">
      <alignment vertical="center"/>
    </xf>
    <xf numFmtId="0" fontId="43" fillId="202" borderId="0" xfId="0" applyFont="1" applyFill="1" applyAlignment="1">
      <alignment horizontal="center" vertical="center" wrapText="1"/>
    </xf>
    <xf numFmtId="0" fontId="6" fillId="202" borderId="0" xfId="0" applyFont="1" applyFill="1" applyAlignment="1">
      <alignment wrapText="1"/>
    </xf>
    <xf numFmtId="0" fontId="34" fillId="208" borderId="0" xfId="0" applyFont="1" applyFill="1" applyAlignment="1">
      <alignment horizontal="center" vertical="center" wrapText="1"/>
    </xf>
    <xf numFmtId="0" fontId="43" fillId="202" borderId="0" xfId="0" applyFont="1" applyFill="1" applyAlignment="1">
      <alignment vertical="center" wrapText="1"/>
    </xf>
    <xf numFmtId="1" fontId="59" fillId="203" borderId="0" xfId="0" applyNumberFormat="1" applyFont="1" applyFill="1" applyAlignment="1">
      <alignment vertical="center"/>
    </xf>
    <xf numFmtId="1" fontId="59" fillId="202" borderId="0" xfId="0" applyNumberFormat="1" applyFont="1" applyFill="1" applyAlignment="1">
      <alignment vertical="center"/>
    </xf>
    <xf numFmtId="0" fontId="40" fillId="202" borderId="0" xfId="0" applyFont="1" applyFill="1" applyAlignment="1">
      <alignment vertical="center" wrapText="1"/>
    </xf>
    <xf numFmtId="0" fontId="40" fillId="202" borderId="0" xfId="0" applyFont="1" applyFill="1" applyAlignment="1">
      <alignment horizontal="center" vertical="center" wrapText="1"/>
    </xf>
    <xf numFmtId="0" fontId="40" fillId="203" borderId="0" xfId="0" applyFont="1" applyFill="1" applyAlignment="1">
      <alignment horizontal="center" vertical="center" wrapText="1"/>
    </xf>
    <xf numFmtId="0" fontId="7" fillId="203" borderId="0" xfId="0" applyFont="1" applyFill="1" applyAlignment="1">
      <alignment horizontal="center" vertical="center" wrapText="1"/>
    </xf>
    <xf numFmtId="0" fontId="60" fillId="203" borderId="0" xfId="0" applyFont="1" applyFill="1" applyAlignment="1">
      <alignment horizontal="center" vertical="center" wrapText="1"/>
    </xf>
    <xf numFmtId="0" fontId="34" fillId="202" borderId="0" xfId="0" applyFont="1" applyFill="1" applyAlignment="1">
      <alignment vertical="center" wrapText="1"/>
    </xf>
    <xf numFmtId="0" fontId="10" fillId="0" borderId="0" xfId="0" applyFont="1" applyAlignment="1">
      <alignment vertical="center" wrapText="1"/>
    </xf>
    <xf numFmtId="170" fontId="10" fillId="0" borderId="0" xfId="0" applyNumberFormat="1" applyFont="1"/>
    <xf numFmtId="0" fontId="10" fillId="214" borderId="0" xfId="0" applyFont="1" applyFill="1" applyAlignment="1">
      <alignment vertical="center" wrapText="1"/>
    </xf>
    <xf numFmtId="0" fontId="10" fillId="79" borderId="0" xfId="0" applyFont="1" applyFill="1" applyAlignment="1">
      <alignment vertical="center" wrapText="1"/>
    </xf>
    <xf numFmtId="0" fontId="10" fillId="212" borderId="0" xfId="0" applyFont="1" applyFill="1" applyAlignment="1">
      <alignment vertical="center" wrapText="1"/>
    </xf>
    <xf numFmtId="0" fontId="10" fillId="215" borderId="0" xfId="0" applyFont="1" applyFill="1"/>
    <xf numFmtId="164" fontId="10" fillId="0" borderId="27" xfId="0" applyNumberFormat="1" applyFont="1" applyBorder="1" applyAlignment="1">
      <alignment horizontal="center" vertical="center"/>
    </xf>
    <xf numFmtId="0" fontId="4" fillId="0" borderId="25" xfId="0" applyFont="1" applyBorder="1"/>
    <xf numFmtId="0" fontId="4" fillId="0" borderId="10" xfId="0" applyFont="1" applyBorder="1"/>
    <xf numFmtId="0" fontId="10" fillId="0" borderId="27" xfId="0" applyFont="1" applyBorder="1" applyAlignment="1">
      <alignment horizontal="center" vertical="center"/>
    </xf>
    <xf numFmtId="164" fontId="10" fillId="0" borderId="0" xfId="0" applyNumberFormat="1" applyFont="1" applyAlignment="1">
      <alignment horizontal="center" vertical="center"/>
    </xf>
    <xf numFmtId="0" fontId="0" fillId="0" borderId="0" xfId="0"/>
    <xf numFmtId="0" fontId="4" fillId="0" borderId="11" xfId="0" applyFont="1" applyBorder="1"/>
    <xf numFmtId="164" fontId="10" fillId="0" borderId="25" xfId="0" applyNumberFormat="1" applyFont="1" applyBorder="1" applyAlignment="1">
      <alignment horizontal="center" vertical="center"/>
    </xf>
    <xf numFmtId="0" fontId="3" fillId="0" borderId="1" xfId="0" applyFont="1" applyBorder="1" applyAlignment="1">
      <alignment horizontal="center" vertical="center" wrapText="1"/>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7" xfId="0" applyFont="1" applyBorder="1"/>
    <xf numFmtId="0" fontId="4" fillId="0" borderId="8" xfId="0" applyFont="1" applyBorder="1"/>
    <xf numFmtId="0" fontId="4" fillId="0" borderId="9" xfId="0" applyFont="1" applyBorder="1"/>
    <xf numFmtId="164" fontId="2" fillId="2" borderId="13" xfId="0" applyNumberFormat="1" applyFont="1" applyFill="1" applyBorder="1" applyAlignment="1">
      <alignment horizontal="center"/>
    </xf>
    <xf numFmtId="0" fontId="4" fillId="0" borderId="14" xfId="0" applyFont="1" applyBorder="1"/>
    <xf numFmtId="0" fontId="4" fillId="0" borderId="15" xfId="0" applyFont="1" applyBorder="1"/>
    <xf numFmtId="0" fontId="1" fillId="2" borderId="0" xfId="0" applyFont="1" applyFill="1"/>
    <xf numFmtId="4" fontId="5" fillId="3" borderId="0" xfId="0" applyNumberFormat="1" applyFont="1" applyFill="1" applyAlignment="1">
      <alignment horizontal="center"/>
    </xf>
    <xf numFmtId="0" fontId="8" fillId="0" borderId="1" xfId="0" applyFont="1" applyBorder="1" applyAlignment="1">
      <alignment horizontal="center" vertical="center" wrapText="1"/>
    </xf>
    <xf numFmtId="0" fontId="2" fillId="0" borderId="0" xfId="0" applyFont="1" applyAlignment="1">
      <alignment horizontal="left"/>
    </xf>
    <xf numFmtId="0" fontId="2" fillId="0" borderId="1" xfId="0" applyFont="1" applyBorder="1" applyAlignment="1">
      <alignment horizontal="center" vertical="center" wrapText="1"/>
    </xf>
    <xf numFmtId="0" fontId="2" fillId="2" borderId="10" xfId="0" applyFont="1" applyFill="1" applyBorder="1" applyAlignment="1">
      <alignment horizontal="center"/>
    </xf>
    <xf numFmtId="0" fontId="4" fillId="0" borderId="12" xfId="0" applyFont="1" applyBorder="1"/>
    <xf numFmtId="164" fontId="2" fillId="2" borderId="10" xfId="0" applyNumberFormat="1" applyFont="1" applyFill="1" applyBorder="1" applyAlignment="1">
      <alignment horizontal="center"/>
    </xf>
    <xf numFmtId="0" fontId="10" fillId="0" borderId="0" xfId="0" applyFont="1" applyAlignment="1">
      <alignment horizontal="center" vertical="center"/>
    </xf>
    <xf numFmtId="164" fontId="20" fillId="202" borderId="31" xfId="0" applyNumberFormat="1" applyFont="1" applyFill="1" applyBorder="1" applyAlignment="1">
      <alignment horizontal="center" vertical="center"/>
    </xf>
    <xf numFmtId="0" fontId="4" fillId="0" borderId="31" xfId="0" applyFont="1" applyBorder="1"/>
    <xf numFmtId="0" fontId="4" fillId="0" borderId="37" xfId="0" applyFont="1" applyBorder="1"/>
    <xf numFmtId="0" fontId="4" fillId="0" borderId="26" xfId="0" applyFont="1" applyBorder="1"/>
    <xf numFmtId="0" fontId="10" fillId="0" borderId="0" xfId="0" applyFont="1"/>
    <xf numFmtId="164" fontId="18" fillId="0" borderId="31" xfId="0" applyNumberFormat="1" applyFont="1" applyBorder="1" applyAlignment="1">
      <alignment horizontal="center" vertical="center"/>
    </xf>
    <xf numFmtId="164" fontId="17" fillId="201" borderId="27" xfId="0" applyNumberFormat="1" applyFont="1" applyFill="1" applyBorder="1" applyAlignment="1">
      <alignment horizontal="center" vertical="center" wrapText="1"/>
    </xf>
    <xf numFmtId="164" fontId="17" fillId="201" borderId="31" xfId="0" applyNumberFormat="1" applyFont="1" applyFill="1" applyBorder="1" applyAlignment="1">
      <alignment horizontal="center" vertical="center" wrapText="1"/>
    </xf>
    <xf numFmtId="164" fontId="17" fillId="201" borderId="37" xfId="0" applyNumberFormat="1" applyFont="1" applyFill="1" applyBorder="1" applyAlignment="1">
      <alignment horizontal="center" vertical="center" wrapText="1"/>
    </xf>
    <xf numFmtId="164" fontId="10" fillId="0" borderId="0" xfId="0" applyNumberFormat="1" applyFont="1" applyAlignment="1">
      <alignment horizontal="center"/>
    </xf>
    <xf numFmtId="0" fontId="17" fillId="0" borderId="27" xfId="0" applyFont="1" applyBorder="1" applyAlignment="1">
      <alignment horizontal="left" vertical="center" wrapText="1"/>
    </xf>
    <xf numFmtId="0" fontId="17" fillId="0" borderId="27" xfId="0" applyFont="1" applyBorder="1" applyAlignment="1">
      <alignment horizontal="center" vertical="center" wrapText="1"/>
    </xf>
    <xf numFmtId="0" fontId="17" fillId="0" borderId="0" xfId="0" applyFont="1" applyAlignment="1">
      <alignment wrapText="1"/>
    </xf>
    <xf numFmtId="0" fontId="22" fillId="201" borderId="0" xfId="0" applyFont="1" applyFill="1" applyAlignment="1">
      <alignment vertical="top" wrapText="1"/>
    </xf>
    <xf numFmtId="0" fontId="10" fillId="0" borderId="27" xfId="0" applyFont="1" applyBorder="1" applyAlignment="1">
      <alignment horizontal="center" vertical="center" wrapText="1"/>
    </xf>
    <xf numFmtId="0" fontId="10" fillId="12" borderId="13" xfId="0" applyFont="1" applyFill="1" applyBorder="1" applyAlignment="1">
      <alignment horizontal="center"/>
    </xf>
    <xf numFmtId="0" fontId="2" fillId="2" borderId="46" xfId="0" applyFont="1" applyFill="1" applyBorder="1" applyAlignment="1">
      <alignment horizontal="center" vertical="center"/>
    </xf>
    <xf numFmtId="0" fontId="4" fillId="0" borderId="19" xfId="0" applyFont="1" applyBorder="1"/>
    <xf numFmtId="0" fontId="2" fillId="2" borderId="47" xfId="0" applyFont="1" applyFill="1" applyBorder="1" applyAlignment="1">
      <alignment horizontal="center" vertical="center"/>
    </xf>
    <xf numFmtId="0" fontId="4" fillId="0" borderId="17" xfId="0" applyFont="1" applyBorder="1"/>
    <xf numFmtId="0" fontId="2" fillId="2" borderId="48" xfId="0" applyFont="1" applyFill="1" applyBorder="1" applyAlignment="1">
      <alignment horizontal="center" vertical="center"/>
    </xf>
    <xf numFmtId="0" fontId="17" fillId="0" borderId="0" xfId="0" applyFont="1" applyAlignment="1">
      <alignment horizontal="center" vertical="center" wrapText="1"/>
    </xf>
    <xf numFmtId="0" fontId="6" fillId="201" borderId="0" xfId="0" applyFont="1" applyFill="1" applyAlignment="1">
      <alignment vertical="top" wrapText="1"/>
    </xf>
    <xf numFmtId="0" fontId="21" fillId="205" borderId="0" xfId="0" applyFont="1" applyFill="1" applyAlignment="1">
      <alignment vertical="top"/>
    </xf>
    <xf numFmtId="0" fontId="10" fillId="0" borderId="0" xfId="0" applyFont="1" applyAlignment="1">
      <alignment horizontal="left" vertical="center" wrapText="1"/>
    </xf>
    <xf numFmtId="0" fontId="23" fillId="201" borderId="0" xfId="0" applyFont="1" applyFill="1" applyAlignment="1">
      <alignment horizontal="center" vertical="center" wrapText="1"/>
    </xf>
    <xf numFmtId="0" fontId="25" fillId="201" borderId="0" xfId="0" applyFont="1" applyFill="1"/>
    <xf numFmtId="0" fontId="26" fillId="201" borderId="0" xfId="0" applyFont="1" applyFill="1" applyAlignment="1">
      <alignment horizontal="center" vertical="center"/>
    </xf>
    <xf numFmtId="0" fontId="17" fillId="201" borderId="0" xfId="0" applyFont="1" applyFill="1" applyAlignment="1">
      <alignment horizontal="center"/>
    </xf>
    <xf numFmtId="0" fontId="31" fillId="201" borderId="0" xfId="0" applyFont="1" applyFill="1" applyAlignment="1">
      <alignment horizontal="center" vertical="center"/>
    </xf>
    <xf numFmtId="0" fontId="32" fillId="206" borderId="27" xfId="0" applyFont="1" applyFill="1" applyBorder="1" applyAlignment="1">
      <alignment horizontal="center" vertical="center"/>
    </xf>
    <xf numFmtId="0" fontId="6" fillId="203" borderId="61" xfId="0" applyFont="1" applyFill="1" applyBorder="1" applyAlignment="1">
      <alignment horizontal="center"/>
    </xf>
    <xf numFmtId="0" fontId="4" fillId="0" borderId="62" xfId="0" applyFont="1" applyBorder="1"/>
    <xf numFmtId="0" fontId="6" fillId="203" borderId="64" xfId="0" applyFont="1" applyFill="1" applyBorder="1" applyAlignment="1">
      <alignment horizontal="center"/>
    </xf>
    <xf numFmtId="0" fontId="4" fillId="0" borderId="65" xfId="0" applyFont="1" applyBorder="1"/>
    <xf numFmtId="1" fontId="6" fillId="202" borderId="0" xfId="0" applyNumberFormat="1" applyFont="1" applyFill="1" applyAlignment="1">
      <alignment vertical="center" wrapText="1"/>
    </xf>
    <xf numFmtId="1" fontId="10" fillId="203" borderId="0" xfId="0" applyNumberFormat="1" applyFont="1" applyFill="1" applyAlignment="1">
      <alignment vertical="center" wrapText="1"/>
    </xf>
    <xf numFmtId="1" fontId="6" fillId="203" borderId="0" xfId="0" applyNumberFormat="1" applyFont="1" applyFill="1" applyAlignment="1">
      <alignment vertical="center" wrapText="1"/>
    </xf>
    <xf numFmtId="0" fontId="43" fillId="0" borderId="0" xfId="1"/>
    <xf numFmtId="0" fontId="4" fillId="0" borderId="0" xfId="1" applyFont="1"/>
    <xf numFmtId="0" fontId="4" fillId="13" borderId="0" xfId="1" applyFont="1" applyFill="1"/>
    <xf numFmtId="0" fontId="44" fillId="0" borderId="0" xfId="1" applyFont="1"/>
    <xf numFmtId="0" fontId="4" fillId="0" borderId="0" xfId="1" applyFont="1" applyAlignment="1">
      <alignment horizontal="center"/>
    </xf>
    <xf numFmtId="0" fontId="61" fillId="0" borderId="0" xfId="1" applyFont="1" applyAlignment="1">
      <alignment horizontal="center"/>
    </xf>
    <xf numFmtId="0" fontId="44" fillId="0" borderId="0" xfId="1" applyFont="1" applyAlignment="1">
      <alignment horizontal="center"/>
    </xf>
    <xf numFmtId="0" fontId="62" fillId="0" borderId="0" xfId="1" applyFont="1" applyAlignment="1">
      <alignment horizontal="center" vertical="center"/>
    </xf>
    <xf numFmtId="0" fontId="62" fillId="0" borderId="0" xfId="1" applyFont="1" applyAlignment="1">
      <alignment horizontal="center"/>
    </xf>
    <xf numFmtId="0" fontId="63" fillId="0" borderId="0" xfId="1" applyFont="1" applyAlignment="1">
      <alignment horizontal="center"/>
    </xf>
    <xf numFmtId="0" fontId="64" fillId="0" borderId="0" xfId="1" applyFont="1" applyAlignment="1">
      <alignment horizontal="center"/>
    </xf>
    <xf numFmtId="0" fontId="62" fillId="13" borderId="0" xfId="1" applyFont="1" applyFill="1" applyAlignment="1">
      <alignment horizontal="center"/>
    </xf>
    <xf numFmtId="0" fontId="65" fillId="0" borderId="0" xfId="1" applyFont="1" applyAlignment="1">
      <alignment horizontal="center"/>
    </xf>
    <xf numFmtId="0" fontId="4" fillId="203" borderId="0" xfId="1" applyFont="1" applyFill="1" applyAlignment="1">
      <alignment horizontal="center"/>
    </xf>
    <xf numFmtId="0" fontId="44" fillId="203" borderId="0" xfId="1" applyFont="1" applyFill="1" applyAlignment="1">
      <alignment horizontal="center"/>
    </xf>
    <xf numFmtId="0" fontId="66" fillId="0" borderId="0" xfId="1" applyFont="1" applyAlignment="1">
      <alignment horizontal="center"/>
    </xf>
    <xf numFmtId="0" fontId="4" fillId="0" borderId="0" xfId="1" applyFont="1" applyAlignment="1">
      <alignment horizontal="left"/>
    </xf>
    <xf numFmtId="0" fontId="65" fillId="13" borderId="0" xfId="1" applyFont="1" applyFill="1" applyAlignment="1">
      <alignment horizontal="center"/>
    </xf>
    <xf numFmtId="0" fontId="66" fillId="13" borderId="0" xfId="1" applyFont="1" applyFill="1" applyAlignment="1">
      <alignment horizontal="center"/>
    </xf>
    <xf numFmtId="0" fontId="11" fillId="203" borderId="0" xfId="1" applyFont="1" applyFill="1" applyAlignment="1">
      <alignment horizontal="center"/>
    </xf>
    <xf numFmtId="0" fontId="61" fillId="13" borderId="0" xfId="1" applyFont="1" applyFill="1" applyAlignment="1">
      <alignment horizontal="center"/>
    </xf>
    <xf numFmtId="0" fontId="63" fillId="13" borderId="0" xfId="1" applyFont="1" applyFill="1" applyAlignment="1">
      <alignment horizontal="center"/>
    </xf>
    <xf numFmtId="0" fontId="1" fillId="203" borderId="0" xfId="1" applyFont="1" applyFill="1" applyAlignment="1">
      <alignment horizontal="center"/>
    </xf>
    <xf numFmtId="0" fontId="4" fillId="203" borderId="0" xfId="1" applyFont="1" applyFill="1" applyAlignment="1">
      <alignment horizontal="left"/>
    </xf>
    <xf numFmtId="0" fontId="44" fillId="13" borderId="0" xfId="1" applyFont="1" applyFill="1" applyAlignment="1">
      <alignment horizontal="center"/>
    </xf>
    <xf numFmtId="0" fontId="67" fillId="0" borderId="0" xfId="1" applyFont="1" applyAlignment="1">
      <alignment horizontal="center"/>
    </xf>
    <xf numFmtId="0" fontId="68" fillId="0" borderId="0" xfId="1" applyFont="1" applyAlignment="1">
      <alignment horizontal="center"/>
    </xf>
    <xf numFmtId="0" fontId="69" fillId="0" borderId="0" xfId="1" applyFont="1" applyAlignment="1">
      <alignment horizontal="center"/>
    </xf>
    <xf numFmtId="0" fontId="70" fillId="0" borderId="0" xfId="1" applyFont="1" applyAlignment="1">
      <alignment horizontal="center"/>
    </xf>
    <xf numFmtId="0" fontId="71" fillId="0" borderId="0" xfId="1" applyFont="1" applyAlignment="1">
      <alignment horizontal="center"/>
    </xf>
    <xf numFmtId="0" fontId="44" fillId="202" borderId="0" xfId="1" applyFont="1" applyFill="1" applyAlignment="1">
      <alignment horizontal="center"/>
    </xf>
    <xf numFmtId="0" fontId="72" fillId="0" borderId="0" xfId="1" applyFont="1" applyAlignment="1">
      <alignment horizontal="center"/>
    </xf>
    <xf numFmtId="0" fontId="73" fillId="13" borderId="0" xfId="1" applyFont="1" applyFill="1" applyAlignment="1">
      <alignment horizontal="center"/>
    </xf>
    <xf numFmtId="0" fontId="4" fillId="202" borderId="0" xfId="1" applyFont="1" applyFill="1"/>
    <xf numFmtId="0" fontId="11" fillId="202" borderId="0" xfId="1" applyFont="1" applyFill="1" applyAlignment="1">
      <alignment horizontal="center"/>
    </xf>
    <xf numFmtId="0" fontId="74" fillId="0" borderId="0" xfId="1" applyFont="1" applyAlignment="1">
      <alignment horizontal="center"/>
    </xf>
    <xf numFmtId="0" fontId="4" fillId="202" borderId="0" xfId="1" applyFont="1" applyFill="1" applyAlignment="1">
      <alignment horizontal="center"/>
    </xf>
    <xf numFmtId="0" fontId="75" fillId="0" borderId="0" xfId="1" applyFont="1" applyAlignment="1">
      <alignment horizontal="center"/>
    </xf>
    <xf numFmtId="0" fontId="43" fillId="13" borderId="0" xfId="1" applyFill="1" applyAlignment="1">
      <alignment horizontal="left"/>
    </xf>
    <xf numFmtId="0" fontId="44" fillId="203" borderId="0" xfId="1" applyFont="1" applyFill="1" applyAlignment="1">
      <alignment horizontal="left"/>
    </xf>
    <xf numFmtId="0" fontId="61" fillId="0" borderId="0" xfId="1" applyFont="1" applyAlignment="1">
      <alignment horizontal="left"/>
    </xf>
    <xf numFmtId="0" fontId="63" fillId="0" borderId="0" xfId="1" applyFont="1" applyAlignment="1">
      <alignment horizontal="left"/>
    </xf>
    <xf numFmtId="0" fontId="76" fillId="0" borderId="0" xfId="1" applyFont="1" applyAlignment="1">
      <alignment horizontal="left"/>
    </xf>
  </cellXfs>
  <cellStyles count="2">
    <cellStyle name="Normal" xfId="0" builtinId="0"/>
    <cellStyle name="Normal 2" xfId="1" xr:uid="{381BC9BA-D11F-4AF8-A0BB-B539113637A4}"/>
  </cellStyles>
  <dxfs count="73">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F3F3F3"/>
          <bgColor rgb="FFF3F3F3"/>
        </patternFill>
      </fill>
    </dxf>
    <dxf>
      <fill>
        <patternFill patternType="solid">
          <fgColor rgb="FFD9D9D9"/>
          <bgColor rgb="FFD9D9D9"/>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B7E1CD"/>
          <bgColor rgb="FFB7E1CD"/>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D9D9D9"/>
          <bgColor rgb="FFD9D9D9"/>
        </patternFill>
      </fill>
    </dxf>
    <dxf>
      <fill>
        <patternFill patternType="solid">
          <fgColor rgb="FFEFEFEF"/>
          <bgColor rgb="FFEFEFEF"/>
        </patternFill>
      </fill>
    </dxf>
    <dxf>
      <fill>
        <patternFill patternType="solid">
          <fgColor rgb="FFEFEFEF"/>
          <bgColor rgb="FFEFEFEF"/>
        </patternFill>
      </fill>
    </dxf>
    <dxf>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4.jpg"/></Relationships>
</file>

<file path=xl/drawings/_rels/drawing5.xml.rels><?xml version="1.0" encoding="UTF-8" standalone="yes"?>
<Relationships xmlns="http://schemas.openxmlformats.org/package/2006/relationships"><Relationship Id="rId1" Type="http://schemas.openxmlformats.org/officeDocument/2006/relationships/image" Target="../media/image25.jpg"/></Relationships>
</file>

<file path=xl/drawings/_rels/drawing6.xml.rels><?xml version="1.0" encoding="UTF-8" standalone="yes"?>
<Relationships xmlns="http://schemas.openxmlformats.org/package/2006/relationships"><Relationship Id="rId1" Type="http://schemas.openxmlformats.org/officeDocument/2006/relationships/image" Target="../media/image26.jpg"/></Relationships>
</file>

<file path=xl/drawings/_rels/drawing7.xml.rels><?xml version="1.0" encoding="UTF-8" standalone="yes"?>
<Relationships xmlns="http://schemas.openxmlformats.org/package/2006/relationships"><Relationship Id="rId3" Type="http://schemas.openxmlformats.org/officeDocument/2006/relationships/image" Target="../media/image29.jpg"/><Relationship Id="rId2" Type="http://schemas.openxmlformats.org/officeDocument/2006/relationships/image" Target="../media/image28.png"/><Relationship Id="rId1" Type="http://schemas.openxmlformats.org/officeDocument/2006/relationships/image" Target="../media/image27.jpg"/></Relationships>
</file>

<file path=xl/drawings/_rels/drawing8.xml.rels><?xml version="1.0" encoding="UTF-8" standalone="yes"?>
<Relationships xmlns="http://schemas.openxmlformats.org/package/2006/relationships"><Relationship Id="rId1" Type="http://schemas.openxmlformats.org/officeDocument/2006/relationships/image" Target="../media/image30.jpg"/></Relationships>
</file>

<file path=xl/drawings/_rels/drawing9.xml.rels><?xml version="1.0" encoding="UTF-8" standalone="yes"?>
<Relationships xmlns="http://schemas.openxmlformats.org/package/2006/relationships"><Relationship Id="rId1" Type="http://schemas.openxmlformats.org/officeDocument/2006/relationships/image" Target="../media/image31.jpg"/></Relationships>
</file>

<file path=xl/drawings/_rels/drawing10.xml.rels><?xml version="1.0" encoding="UTF-8" standalone="yes"?>
<Relationships xmlns="http://schemas.openxmlformats.org/package/2006/relationships"><Relationship Id="rId3" Type="http://schemas.openxmlformats.org/officeDocument/2006/relationships/image" Target="../media/image34.jpg"/><Relationship Id="rId2" Type="http://schemas.openxmlformats.org/officeDocument/2006/relationships/image" Target="../media/image33.png"/><Relationship Id="rId1" Type="http://schemas.openxmlformats.org/officeDocument/2006/relationships/image" Target="../media/image32.jpg"/><Relationship Id="rId4" Type="http://schemas.openxmlformats.org/officeDocument/2006/relationships/image" Target="../media/image35.jpg"/></Relationships>
</file>

<file path=xl/drawings/_rels/drawing11.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jpg"/><Relationship Id="rId1" Type="http://schemas.openxmlformats.org/officeDocument/2006/relationships/image" Target="../media/image36.jpg"/></Relationships>
</file>

<file path=xl/drawings/_rels/drawing12.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jpg"/><Relationship Id="rId1" Type="http://schemas.openxmlformats.org/officeDocument/2006/relationships/image" Target="../media/image39.jpg"/></Relationships>
</file>

<file path=xl/drawings/_rels/drawing13.xml.rels><?xml version="1.0" encoding="UTF-8" standalone="yes"?>
<Relationships xmlns="http://schemas.openxmlformats.org/package/2006/relationships"><Relationship Id="rId1" Type="http://schemas.openxmlformats.org/officeDocument/2006/relationships/image" Target="../media/image42.jpg"/></Relationships>
</file>

<file path=xl/drawings/_rels/drawing14.xml.rels><?xml version="1.0" encoding="UTF-8" standalone="yes"?>
<Relationships xmlns="http://schemas.openxmlformats.org/package/2006/relationships"><Relationship Id="rId2" Type="http://schemas.openxmlformats.org/officeDocument/2006/relationships/image" Target="../media/image44.jpg"/><Relationship Id="rId1" Type="http://schemas.openxmlformats.org/officeDocument/2006/relationships/image" Target="../media/image43.jpg"/></Relationships>
</file>

<file path=xl/drawings/_rels/drawing15.xml.rels><?xml version="1.0" encoding="UTF-8" standalone="yes"?>
<Relationships xmlns="http://schemas.openxmlformats.org/package/2006/relationships"><Relationship Id="rId1" Type="http://schemas.openxmlformats.org/officeDocument/2006/relationships/image" Target="../media/image45.jpg"/></Relationships>
</file>

<file path=xl/drawings/_rels/drawing16.xml.rels><?xml version="1.0" encoding="UTF-8" standalone="yes"?>
<Relationships xmlns="http://schemas.openxmlformats.org/package/2006/relationships"><Relationship Id="rId1" Type="http://schemas.openxmlformats.org/officeDocument/2006/relationships/image" Target="../media/image25.jpg"/></Relationships>
</file>

<file path=xl/drawings/_rels/drawing17.xml.rels><?xml version="1.0" encoding="UTF-8" standalone="yes"?>
<Relationships xmlns="http://schemas.openxmlformats.org/package/2006/relationships"><Relationship Id="rId2" Type="http://schemas.openxmlformats.org/officeDocument/2006/relationships/image" Target="../media/image30.jpg"/><Relationship Id="rId1" Type="http://schemas.openxmlformats.org/officeDocument/2006/relationships/image" Target="../media/image3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6.jpg"/></Relationships>
</file>

<file path=xl/drawings/_rels/drawing19.xml.rels><?xml version="1.0" encoding="UTF-8" standalone="yes"?>
<Relationships xmlns="http://schemas.openxmlformats.org/package/2006/relationships"><Relationship Id="rId8" Type="http://schemas.openxmlformats.org/officeDocument/2006/relationships/image" Target="../media/image52.jpg"/><Relationship Id="rId3" Type="http://schemas.openxmlformats.org/officeDocument/2006/relationships/image" Target="../media/image49.jpg"/><Relationship Id="rId7" Type="http://schemas.openxmlformats.org/officeDocument/2006/relationships/image" Target="../media/image51.jpg"/><Relationship Id="rId2" Type="http://schemas.openxmlformats.org/officeDocument/2006/relationships/image" Target="../media/image48.jpg"/><Relationship Id="rId1" Type="http://schemas.openxmlformats.org/officeDocument/2006/relationships/image" Target="../media/image47.jpg"/><Relationship Id="rId6" Type="http://schemas.openxmlformats.org/officeDocument/2006/relationships/image" Target="../media/image38.png"/><Relationship Id="rId5" Type="http://schemas.openxmlformats.org/officeDocument/2006/relationships/image" Target="../media/image36.jpg"/><Relationship Id="rId4" Type="http://schemas.openxmlformats.org/officeDocument/2006/relationships/image" Target="../media/image50.jpg"/></Relationships>
</file>

<file path=xl/drawings/_rels/drawing20.xml.rels><?xml version="1.0" encoding="UTF-8" standalone="yes"?>
<Relationships xmlns="http://schemas.openxmlformats.org/package/2006/relationships"><Relationship Id="rId3" Type="http://schemas.openxmlformats.org/officeDocument/2006/relationships/image" Target="../media/image54.jpg"/><Relationship Id="rId2" Type="http://schemas.openxmlformats.org/officeDocument/2006/relationships/image" Target="../media/image53.jpg"/><Relationship Id="rId1" Type="http://schemas.openxmlformats.org/officeDocument/2006/relationships/image" Target="../media/image40.jpg"/></Relationships>
</file>

<file path=xl/drawings/_rels/drawing21.xml.rels><?xml version="1.0" encoding="UTF-8" standalone="yes"?>
<Relationships xmlns="http://schemas.openxmlformats.org/package/2006/relationships"><Relationship Id="rId2" Type="http://schemas.openxmlformats.org/officeDocument/2006/relationships/image" Target="../media/image56.jpg"/><Relationship Id="rId1" Type="http://schemas.openxmlformats.org/officeDocument/2006/relationships/image" Target="../media/image55.jpg"/></Relationships>
</file>

<file path=xl/drawings/_rels/drawing22.xml.rels><?xml version="1.0" encoding="UTF-8" standalone="yes"?>
<Relationships xmlns="http://schemas.openxmlformats.org/package/2006/relationships"><Relationship Id="rId1" Type="http://schemas.openxmlformats.org/officeDocument/2006/relationships/image" Target="../media/image57.jpg"/></Relationships>
</file>

<file path=xl/drawings/_rels/drawing23.xml.rels><?xml version="1.0" encoding="UTF-8" standalone="yes"?>
<Relationships xmlns="http://schemas.openxmlformats.org/package/2006/relationships"><Relationship Id="rId2" Type="http://schemas.openxmlformats.org/officeDocument/2006/relationships/image" Target="../media/image58.jpg"/><Relationship Id="rId1" Type="http://schemas.openxmlformats.org/officeDocument/2006/relationships/image" Target="../media/image24.jpg"/></Relationships>
</file>

<file path=xl/drawings/_rels/drawing24.xml.rels><?xml version="1.0" encoding="UTF-8" standalone="yes"?>
<Relationships xmlns="http://schemas.openxmlformats.org/package/2006/relationships"><Relationship Id="rId3" Type="http://schemas.openxmlformats.org/officeDocument/2006/relationships/image" Target="../media/image60.jpg"/><Relationship Id="rId2" Type="http://schemas.openxmlformats.org/officeDocument/2006/relationships/image" Target="../media/image26.jpg"/><Relationship Id="rId1" Type="http://schemas.openxmlformats.org/officeDocument/2006/relationships/image" Target="../media/image59.jpg"/><Relationship Id="rId4" Type="http://schemas.openxmlformats.org/officeDocument/2006/relationships/image" Target="../media/image61.jpg"/></Relationships>
</file>

<file path=xl/drawings/_rels/drawing25.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62.jpg"/></Relationships>
</file>

<file path=xl/drawings/_rels/drawing26.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9.jpg"/><Relationship Id="rId1" Type="http://schemas.openxmlformats.org/officeDocument/2006/relationships/image" Target="../media/image27.jpg"/><Relationship Id="rId5" Type="http://schemas.openxmlformats.org/officeDocument/2006/relationships/image" Target="../media/image64.jpg"/><Relationship Id="rId4" Type="http://schemas.openxmlformats.org/officeDocument/2006/relationships/image" Target="../media/image63.jpg"/></Relationships>
</file>

<file path=xl/drawings/drawing1.xml><?xml version="1.0" encoding="utf-8"?>
<xdr:wsDr xmlns:xdr="http://schemas.openxmlformats.org/drawingml/2006/spreadsheetDrawing" xmlns:a="http://schemas.openxmlformats.org/drawingml/2006/main">
  <xdr:oneCellAnchor>
    <xdr:from>
      <xdr:col>0</xdr:col>
      <xdr:colOff>0</xdr:colOff>
      <xdr:row>11</xdr:row>
      <xdr:rowOff>0</xdr:rowOff>
    </xdr:from>
    <xdr:ext cx="5010150" cy="5324475"/>
    <xdr:pic>
      <xdr:nvPicPr>
        <xdr:cNvPr id="2" name="image33.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69</xdr:row>
      <xdr:rowOff>0</xdr:rowOff>
    </xdr:from>
    <xdr:ext cx="5143500" cy="5448300"/>
    <xdr:pic>
      <xdr:nvPicPr>
        <xdr:cNvPr id="3" name="image2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69</xdr:row>
      <xdr:rowOff>0</xdr:rowOff>
    </xdr:from>
    <xdr:ext cx="5038725" cy="5286375"/>
    <xdr:pic>
      <xdr:nvPicPr>
        <xdr:cNvPr id="4" name="image11.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100</xdr:row>
      <xdr:rowOff>0</xdr:rowOff>
    </xdr:from>
    <xdr:ext cx="5076825" cy="5305425"/>
    <xdr:pic>
      <xdr:nvPicPr>
        <xdr:cNvPr id="5" name="image4.png" title="Imag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0</xdr:colOff>
      <xdr:row>100</xdr:row>
      <xdr:rowOff>0</xdr:rowOff>
    </xdr:from>
    <xdr:ext cx="5067300" cy="5343525"/>
    <xdr:pic>
      <xdr:nvPicPr>
        <xdr:cNvPr id="6" name="image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131</xdr:row>
      <xdr:rowOff>0</xdr:rowOff>
    </xdr:from>
    <xdr:ext cx="5000625" cy="5324475"/>
    <xdr:pic>
      <xdr:nvPicPr>
        <xdr:cNvPr id="7" name="image23.png" title="Image">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0</xdr:colOff>
      <xdr:row>131</xdr:row>
      <xdr:rowOff>0</xdr:rowOff>
    </xdr:from>
    <xdr:ext cx="5029200" cy="5295900"/>
    <xdr:pic>
      <xdr:nvPicPr>
        <xdr:cNvPr id="8" name="image14.png" title="Image">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188</xdr:row>
      <xdr:rowOff>0</xdr:rowOff>
    </xdr:from>
    <xdr:ext cx="5010150" cy="5286375"/>
    <xdr:pic>
      <xdr:nvPicPr>
        <xdr:cNvPr id="9" name="image9.png" title="Image">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218</xdr:row>
      <xdr:rowOff>0</xdr:rowOff>
    </xdr:from>
    <xdr:ext cx="5019675" cy="5353050"/>
    <xdr:pic>
      <xdr:nvPicPr>
        <xdr:cNvPr id="10" name="image30.png" title="Image">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249</xdr:row>
      <xdr:rowOff>0</xdr:rowOff>
    </xdr:from>
    <xdr:ext cx="4981575" cy="5343525"/>
    <xdr:pic>
      <xdr:nvPicPr>
        <xdr:cNvPr id="11" name="image2.png" title="Image">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7</xdr:col>
      <xdr:colOff>0</xdr:colOff>
      <xdr:row>188</xdr:row>
      <xdr:rowOff>0</xdr:rowOff>
    </xdr:from>
    <xdr:ext cx="4943475" cy="5334000"/>
    <xdr:pic>
      <xdr:nvPicPr>
        <xdr:cNvPr id="12" name="image21.png" title="Image">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7</xdr:col>
      <xdr:colOff>0</xdr:colOff>
      <xdr:row>218</xdr:row>
      <xdr:rowOff>0</xdr:rowOff>
    </xdr:from>
    <xdr:ext cx="5057775" cy="5210175"/>
    <xdr:pic>
      <xdr:nvPicPr>
        <xdr:cNvPr id="13" name="image10.png" title="Image">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7</xdr:col>
      <xdr:colOff>0</xdr:colOff>
      <xdr:row>249</xdr:row>
      <xdr:rowOff>0</xdr:rowOff>
    </xdr:from>
    <xdr:ext cx="5000625" cy="5219700"/>
    <xdr:pic>
      <xdr:nvPicPr>
        <xdr:cNvPr id="14" name="image7.png" title="Image">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279</xdr:row>
      <xdr:rowOff>0</xdr:rowOff>
    </xdr:from>
    <xdr:ext cx="4933950" cy="5286375"/>
    <xdr:pic>
      <xdr:nvPicPr>
        <xdr:cNvPr id="15" name="image3.png" title="Image">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7</xdr:col>
      <xdr:colOff>0</xdr:colOff>
      <xdr:row>279</xdr:row>
      <xdr:rowOff>0</xdr:rowOff>
    </xdr:from>
    <xdr:ext cx="5010150" cy="5295900"/>
    <xdr:pic>
      <xdr:nvPicPr>
        <xdr:cNvPr id="16" name="image12.png" title="Image">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160</xdr:row>
      <xdr:rowOff>200025</xdr:rowOff>
    </xdr:from>
    <xdr:ext cx="4467225" cy="4448175"/>
    <xdr:pic>
      <xdr:nvPicPr>
        <xdr:cNvPr id="17" name="image19.png" title="Image">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12</xdr:col>
      <xdr:colOff>962025</xdr:colOff>
      <xdr:row>187</xdr:row>
      <xdr:rowOff>200025</xdr:rowOff>
    </xdr:from>
    <xdr:ext cx="4019550" cy="5038725"/>
    <xdr:pic>
      <xdr:nvPicPr>
        <xdr:cNvPr id="18" name="image28.png" title="Image">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0</xdr:col>
      <xdr:colOff>0</xdr:colOff>
      <xdr:row>40</xdr:row>
      <xdr:rowOff>190500</xdr:rowOff>
    </xdr:from>
    <xdr:ext cx="5200650" cy="5267325"/>
    <xdr:pic>
      <xdr:nvPicPr>
        <xdr:cNvPr id="19" name="image6.png" title="Image">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5</xdr:col>
      <xdr:colOff>666750</xdr:colOff>
      <xdr:row>12</xdr:row>
      <xdr:rowOff>85725</xdr:rowOff>
    </xdr:from>
    <xdr:ext cx="5991225" cy="4895850"/>
    <xdr:pic>
      <xdr:nvPicPr>
        <xdr:cNvPr id="20" name="image13.png" title="Image">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12</xdr:col>
      <xdr:colOff>962025</xdr:colOff>
      <xdr:row>12</xdr:row>
      <xdr:rowOff>19050</xdr:rowOff>
    </xdr:from>
    <xdr:ext cx="6191250" cy="5038725"/>
    <xdr:pic>
      <xdr:nvPicPr>
        <xdr:cNvPr id="21" name="image8.png" title="Image">
          <a:extLst>
            <a:ext uri="{FF2B5EF4-FFF2-40B4-BE49-F238E27FC236}">
              <a16:creationId xmlns:a16="http://schemas.microsoft.com/office/drawing/2014/main" id="{00000000-0008-0000-02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6</xdr:col>
      <xdr:colOff>28575</xdr:colOff>
      <xdr:row>160</xdr:row>
      <xdr:rowOff>200025</xdr:rowOff>
    </xdr:from>
    <xdr:ext cx="6381750" cy="5038725"/>
    <xdr:pic>
      <xdr:nvPicPr>
        <xdr:cNvPr id="22" name="image16.png" title="Image">
          <a:extLst>
            <a:ext uri="{FF2B5EF4-FFF2-40B4-BE49-F238E27FC236}">
              <a16:creationId xmlns:a16="http://schemas.microsoft.com/office/drawing/2014/main" id="{00000000-0008-0000-02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10</xdr:row>
      <xdr:rowOff>0</xdr:rowOff>
    </xdr:from>
    <xdr:ext cx="7962900" cy="5343525"/>
    <xdr:pic>
      <xdr:nvPicPr>
        <xdr:cNvPr id="2" name="image5.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25</xdr:col>
      <xdr:colOff>0</xdr:colOff>
      <xdr:row>1</xdr:row>
      <xdr:rowOff>0</xdr:rowOff>
    </xdr:from>
    <xdr:ext cx="933450" cy="1714500"/>
    <xdr:pic>
      <xdr:nvPicPr>
        <xdr:cNvPr id="2" name="image3.png">
          <a:extLst>
            <a:ext uri="{FF2B5EF4-FFF2-40B4-BE49-F238E27FC236}">
              <a16:creationId xmlns:a16="http://schemas.microsoft.com/office/drawing/2014/main" id="{66DC69F0-7714-4128-890F-98D18B058BAD}"/>
            </a:ext>
          </a:extLst>
        </xdr:cNvPr>
        <xdr:cNvPicPr preferRelativeResize="0"/>
      </xdr:nvPicPr>
      <xdr:blipFill>
        <a:blip xmlns:r="http://schemas.openxmlformats.org/officeDocument/2006/relationships" r:embed="rId1" cstate="print"/>
        <a:stretch>
          <a:fillRect/>
        </a:stretch>
      </xdr:blipFill>
      <xdr:spPr>
        <a:xfrm>
          <a:off x="20955000" y="161925"/>
          <a:ext cx="933450" cy="17145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0</xdr:colOff>
      <xdr:row>1</xdr:row>
      <xdr:rowOff>0</xdr:rowOff>
    </xdr:from>
    <xdr:ext cx="1238250" cy="1743075"/>
    <xdr:pic>
      <xdr:nvPicPr>
        <xdr:cNvPr id="2" name="image4.jpg">
          <a:extLst>
            <a:ext uri="{FF2B5EF4-FFF2-40B4-BE49-F238E27FC236}">
              <a16:creationId xmlns:a16="http://schemas.microsoft.com/office/drawing/2014/main" id="{2CC0D584-54D1-4943-AC1F-E6563243256A}"/>
            </a:ext>
          </a:extLst>
        </xdr:cNvPr>
        <xdr:cNvPicPr preferRelativeResize="0"/>
      </xdr:nvPicPr>
      <xdr:blipFill>
        <a:blip xmlns:r="http://schemas.openxmlformats.org/officeDocument/2006/relationships" r:embed="rId1" cstate="print"/>
        <a:stretch>
          <a:fillRect/>
        </a:stretch>
      </xdr:blipFill>
      <xdr:spPr>
        <a:xfrm>
          <a:off x="4191000" y="161925"/>
          <a:ext cx="1238250" cy="174307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5</xdr:col>
      <xdr:colOff>0</xdr:colOff>
      <xdr:row>1</xdr:row>
      <xdr:rowOff>0</xdr:rowOff>
    </xdr:from>
    <xdr:ext cx="1028700" cy="1028700"/>
    <xdr:pic>
      <xdr:nvPicPr>
        <xdr:cNvPr id="2" name="image12.jpg">
          <a:extLst>
            <a:ext uri="{FF2B5EF4-FFF2-40B4-BE49-F238E27FC236}">
              <a16:creationId xmlns:a16="http://schemas.microsoft.com/office/drawing/2014/main" id="{06B2AC9F-C97D-41A4-AE2C-9923EBFFC426}"/>
            </a:ext>
          </a:extLst>
        </xdr:cNvPr>
        <xdr:cNvPicPr preferRelativeResize="0"/>
      </xdr:nvPicPr>
      <xdr:blipFill>
        <a:blip xmlns:r="http://schemas.openxmlformats.org/officeDocument/2006/relationships" r:embed="rId1" cstate="print"/>
        <a:stretch>
          <a:fillRect/>
        </a:stretch>
      </xdr:blipFill>
      <xdr:spPr>
        <a:xfrm>
          <a:off x="4191000" y="161925"/>
          <a:ext cx="1028700" cy="102870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0</xdr:colOff>
      <xdr:row>1</xdr:row>
      <xdr:rowOff>0</xdr:rowOff>
    </xdr:from>
    <xdr:ext cx="1228725" cy="1800225"/>
    <xdr:pic>
      <xdr:nvPicPr>
        <xdr:cNvPr id="2" name="image10.jpg">
          <a:extLst>
            <a:ext uri="{FF2B5EF4-FFF2-40B4-BE49-F238E27FC236}">
              <a16:creationId xmlns:a16="http://schemas.microsoft.com/office/drawing/2014/main" id="{94839BAA-18C6-4835-B054-7072F83FD836}"/>
            </a:ext>
          </a:extLst>
        </xdr:cNvPr>
        <xdr:cNvPicPr preferRelativeResize="0"/>
      </xdr:nvPicPr>
      <xdr:blipFill>
        <a:blip xmlns:r="http://schemas.openxmlformats.org/officeDocument/2006/relationships" r:embed="rId1" cstate="print"/>
        <a:stretch>
          <a:fillRect/>
        </a:stretch>
      </xdr:blipFill>
      <xdr:spPr>
        <a:xfrm>
          <a:off x="5867400" y="161925"/>
          <a:ext cx="1228725" cy="1800225"/>
        </a:xfrm>
        <a:prstGeom prst="rect">
          <a:avLst/>
        </a:prstGeom>
        <a:noFill/>
      </xdr:spPr>
    </xdr:pic>
    <xdr:clientData fLocksWithSheet="0"/>
  </xdr:oneCellAnchor>
  <xdr:oneCellAnchor>
    <xdr:from>
      <xdr:col>8</xdr:col>
      <xdr:colOff>0</xdr:colOff>
      <xdr:row>1</xdr:row>
      <xdr:rowOff>0</xdr:rowOff>
    </xdr:from>
    <xdr:ext cx="1228725" cy="1800225"/>
    <xdr:pic>
      <xdr:nvPicPr>
        <xdr:cNvPr id="3" name="image10.jpg">
          <a:extLst>
            <a:ext uri="{FF2B5EF4-FFF2-40B4-BE49-F238E27FC236}">
              <a16:creationId xmlns:a16="http://schemas.microsoft.com/office/drawing/2014/main" id="{57B181DA-F68B-4F3E-A94C-C317CD02F395}"/>
            </a:ext>
          </a:extLst>
        </xdr:cNvPr>
        <xdr:cNvPicPr preferRelativeResize="0"/>
      </xdr:nvPicPr>
      <xdr:blipFill>
        <a:blip xmlns:r="http://schemas.openxmlformats.org/officeDocument/2006/relationships" r:embed="rId1" cstate="print"/>
        <a:stretch>
          <a:fillRect/>
        </a:stretch>
      </xdr:blipFill>
      <xdr:spPr>
        <a:xfrm>
          <a:off x="6705600" y="161925"/>
          <a:ext cx="1228725" cy="1800225"/>
        </a:xfrm>
        <a:prstGeom prst="rect">
          <a:avLst/>
        </a:prstGeom>
        <a:noFill/>
      </xdr:spPr>
    </xdr:pic>
    <xdr:clientData fLocksWithSheet="0"/>
  </xdr:oneCellAnchor>
  <xdr:oneCellAnchor>
    <xdr:from>
      <xdr:col>9</xdr:col>
      <xdr:colOff>0</xdr:colOff>
      <xdr:row>1</xdr:row>
      <xdr:rowOff>0</xdr:rowOff>
    </xdr:from>
    <xdr:ext cx="1228725" cy="1800225"/>
    <xdr:pic>
      <xdr:nvPicPr>
        <xdr:cNvPr id="4" name="image10.jpg">
          <a:extLst>
            <a:ext uri="{FF2B5EF4-FFF2-40B4-BE49-F238E27FC236}">
              <a16:creationId xmlns:a16="http://schemas.microsoft.com/office/drawing/2014/main" id="{76086F0A-91B5-4E3F-A638-075A61E5F74D}"/>
            </a:ext>
          </a:extLst>
        </xdr:cNvPr>
        <xdr:cNvPicPr preferRelativeResize="0"/>
      </xdr:nvPicPr>
      <xdr:blipFill>
        <a:blip xmlns:r="http://schemas.openxmlformats.org/officeDocument/2006/relationships" r:embed="rId1" cstate="print"/>
        <a:stretch>
          <a:fillRect/>
        </a:stretch>
      </xdr:blipFill>
      <xdr:spPr>
        <a:xfrm>
          <a:off x="7543800" y="161925"/>
          <a:ext cx="1228725" cy="1800225"/>
        </a:xfrm>
        <a:prstGeom prst="rect">
          <a:avLst/>
        </a:prstGeom>
        <a:noFill/>
      </xdr:spPr>
    </xdr:pic>
    <xdr:clientData fLocksWithSheet="0"/>
  </xdr:oneCellAnchor>
  <xdr:oneCellAnchor>
    <xdr:from>
      <xdr:col>10</xdr:col>
      <xdr:colOff>0</xdr:colOff>
      <xdr:row>1</xdr:row>
      <xdr:rowOff>0</xdr:rowOff>
    </xdr:from>
    <xdr:ext cx="1228725" cy="1800225"/>
    <xdr:pic>
      <xdr:nvPicPr>
        <xdr:cNvPr id="5" name="image10.jpg">
          <a:extLst>
            <a:ext uri="{FF2B5EF4-FFF2-40B4-BE49-F238E27FC236}">
              <a16:creationId xmlns:a16="http://schemas.microsoft.com/office/drawing/2014/main" id="{B559AE24-B93E-48F6-9020-BC34880D019C}"/>
            </a:ext>
          </a:extLst>
        </xdr:cNvPr>
        <xdr:cNvPicPr preferRelativeResize="0"/>
      </xdr:nvPicPr>
      <xdr:blipFill>
        <a:blip xmlns:r="http://schemas.openxmlformats.org/officeDocument/2006/relationships" r:embed="rId1" cstate="print"/>
        <a:stretch>
          <a:fillRect/>
        </a:stretch>
      </xdr:blipFill>
      <xdr:spPr>
        <a:xfrm>
          <a:off x="8382000" y="161925"/>
          <a:ext cx="1228725" cy="180022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4</xdr:col>
      <xdr:colOff>0</xdr:colOff>
      <xdr:row>1</xdr:row>
      <xdr:rowOff>0</xdr:rowOff>
    </xdr:from>
    <xdr:ext cx="1276350" cy="1657350"/>
    <xdr:pic>
      <xdr:nvPicPr>
        <xdr:cNvPr id="2" name="image13.jpg">
          <a:extLst>
            <a:ext uri="{FF2B5EF4-FFF2-40B4-BE49-F238E27FC236}">
              <a16:creationId xmlns:a16="http://schemas.microsoft.com/office/drawing/2014/main" id="{8F3854E8-3739-406E-8ACA-5F0366CA1D42}"/>
            </a:ext>
          </a:extLst>
        </xdr:cNvPr>
        <xdr:cNvPicPr preferRelativeResize="0"/>
      </xdr:nvPicPr>
      <xdr:blipFill>
        <a:blip xmlns:r="http://schemas.openxmlformats.org/officeDocument/2006/relationships" r:embed="rId1" cstate="print"/>
        <a:stretch>
          <a:fillRect/>
        </a:stretch>
      </xdr:blipFill>
      <xdr:spPr>
        <a:xfrm>
          <a:off x="3352800" y="161925"/>
          <a:ext cx="1276350" cy="1657350"/>
        </a:xfrm>
        <a:prstGeom prst="rect">
          <a:avLst/>
        </a:prstGeom>
        <a:noFill/>
      </xdr:spPr>
    </xdr:pic>
    <xdr:clientData fLocksWithSheet="0"/>
  </xdr:oneCellAnchor>
  <xdr:oneCellAnchor>
    <xdr:from>
      <xdr:col>11</xdr:col>
      <xdr:colOff>0</xdr:colOff>
      <xdr:row>1</xdr:row>
      <xdr:rowOff>0</xdr:rowOff>
    </xdr:from>
    <xdr:ext cx="1276350" cy="323850"/>
    <xdr:pic>
      <xdr:nvPicPr>
        <xdr:cNvPr id="3" name="image5.png">
          <a:extLst>
            <a:ext uri="{FF2B5EF4-FFF2-40B4-BE49-F238E27FC236}">
              <a16:creationId xmlns:a16="http://schemas.microsoft.com/office/drawing/2014/main" id="{BC0CA265-7DDF-44C0-A1FF-172F30EDAA45}"/>
            </a:ext>
          </a:extLst>
        </xdr:cNvPr>
        <xdr:cNvPicPr preferRelativeResize="0"/>
      </xdr:nvPicPr>
      <xdr:blipFill>
        <a:blip xmlns:r="http://schemas.openxmlformats.org/officeDocument/2006/relationships" r:embed="rId2" cstate="print"/>
        <a:stretch>
          <a:fillRect/>
        </a:stretch>
      </xdr:blipFill>
      <xdr:spPr>
        <a:xfrm>
          <a:off x="9220200" y="161925"/>
          <a:ext cx="1276350" cy="323850"/>
        </a:xfrm>
        <a:prstGeom prst="rect">
          <a:avLst/>
        </a:prstGeom>
        <a:noFill/>
      </xdr:spPr>
    </xdr:pic>
    <xdr:clientData fLocksWithSheet="0"/>
  </xdr:oneCellAnchor>
  <xdr:oneCellAnchor>
    <xdr:from>
      <xdr:col>12</xdr:col>
      <xdr:colOff>0</xdr:colOff>
      <xdr:row>1</xdr:row>
      <xdr:rowOff>0</xdr:rowOff>
    </xdr:from>
    <xdr:ext cx="1276350" cy="1857375"/>
    <xdr:pic>
      <xdr:nvPicPr>
        <xdr:cNvPr id="4" name="image14.jpg">
          <a:extLst>
            <a:ext uri="{FF2B5EF4-FFF2-40B4-BE49-F238E27FC236}">
              <a16:creationId xmlns:a16="http://schemas.microsoft.com/office/drawing/2014/main" id="{AE48E9F8-90B3-478F-A00D-F47955E46CFB}"/>
            </a:ext>
          </a:extLst>
        </xdr:cNvPr>
        <xdr:cNvPicPr preferRelativeResize="0"/>
      </xdr:nvPicPr>
      <xdr:blipFill>
        <a:blip xmlns:r="http://schemas.openxmlformats.org/officeDocument/2006/relationships" r:embed="rId3" cstate="print"/>
        <a:stretch>
          <a:fillRect/>
        </a:stretch>
      </xdr:blipFill>
      <xdr:spPr>
        <a:xfrm>
          <a:off x="10058400" y="161925"/>
          <a:ext cx="1276350" cy="185737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4</xdr:col>
      <xdr:colOff>0</xdr:colOff>
      <xdr:row>1</xdr:row>
      <xdr:rowOff>0</xdr:rowOff>
    </xdr:from>
    <xdr:ext cx="1276350" cy="762000"/>
    <xdr:pic>
      <xdr:nvPicPr>
        <xdr:cNvPr id="2" name="image15.jpg">
          <a:extLst>
            <a:ext uri="{FF2B5EF4-FFF2-40B4-BE49-F238E27FC236}">
              <a16:creationId xmlns:a16="http://schemas.microsoft.com/office/drawing/2014/main" id="{631A3CE6-4DEC-4EF1-94C3-C0AD8B7FCA6A}"/>
            </a:ext>
          </a:extLst>
        </xdr:cNvPr>
        <xdr:cNvPicPr preferRelativeResize="0"/>
      </xdr:nvPicPr>
      <xdr:blipFill>
        <a:blip xmlns:r="http://schemas.openxmlformats.org/officeDocument/2006/relationships" r:embed="rId1" cstate="print"/>
        <a:stretch>
          <a:fillRect/>
        </a:stretch>
      </xdr:blipFill>
      <xdr:spPr>
        <a:xfrm>
          <a:off x="3352800" y="161925"/>
          <a:ext cx="1276350" cy="76200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12</xdr:col>
      <xdr:colOff>0</xdr:colOff>
      <xdr:row>1</xdr:row>
      <xdr:rowOff>0</xdr:rowOff>
    </xdr:from>
    <xdr:ext cx="1514475" cy="847725"/>
    <xdr:pic>
      <xdr:nvPicPr>
        <xdr:cNvPr id="2" name="image24.jpg">
          <a:extLst>
            <a:ext uri="{FF2B5EF4-FFF2-40B4-BE49-F238E27FC236}">
              <a16:creationId xmlns:a16="http://schemas.microsoft.com/office/drawing/2014/main" id="{F8D0BA9F-B7FD-456A-8000-5ED2CD1ACE0E}"/>
            </a:ext>
          </a:extLst>
        </xdr:cNvPr>
        <xdr:cNvPicPr preferRelativeResize="0"/>
      </xdr:nvPicPr>
      <xdr:blipFill>
        <a:blip xmlns:r="http://schemas.openxmlformats.org/officeDocument/2006/relationships" r:embed="rId1" cstate="print"/>
        <a:stretch>
          <a:fillRect/>
        </a:stretch>
      </xdr:blipFill>
      <xdr:spPr>
        <a:xfrm>
          <a:off x="10058400" y="161925"/>
          <a:ext cx="1514475" cy="847725"/>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0</xdr:colOff>
      <xdr:row>1</xdr:row>
      <xdr:rowOff>0</xdr:rowOff>
    </xdr:from>
    <xdr:ext cx="1276350" cy="847725"/>
    <xdr:pic>
      <xdr:nvPicPr>
        <xdr:cNvPr id="2" name="image19.jpg">
          <a:extLst>
            <a:ext uri="{FF2B5EF4-FFF2-40B4-BE49-F238E27FC236}">
              <a16:creationId xmlns:a16="http://schemas.microsoft.com/office/drawing/2014/main" id="{619C202E-16FE-41A2-9DB6-72112D2A71F2}"/>
            </a:ext>
          </a:extLst>
        </xdr:cNvPr>
        <xdr:cNvPicPr preferRelativeResize="0"/>
      </xdr:nvPicPr>
      <xdr:blipFill>
        <a:blip xmlns:r="http://schemas.openxmlformats.org/officeDocument/2006/relationships" r:embed="rId1" cstate="print"/>
        <a:stretch>
          <a:fillRect/>
        </a:stretch>
      </xdr:blipFill>
      <xdr:spPr>
        <a:xfrm>
          <a:off x="8382000" y="161925"/>
          <a:ext cx="1276350" cy="847725"/>
        </a:xfrm>
        <a:prstGeom prst="rect">
          <a:avLst/>
        </a:prstGeom>
        <a:noFill/>
      </xdr:spPr>
    </xdr:pic>
    <xdr:clientData fLocksWithSheet="0"/>
  </xdr:oneCellAnchor>
  <xdr:oneCellAnchor>
    <xdr:from>
      <xdr:col>11</xdr:col>
      <xdr:colOff>0</xdr:colOff>
      <xdr:row>1</xdr:row>
      <xdr:rowOff>0</xdr:rowOff>
    </xdr:from>
    <xdr:ext cx="1152525" cy="1047750"/>
    <xdr:pic>
      <xdr:nvPicPr>
        <xdr:cNvPr id="3" name="image20.png">
          <a:extLst>
            <a:ext uri="{FF2B5EF4-FFF2-40B4-BE49-F238E27FC236}">
              <a16:creationId xmlns:a16="http://schemas.microsoft.com/office/drawing/2014/main" id="{37A87581-3419-483F-8C86-EDEBDA7DE58E}"/>
            </a:ext>
          </a:extLst>
        </xdr:cNvPr>
        <xdr:cNvPicPr preferRelativeResize="0"/>
      </xdr:nvPicPr>
      <xdr:blipFill>
        <a:blip xmlns:r="http://schemas.openxmlformats.org/officeDocument/2006/relationships" r:embed="rId2" cstate="print"/>
        <a:stretch>
          <a:fillRect/>
        </a:stretch>
      </xdr:blipFill>
      <xdr:spPr>
        <a:xfrm>
          <a:off x="9220200" y="161925"/>
          <a:ext cx="1152525" cy="1047750"/>
        </a:xfrm>
        <a:prstGeom prst="rect">
          <a:avLst/>
        </a:prstGeom>
        <a:noFill/>
      </xdr:spPr>
    </xdr:pic>
    <xdr:clientData fLocksWithSheet="0"/>
  </xdr:oneCellAnchor>
  <xdr:oneCellAnchor>
    <xdr:from>
      <xdr:col>21</xdr:col>
      <xdr:colOff>0</xdr:colOff>
      <xdr:row>1</xdr:row>
      <xdr:rowOff>0</xdr:rowOff>
    </xdr:from>
    <xdr:ext cx="1276350" cy="762000"/>
    <xdr:pic>
      <xdr:nvPicPr>
        <xdr:cNvPr id="4" name="image21.jpg">
          <a:extLst>
            <a:ext uri="{FF2B5EF4-FFF2-40B4-BE49-F238E27FC236}">
              <a16:creationId xmlns:a16="http://schemas.microsoft.com/office/drawing/2014/main" id="{3C8FEABA-B695-47DF-8E33-F1285A56ADE8}"/>
            </a:ext>
          </a:extLst>
        </xdr:cNvPr>
        <xdr:cNvPicPr preferRelativeResize="0"/>
      </xdr:nvPicPr>
      <xdr:blipFill>
        <a:blip xmlns:r="http://schemas.openxmlformats.org/officeDocument/2006/relationships" r:embed="rId3" cstate="print"/>
        <a:stretch>
          <a:fillRect/>
        </a:stretch>
      </xdr:blipFill>
      <xdr:spPr>
        <a:xfrm>
          <a:off x="17602200" y="161925"/>
          <a:ext cx="1276350" cy="762000"/>
        </a:xfrm>
        <a:prstGeom prst="rect">
          <a:avLst/>
        </a:prstGeom>
        <a:noFill/>
      </xdr:spPr>
    </xdr:pic>
    <xdr:clientData fLocksWithSheet="0"/>
  </xdr:oneCellAnchor>
  <xdr:oneCellAnchor>
    <xdr:from>
      <xdr:col>32</xdr:col>
      <xdr:colOff>0</xdr:colOff>
      <xdr:row>1</xdr:row>
      <xdr:rowOff>0</xdr:rowOff>
    </xdr:from>
    <xdr:ext cx="1276350" cy="847725"/>
    <xdr:pic>
      <xdr:nvPicPr>
        <xdr:cNvPr id="5" name="image16.jpg">
          <a:extLst>
            <a:ext uri="{FF2B5EF4-FFF2-40B4-BE49-F238E27FC236}">
              <a16:creationId xmlns:a16="http://schemas.microsoft.com/office/drawing/2014/main" id="{060CA6C5-7B94-4AFD-888A-1D792C9771C0}"/>
            </a:ext>
          </a:extLst>
        </xdr:cNvPr>
        <xdr:cNvPicPr preferRelativeResize="0"/>
      </xdr:nvPicPr>
      <xdr:blipFill>
        <a:blip xmlns:r="http://schemas.openxmlformats.org/officeDocument/2006/relationships" r:embed="rId4" cstate="print"/>
        <a:stretch>
          <a:fillRect/>
        </a:stretch>
      </xdr:blipFill>
      <xdr:spPr>
        <a:xfrm>
          <a:off x="26822400" y="161925"/>
          <a:ext cx="1276350" cy="847725"/>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1</xdr:row>
      <xdr:rowOff>0</xdr:rowOff>
    </xdr:from>
    <xdr:ext cx="1314450" cy="876300"/>
    <xdr:pic>
      <xdr:nvPicPr>
        <xdr:cNvPr id="2" name="image31.jpg">
          <a:extLst>
            <a:ext uri="{FF2B5EF4-FFF2-40B4-BE49-F238E27FC236}">
              <a16:creationId xmlns:a16="http://schemas.microsoft.com/office/drawing/2014/main" id="{732FB360-20FD-4AE9-8C1C-2F5939896BC1}"/>
            </a:ext>
          </a:extLst>
        </xdr:cNvPr>
        <xdr:cNvPicPr preferRelativeResize="0"/>
      </xdr:nvPicPr>
      <xdr:blipFill>
        <a:blip xmlns:r="http://schemas.openxmlformats.org/officeDocument/2006/relationships" r:embed="rId1" cstate="print"/>
        <a:stretch>
          <a:fillRect/>
        </a:stretch>
      </xdr:blipFill>
      <xdr:spPr>
        <a:xfrm>
          <a:off x="1676400" y="161925"/>
          <a:ext cx="1314450" cy="876300"/>
        </a:xfrm>
        <a:prstGeom prst="rect">
          <a:avLst/>
        </a:prstGeom>
        <a:noFill/>
      </xdr:spPr>
    </xdr:pic>
    <xdr:clientData fLocksWithSheet="0"/>
  </xdr:oneCellAnchor>
  <xdr:oneCellAnchor>
    <xdr:from>
      <xdr:col>3</xdr:col>
      <xdr:colOff>0</xdr:colOff>
      <xdr:row>1</xdr:row>
      <xdr:rowOff>0</xdr:rowOff>
    </xdr:from>
    <xdr:ext cx="876300" cy="876300"/>
    <xdr:pic>
      <xdr:nvPicPr>
        <xdr:cNvPr id="3" name="image23.jpg">
          <a:extLst>
            <a:ext uri="{FF2B5EF4-FFF2-40B4-BE49-F238E27FC236}">
              <a16:creationId xmlns:a16="http://schemas.microsoft.com/office/drawing/2014/main" id="{83C3C64A-07B3-4BB5-8D40-9CDC6C457B27}"/>
            </a:ext>
          </a:extLst>
        </xdr:cNvPr>
        <xdr:cNvPicPr preferRelativeResize="0"/>
      </xdr:nvPicPr>
      <xdr:blipFill>
        <a:blip xmlns:r="http://schemas.openxmlformats.org/officeDocument/2006/relationships" r:embed="rId2" cstate="print"/>
        <a:stretch>
          <a:fillRect/>
        </a:stretch>
      </xdr:blipFill>
      <xdr:spPr>
        <a:xfrm>
          <a:off x="2514600" y="161925"/>
          <a:ext cx="876300" cy="876300"/>
        </a:xfrm>
        <a:prstGeom prst="rect">
          <a:avLst/>
        </a:prstGeom>
        <a:noFill/>
      </xdr:spPr>
    </xdr:pic>
    <xdr:clientData fLocksWithSheet="0"/>
  </xdr:oneCellAnchor>
  <xdr:oneCellAnchor>
    <xdr:from>
      <xdr:col>4</xdr:col>
      <xdr:colOff>0</xdr:colOff>
      <xdr:row>1</xdr:row>
      <xdr:rowOff>0</xdr:rowOff>
    </xdr:from>
    <xdr:ext cx="876300" cy="876300"/>
    <xdr:pic>
      <xdr:nvPicPr>
        <xdr:cNvPr id="4" name="image23.jpg">
          <a:extLst>
            <a:ext uri="{FF2B5EF4-FFF2-40B4-BE49-F238E27FC236}">
              <a16:creationId xmlns:a16="http://schemas.microsoft.com/office/drawing/2014/main" id="{0BEC2B53-3631-4E82-847D-5D2BFDD1357D}"/>
            </a:ext>
          </a:extLst>
        </xdr:cNvPr>
        <xdr:cNvPicPr preferRelativeResize="0"/>
      </xdr:nvPicPr>
      <xdr:blipFill>
        <a:blip xmlns:r="http://schemas.openxmlformats.org/officeDocument/2006/relationships" r:embed="rId2" cstate="print"/>
        <a:stretch>
          <a:fillRect/>
        </a:stretch>
      </xdr:blipFill>
      <xdr:spPr>
        <a:xfrm>
          <a:off x="3352800" y="161925"/>
          <a:ext cx="876300" cy="876300"/>
        </a:xfrm>
        <a:prstGeom prst="rect">
          <a:avLst/>
        </a:prstGeom>
        <a:noFill/>
      </xdr:spPr>
    </xdr:pic>
    <xdr:clientData fLocksWithSheet="0"/>
  </xdr:oneCellAnchor>
  <xdr:oneCellAnchor>
    <xdr:from>
      <xdr:col>5</xdr:col>
      <xdr:colOff>0</xdr:colOff>
      <xdr:row>1</xdr:row>
      <xdr:rowOff>0</xdr:rowOff>
    </xdr:from>
    <xdr:ext cx="1266825" cy="876300"/>
    <xdr:pic>
      <xdr:nvPicPr>
        <xdr:cNvPr id="5" name="image40.png">
          <a:extLst>
            <a:ext uri="{FF2B5EF4-FFF2-40B4-BE49-F238E27FC236}">
              <a16:creationId xmlns:a16="http://schemas.microsoft.com/office/drawing/2014/main" id="{23876F77-E1DC-4D64-959B-0918049C0B37}"/>
            </a:ext>
          </a:extLst>
        </xdr:cNvPr>
        <xdr:cNvPicPr preferRelativeResize="0"/>
      </xdr:nvPicPr>
      <xdr:blipFill>
        <a:blip xmlns:r="http://schemas.openxmlformats.org/officeDocument/2006/relationships" r:embed="rId3" cstate="print"/>
        <a:stretch>
          <a:fillRect/>
        </a:stretch>
      </xdr:blipFill>
      <xdr:spPr>
        <a:xfrm>
          <a:off x="4191000" y="161925"/>
          <a:ext cx="1266825" cy="876300"/>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1</xdr:row>
      <xdr:rowOff>0</xdr:rowOff>
    </xdr:from>
    <xdr:ext cx="1047750" cy="1047750"/>
    <xdr:pic>
      <xdr:nvPicPr>
        <xdr:cNvPr id="2" name="image22.jpg">
          <a:extLst>
            <a:ext uri="{FF2B5EF4-FFF2-40B4-BE49-F238E27FC236}">
              <a16:creationId xmlns:a16="http://schemas.microsoft.com/office/drawing/2014/main" id="{8D21BD57-6B66-4D09-9BE6-70AE922D96C3}"/>
            </a:ext>
          </a:extLst>
        </xdr:cNvPr>
        <xdr:cNvPicPr preferRelativeResize="0"/>
      </xdr:nvPicPr>
      <xdr:blipFill>
        <a:blip xmlns:r="http://schemas.openxmlformats.org/officeDocument/2006/relationships" r:embed="rId1" cstate="print"/>
        <a:stretch>
          <a:fillRect/>
        </a:stretch>
      </xdr:blipFill>
      <xdr:spPr>
        <a:xfrm>
          <a:off x="2514600" y="161925"/>
          <a:ext cx="1047750" cy="1047750"/>
        </a:xfrm>
        <a:prstGeom prst="rect">
          <a:avLst/>
        </a:prstGeom>
        <a:noFill/>
      </xdr:spPr>
    </xdr:pic>
    <xdr:clientData fLocksWithSheet="0"/>
  </xdr:oneCellAnchor>
  <xdr:oneCellAnchor>
    <xdr:from>
      <xdr:col>21</xdr:col>
      <xdr:colOff>0</xdr:colOff>
      <xdr:row>1</xdr:row>
      <xdr:rowOff>0</xdr:rowOff>
    </xdr:from>
    <xdr:ext cx="1276350" cy="1009650"/>
    <xdr:pic>
      <xdr:nvPicPr>
        <xdr:cNvPr id="3" name="image18.jpg">
          <a:extLst>
            <a:ext uri="{FF2B5EF4-FFF2-40B4-BE49-F238E27FC236}">
              <a16:creationId xmlns:a16="http://schemas.microsoft.com/office/drawing/2014/main" id="{AF4B79A4-0AF0-4BE9-9D9C-73DB994419AD}"/>
            </a:ext>
          </a:extLst>
        </xdr:cNvPr>
        <xdr:cNvPicPr preferRelativeResize="0"/>
      </xdr:nvPicPr>
      <xdr:blipFill>
        <a:blip xmlns:r="http://schemas.openxmlformats.org/officeDocument/2006/relationships" r:embed="rId2" cstate="print"/>
        <a:stretch>
          <a:fillRect/>
        </a:stretch>
      </xdr:blipFill>
      <xdr:spPr>
        <a:xfrm>
          <a:off x="17602200" y="161925"/>
          <a:ext cx="1276350" cy="1009650"/>
        </a:xfrm>
        <a:prstGeom prst="rect">
          <a:avLst/>
        </a:prstGeom>
        <a:noFill/>
      </xdr:spPr>
    </xdr:pic>
    <xdr:clientData fLocksWithSheet="0"/>
  </xdr:oneCellAnchor>
  <xdr:oneCellAnchor>
    <xdr:from>
      <xdr:col>23</xdr:col>
      <xdr:colOff>0</xdr:colOff>
      <xdr:row>1</xdr:row>
      <xdr:rowOff>0</xdr:rowOff>
    </xdr:from>
    <xdr:ext cx="1276350" cy="847725"/>
    <xdr:pic>
      <xdr:nvPicPr>
        <xdr:cNvPr id="4" name="image25.png">
          <a:extLst>
            <a:ext uri="{FF2B5EF4-FFF2-40B4-BE49-F238E27FC236}">
              <a16:creationId xmlns:a16="http://schemas.microsoft.com/office/drawing/2014/main" id="{65201C18-3F37-4BAE-994E-E3AA8A07A03B}"/>
            </a:ext>
          </a:extLst>
        </xdr:cNvPr>
        <xdr:cNvPicPr preferRelativeResize="0"/>
      </xdr:nvPicPr>
      <xdr:blipFill>
        <a:blip xmlns:r="http://schemas.openxmlformats.org/officeDocument/2006/relationships" r:embed="rId3" cstate="print"/>
        <a:stretch>
          <a:fillRect/>
        </a:stretch>
      </xdr:blipFill>
      <xdr:spPr>
        <a:xfrm>
          <a:off x="19278600" y="161925"/>
          <a:ext cx="1276350" cy="847725"/>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1</xdr:row>
      <xdr:rowOff>0</xdr:rowOff>
    </xdr:from>
    <xdr:ext cx="1238250" cy="1238250"/>
    <xdr:pic>
      <xdr:nvPicPr>
        <xdr:cNvPr id="2" name="image17.jpg">
          <a:extLst>
            <a:ext uri="{FF2B5EF4-FFF2-40B4-BE49-F238E27FC236}">
              <a16:creationId xmlns:a16="http://schemas.microsoft.com/office/drawing/2014/main" id="{19CCE7E6-B61B-4AFA-A139-57D4CFFB805D}"/>
            </a:ext>
          </a:extLst>
        </xdr:cNvPr>
        <xdr:cNvPicPr preferRelativeResize="0"/>
      </xdr:nvPicPr>
      <xdr:blipFill>
        <a:blip xmlns:r="http://schemas.openxmlformats.org/officeDocument/2006/relationships" r:embed="rId1" cstate="print"/>
        <a:stretch>
          <a:fillRect/>
        </a:stretch>
      </xdr:blipFill>
      <xdr:spPr>
        <a:xfrm>
          <a:off x="838200" y="161925"/>
          <a:ext cx="1238250" cy="1238250"/>
        </a:xfrm>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1</xdr:row>
      <xdr:rowOff>0</xdr:rowOff>
    </xdr:from>
    <xdr:ext cx="1381125" cy="752475"/>
    <xdr:pic>
      <xdr:nvPicPr>
        <xdr:cNvPr id="2" name="image35.jpg">
          <a:extLst>
            <a:ext uri="{FF2B5EF4-FFF2-40B4-BE49-F238E27FC236}">
              <a16:creationId xmlns:a16="http://schemas.microsoft.com/office/drawing/2014/main" id="{3152592F-F83B-486F-BC0F-E0AC7002C8D7}"/>
            </a:ext>
          </a:extLst>
        </xdr:cNvPr>
        <xdr:cNvPicPr preferRelativeResize="0"/>
      </xdr:nvPicPr>
      <xdr:blipFill>
        <a:blip xmlns:r="http://schemas.openxmlformats.org/officeDocument/2006/relationships" r:embed="rId1" cstate="print"/>
        <a:stretch>
          <a:fillRect/>
        </a:stretch>
      </xdr:blipFill>
      <xdr:spPr>
        <a:xfrm>
          <a:off x="1676400" y="161925"/>
          <a:ext cx="1381125" cy="752475"/>
        </a:xfrm>
        <a:prstGeom prst="rect">
          <a:avLst/>
        </a:prstGeom>
        <a:noFill/>
      </xdr:spPr>
    </xdr:pic>
    <xdr:clientData fLocksWithSheet="0"/>
  </xdr:oneCellAnchor>
  <xdr:oneCellAnchor>
    <xdr:from>
      <xdr:col>3</xdr:col>
      <xdr:colOff>0</xdr:colOff>
      <xdr:row>1</xdr:row>
      <xdr:rowOff>0</xdr:rowOff>
    </xdr:from>
    <xdr:ext cx="1343025" cy="1038225"/>
    <xdr:pic>
      <xdr:nvPicPr>
        <xdr:cNvPr id="3" name="image26.jpg">
          <a:extLst>
            <a:ext uri="{FF2B5EF4-FFF2-40B4-BE49-F238E27FC236}">
              <a16:creationId xmlns:a16="http://schemas.microsoft.com/office/drawing/2014/main" id="{CFF46E9F-2743-4785-8060-96782EEC9645}"/>
            </a:ext>
          </a:extLst>
        </xdr:cNvPr>
        <xdr:cNvPicPr preferRelativeResize="0"/>
      </xdr:nvPicPr>
      <xdr:blipFill>
        <a:blip xmlns:r="http://schemas.openxmlformats.org/officeDocument/2006/relationships" r:embed="rId2" cstate="print"/>
        <a:stretch>
          <a:fillRect/>
        </a:stretch>
      </xdr:blipFill>
      <xdr:spPr>
        <a:xfrm>
          <a:off x="2514600" y="161925"/>
          <a:ext cx="1343025" cy="1038225"/>
        </a:xfrm>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7</xdr:col>
      <xdr:colOff>0</xdr:colOff>
      <xdr:row>1</xdr:row>
      <xdr:rowOff>0</xdr:rowOff>
    </xdr:from>
    <xdr:ext cx="1457325" cy="1133475"/>
    <xdr:pic>
      <xdr:nvPicPr>
        <xdr:cNvPr id="2" name="image27.jpg">
          <a:extLst>
            <a:ext uri="{FF2B5EF4-FFF2-40B4-BE49-F238E27FC236}">
              <a16:creationId xmlns:a16="http://schemas.microsoft.com/office/drawing/2014/main" id="{804270F5-4BF4-4AD8-A8B8-67D46636A0EE}"/>
            </a:ext>
          </a:extLst>
        </xdr:cNvPr>
        <xdr:cNvPicPr preferRelativeResize="0"/>
      </xdr:nvPicPr>
      <xdr:blipFill>
        <a:blip xmlns:r="http://schemas.openxmlformats.org/officeDocument/2006/relationships" r:embed="rId1" cstate="print"/>
        <a:stretch>
          <a:fillRect/>
        </a:stretch>
      </xdr:blipFill>
      <xdr:spPr>
        <a:xfrm>
          <a:off x="5867400" y="161925"/>
          <a:ext cx="1457325" cy="1133475"/>
        </a:xfrm>
        <a:prstGeom prst="rect">
          <a:avLst/>
        </a:prstGeom>
        <a:noFill/>
      </xdr:spPr>
    </xdr:pic>
    <xdr:clientData fLocksWithSheet="0"/>
  </xdr:oneCellAnchor>
  <xdr:oneCellAnchor>
    <xdr:from>
      <xdr:col>25</xdr:col>
      <xdr:colOff>0</xdr:colOff>
      <xdr:row>1</xdr:row>
      <xdr:rowOff>0</xdr:rowOff>
    </xdr:from>
    <xdr:ext cx="1457325" cy="1133475"/>
    <xdr:pic>
      <xdr:nvPicPr>
        <xdr:cNvPr id="3" name="image27.jpg">
          <a:extLst>
            <a:ext uri="{FF2B5EF4-FFF2-40B4-BE49-F238E27FC236}">
              <a16:creationId xmlns:a16="http://schemas.microsoft.com/office/drawing/2014/main" id="{2BE3FB1C-D729-4DEB-8A68-43EF3BACEC55}"/>
            </a:ext>
          </a:extLst>
        </xdr:cNvPr>
        <xdr:cNvPicPr preferRelativeResize="0"/>
      </xdr:nvPicPr>
      <xdr:blipFill>
        <a:blip xmlns:r="http://schemas.openxmlformats.org/officeDocument/2006/relationships" r:embed="rId1" cstate="print"/>
        <a:stretch>
          <a:fillRect/>
        </a:stretch>
      </xdr:blipFill>
      <xdr:spPr>
        <a:xfrm>
          <a:off x="20955000" y="161925"/>
          <a:ext cx="1457325" cy="1133475"/>
        </a:xfrm>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9</xdr:col>
      <xdr:colOff>0</xdr:colOff>
      <xdr:row>1</xdr:row>
      <xdr:rowOff>0</xdr:rowOff>
    </xdr:from>
    <xdr:ext cx="676275" cy="676275"/>
    <xdr:pic>
      <xdr:nvPicPr>
        <xdr:cNvPr id="2" name="image28.jpg">
          <a:extLst>
            <a:ext uri="{FF2B5EF4-FFF2-40B4-BE49-F238E27FC236}">
              <a16:creationId xmlns:a16="http://schemas.microsoft.com/office/drawing/2014/main" id="{CDEEDEB5-50A9-4810-B90D-3CDD2786899F}"/>
            </a:ext>
          </a:extLst>
        </xdr:cNvPr>
        <xdr:cNvPicPr preferRelativeResize="0"/>
      </xdr:nvPicPr>
      <xdr:blipFill>
        <a:blip xmlns:r="http://schemas.openxmlformats.org/officeDocument/2006/relationships" r:embed="rId1" cstate="print"/>
        <a:stretch>
          <a:fillRect/>
        </a:stretch>
      </xdr:blipFill>
      <xdr:spPr>
        <a:xfrm>
          <a:off x="7543800" y="161925"/>
          <a:ext cx="676275" cy="676275"/>
        </a:xfrm>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xdr:col>
      <xdr:colOff>0</xdr:colOff>
      <xdr:row>1</xdr:row>
      <xdr:rowOff>0</xdr:rowOff>
    </xdr:from>
    <xdr:ext cx="1276350" cy="876300"/>
    <xdr:pic>
      <xdr:nvPicPr>
        <xdr:cNvPr id="2" name="image40.png">
          <a:extLst>
            <a:ext uri="{FF2B5EF4-FFF2-40B4-BE49-F238E27FC236}">
              <a16:creationId xmlns:a16="http://schemas.microsoft.com/office/drawing/2014/main" id="{28D6FE45-8B38-465B-AD4C-785A2C518E1D}"/>
            </a:ext>
          </a:extLst>
        </xdr:cNvPr>
        <xdr:cNvPicPr preferRelativeResize="0"/>
      </xdr:nvPicPr>
      <xdr:blipFill>
        <a:blip xmlns:r="http://schemas.openxmlformats.org/officeDocument/2006/relationships" r:embed="rId1" cstate="print"/>
        <a:stretch>
          <a:fillRect/>
        </a:stretch>
      </xdr:blipFill>
      <xdr:spPr>
        <a:xfrm>
          <a:off x="838200" y="161925"/>
          <a:ext cx="1276350" cy="876300"/>
        </a:xfrm>
        <a:prstGeom prst="rect">
          <a:avLst/>
        </a:prstGeom>
        <a:noFill/>
      </xdr:spPr>
    </xdr:pic>
    <xdr:clientData fLocksWithSheet="0"/>
  </xdr:oneCellAnchor>
  <xdr:oneCellAnchor>
    <xdr:from>
      <xdr:col>7</xdr:col>
      <xdr:colOff>0</xdr:colOff>
      <xdr:row>1</xdr:row>
      <xdr:rowOff>0</xdr:rowOff>
    </xdr:from>
    <xdr:ext cx="1276350" cy="762000"/>
    <xdr:pic>
      <xdr:nvPicPr>
        <xdr:cNvPr id="3" name="image15.jpg">
          <a:extLst>
            <a:ext uri="{FF2B5EF4-FFF2-40B4-BE49-F238E27FC236}">
              <a16:creationId xmlns:a16="http://schemas.microsoft.com/office/drawing/2014/main" id="{22E57DF7-DE69-4B0D-9664-989AC56DE105}"/>
            </a:ext>
          </a:extLst>
        </xdr:cNvPr>
        <xdr:cNvPicPr preferRelativeResize="0"/>
      </xdr:nvPicPr>
      <xdr:blipFill>
        <a:blip xmlns:r="http://schemas.openxmlformats.org/officeDocument/2006/relationships" r:embed="rId2" cstate="print"/>
        <a:stretch>
          <a:fillRect/>
        </a:stretch>
      </xdr:blipFill>
      <xdr:spPr>
        <a:xfrm>
          <a:off x="5867400" y="161925"/>
          <a:ext cx="1276350" cy="762000"/>
        </a:xfrm>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8</xdr:col>
      <xdr:colOff>0</xdr:colOff>
      <xdr:row>1</xdr:row>
      <xdr:rowOff>0</xdr:rowOff>
    </xdr:from>
    <xdr:ext cx="1066800" cy="1066800"/>
    <xdr:pic>
      <xdr:nvPicPr>
        <xdr:cNvPr id="2" name="image39.jpg">
          <a:extLst>
            <a:ext uri="{FF2B5EF4-FFF2-40B4-BE49-F238E27FC236}">
              <a16:creationId xmlns:a16="http://schemas.microsoft.com/office/drawing/2014/main" id="{63718DA5-6D6E-4162-9C6B-511A4CD6E5E7}"/>
            </a:ext>
          </a:extLst>
        </xdr:cNvPr>
        <xdr:cNvPicPr preferRelativeResize="0"/>
      </xdr:nvPicPr>
      <xdr:blipFill>
        <a:blip xmlns:r="http://schemas.openxmlformats.org/officeDocument/2006/relationships" r:embed="rId1" cstate="print"/>
        <a:stretch>
          <a:fillRect/>
        </a:stretch>
      </xdr:blipFill>
      <xdr:spPr>
        <a:xfrm>
          <a:off x="6705600" y="161925"/>
          <a:ext cx="1066800" cy="1066800"/>
        </a:xfrm>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1</xdr:col>
      <xdr:colOff>0</xdr:colOff>
      <xdr:row>1</xdr:row>
      <xdr:rowOff>0</xdr:rowOff>
    </xdr:from>
    <xdr:ext cx="1323975" cy="819150"/>
    <xdr:pic>
      <xdr:nvPicPr>
        <xdr:cNvPr id="2" name="image33.jpg">
          <a:extLst>
            <a:ext uri="{FF2B5EF4-FFF2-40B4-BE49-F238E27FC236}">
              <a16:creationId xmlns:a16="http://schemas.microsoft.com/office/drawing/2014/main" id="{B9A25B88-B864-42B8-A03E-3D72DC8D3DCC}"/>
            </a:ext>
          </a:extLst>
        </xdr:cNvPr>
        <xdr:cNvPicPr preferRelativeResize="0"/>
      </xdr:nvPicPr>
      <xdr:blipFill>
        <a:blip xmlns:r="http://schemas.openxmlformats.org/officeDocument/2006/relationships" r:embed="rId1" cstate="print"/>
        <a:stretch>
          <a:fillRect/>
        </a:stretch>
      </xdr:blipFill>
      <xdr:spPr>
        <a:xfrm>
          <a:off x="838200" y="161925"/>
          <a:ext cx="1323975" cy="819150"/>
        </a:xfrm>
        <a:prstGeom prst="rect">
          <a:avLst/>
        </a:prstGeom>
        <a:noFill/>
      </xdr:spPr>
    </xdr:pic>
    <xdr:clientData fLocksWithSheet="0"/>
  </xdr:oneCellAnchor>
  <xdr:oneCellAnchor>
    <xdr:from>
      <xdr:col>2</xdr:col>
      <xdr:colOff>0</xdr:colOff>
      <xdr:row>1</xdr:row>
      <xdr:rowOff>0</xdr:rowOff>
    </xdr:from>
    <xdr:ext cx="1323975" cy="819150"/>
    <xdr:pic>
      <xdr:nvPicPr>
        <xdr:cNvPr id="3" name="image33.jpg">
          <a:extLst>
            <a:ext uri="{FF2B5EF4-FFF2-40B4-BE49-F238E27FC236}">
              <a16:creationId xmlns:a16="http://schemas.microsoft.com/office/drawing/2014/main" id="{41B2DD9B-45B4-4221-9E98-45FB354B1A7C}"/>
            </a:ext>
          </a:extLst>
        </xdr:cNvPr>
        <xdr:cNvPicPr preferRelativeResize="0"/>
      </xdr:nvPicPr>
      <xdr:blipFill>
        <a:blip xmlns:r="http://schemas.openxmlformats.org/officeDocument/2006/relationships" r:embed="rId1" cstate="print"/>
        <a:stretch>
          <a:fillRect/>
        </a:stretch>
      </xdr:blipFill>
      <xdr:spPr>
        <a:xfrm>
          <a:off x="1676400" y="161925"/>
          <a:ext cx="1323975" cy="819150"/>
        </a:xfrm>
        <a:prstGeom prst="rect">
          <a:avLst/>
        </a:prstGeom>
        <a:noFill/>
      </xdr:spPr>
    </xdr:pic>
    <xdr:clientData fLocksWithSheet="0"/>
  </xdr:oneCellAnchor>
  <xdr:oneCellAnchor>
    <xdr:from>
      <xdr:col>3</xdr:col>
      <xdr:colOff>0</xdr:colOff>
      <xdr:row>1</xdr:row>
      <xdr:rowOff>0</xdr:rowOff>
    </xdr:from>
    <xdr:ext cx="704850" cy="1057275"/>
    <xdr:pic>
      <xdr:nvPicPr>
        <xdr:cNvPr id="4" name="image42.jpg">
          <a:extLst>
            <a:ext uri="{FF2B5EF4-FFF2-40B4-BE49-F238E27FC236}">
              <a16:creationId xmlns:a16="http://schemas.microsoft.com/office/drawing/2014/main" id="{919A4E24-B8C2-4CCC-8802-5466732E579B}"/>
            </a:ext>
          </a:extLst>
        </xdr:cNvPr>
        <xdr:cNvPicPr preferRelativeResize="0"/>
      </xdr:nvPicPr>
      <xdr:blipFill>
        <a:blip xmlns:r="http://schemas.openxmlformats.org/officeDocument/2006/relationships" r:embed="rId2" cstate="print"/>
        <a:stretch>
          <a:fillRect/>
        </a:stretch>
      </xdr:blipFill>
      <xdr:spPr>
        <a:xfrm>
          <a:off x="2514600" y="161925"/>
          <a:ext cx="704850" cy="1057275"/>
        </a:xfrm>
        <a:prstGeom prst="rect">
          <a:avLst/>
        </a:prstGeom>
        <a:noFill/>
      </xdr:spPr>
    </xdr:pic>
    <xdr:clientData fLocksWithSheet="0"/>
  </xdr:oneCellAnchor>
  <xdr:oneCellAnchor>
    <xdr:from>
      <xdr:col>4</xdr:col>
      <xdr:colOff>0</xdr:colOff>
      <xdr:row>1</xdr:row>
      <xdr:rowOff>0</xdr:rowOff>
    </xdr:from>
    <xdr:ext cx="1276350" cy="847725"/>
    <xdr:pic>
      <xdr:nvPicPr>
        <xdr:cNvPr id="5" name="image38.jpg">
          <a:extLst>
            <a:ext uri="{FF2B5EF4-FFF2-40B4-BE49-F238E27FC236}">
              <a16:creationId xmlns:a16="http://schemas.microsoft.com/office/drawing/2014/main" id="{7AF3AC2F-7638-49B7-B291-B986B1165B69}"/>
            </a:ext>
          </a:extLst>
        </xdr:cNvPr>
        <xdr:cNvPicPr preferRelativeResize="0"/>
      </xdr:nvPicPr>
      <xdr:blipFill>
        <a:blip xmlns:r="http://schemas.openxmlformats.org/officeDocument/2006/relationships" r:embed="rId3" cstate="print"/>
        <a:stretch>
          <a:fillRect/>
        </a:stretch>
      </xdr:blipFill>
      <xdr:spPr>
        <a:xfrm>
          <a:off x="3352800" y="161925"/>
          <a:ext cx="1276350" cy="847725"/>
        </a:xfrm>
        <a:prstGeom prst="rect">
          <a:avLst/>
        </a:prstGeom>
        <a:noFill/>
      </xdr:spPr>
    </xdr:pic>
    <xdr:clientData fLocksWithSheet="0"/>
  </xdr:oneCellAnchor>
  <xdr:oneCellAnchor>
    <xdr:from>
      <xdr:col>5</xdr:col>
      <xdr:colOff>0</xdr:colOff>
      <xdr:row>1</xdr:row>
      <xdr:rowOff>0</xdr:rowOff>
    </xdr:from>
    <xdr:ext cx="1276350" cy="876300"/>
    <xdr:pic>
      <xdr:nvPicPr>
        <xdr:cNvPr id="6" name="image29.jpg">
          <a:extLst>
            <a:ext uri="{FF2B5EF4-FFF2-40B4-BE49-F238E27FC236}">
              <a16:creationId xmlns:a16="http://schemas.microsoft.com/office/drawing/2014/main" id="{1FC5C2C7-4D2C-4CCE-8D33-C4888AEFE4DD}"/>
            </a:ext>
          </a:extLst>
        </xdr:cNvPr>
        <xdr:cNvPicPr preferRelativeResize="0"/>
      </xdr:nvPicPr>
      <xdr:blipFill>
        <a:blip xmlns:r="http://schemas.openxmlformats.org/officeDocument/2006/relationships" r:embed="rId4" cstate="print"/>
        <a:stretch>
          <a:fillRect/>
        </a:stretch>
      </xdr:blipFill>
      <xdr:spPr>
        <a:xfrm>
          <a:off x="4191000" y="161925"/>
          <a:ext cx="1276350" cy="876300"/>
        </a:xfrm>
        <a:prstGeom prst="rect">
          <a:avLst/>
        </a:prstGeom>
        <a:noFill/>
      </xdr:spPr>
    </xdr:pic>
    <xdr:clientData fLocksWithSheet="0"/>
  </xdr:oneCellAnchor>
  <xdr:oneCellAnchor>
    <xdr:from>
      <xdr:col>7</xdr:col>
      <xdr:colOff>0</xdr:colOff>
      <xdr:row>1</xdr:row>
      <xdr:rowOff>0</xdr:rowOff>
    </xdr:from>
    <xdr:ext cx="1257300" cy="838200"/>
    <xdr:pic>
      <xdr:nvPicPr>
        <xdr:cNvPr id="7" name="image31.jpg">
          <a:extLst>
            <a:ext uri="{FF2B5EF4-FFF2-40B4-BE49-F238E27FC236}">
              <a16:creationId xmlns:a16="http://schemas.microsoft.com/office/drawing/2014/main" id="{3E15F282-C2C9-4E23-977E-40A913A5AEE0}"/>
            </a:ext>
          </a:extLst>
        </xdr:cNvPr>
        <xdr:cNvPicPr preferRelativeResize="0"/>
      </xdr:nvPicPr>
      <xdr:blipFill>
        <a:blip xmlns:r="http://schemas.openxmlformats.org/officeDocument/2006/relationships" r:embed="rId5" cstate="print"/>
        <a:stretch>
          <a:fillRect/>
        </a:stretch>
      </xdr:blipFill>
      <xdr:spPr>
        <a:xfrm>
          <a:off x="5867400" y="161925"/>
          <a:ext cx="1257300" cy="838200"/>
        </a:xfrm>
        <a:prstGeom prst="rect">
          <a:avLst/>
        </a:prstGeom>
        <a:noFill/>
      </xdr:spPr>
    </xdr:pic>
    <xdr:clientData fLocksWithSheet="0"/>
  </xdr:oneCellAnchor>
  <xdr:oneCellAnchor>
    <xdr:from>
      <xdr:col>8</xdr:col>
      <xdr:colOff>0</xdr:colOff>
      <xdr:row>1</xdr:row>
      <xdr:rowOff>0</xdr:rowOff>
    </xdr:from>
    <xdr:ext cx="1095375" cy="752475"/>
    <xdr:pic>
      <xdr:nvPicPr>
        <xdr:cNvPr id="8" name="image40.png">
          <a:extLst>
            <a:ext uri="{FF2B5EF4-FFF2-40B4-BE49-F238E27FC236}">
              <a16:creationId xmlns:a16="http://schemas.microsoft.com/office/drawing/2014/main" id="{D3D6DB33-C047-4EAD-9184-5FE5588FD06B}"/>
            </a:ext>
          </a:extLst>
        </xdr:cNvPr>
        <xdr:cNvPicPr preferRelativeResize="0"/>
      </xdr:nvPicPr>
      <xdr:blipFill>
        <a:blip xmlns:r="http://schemas.openxmlformats.org/officeDocument/2006/relationships" r:embed="rId6" cstate="print"/>
        <a:stretch>
          <a:fillRect/>
        </a:stretch>
      </xdr:blipFill>
      <xdr:spPr>
        <a:xfrm>
          <a:off x="6705600" y="161925"/>
          <a:ext cx="1095375" cy="752475"/>
        </a:xfrm>
        <a:prstGeom prst="rect">
          <a:avLst/>
        </a:prstGeom>
        <a:noFill/>
      </xdr:spPr>
    </xdr:pic>
    <xdr:clientData fLocksWithSheet="0"/>
  </xdr:oneCellAnchor>
  <xdr:oneCellAnchor>
    <xdr:from>
      <xdr:col>15</xdr:col>
      <xdr:colOff>0</xdr:colOff>
      <xdr:row>1</xdr:row>
      <xdr:rowOff>0</xdr:rowOff>
    </xdr:from>
    <xdr:ext cx="1276350" cy="952500"/>
    <xdr:pic>
      <xdr:nvPicPr>
        <xdr:cNvPr id="9" name="image30.jpg">
          <a:extLst>
            <a:ext uri="{FF2B5EF4-FFF2-40B4-BE49-F238E27FC236}">
              <a16:creationId xmlns:a16="http://schemas.microsoft.com/office/drawing/2014/main" id="{D4F07FD2-DFB0-4C93-829E-8CC6F4ED2854}"/>
            </a:ext>
          </a:extLst>
        </xdr:cNvPr>
        <xdr:cNvPicPr preferRelativeResize="0"/>
      </xdr:nvPicPr>
      <xdr:blipFill>
        <a:blip xmlns:r="http://schemas.openxmlformats.org/officeDocument/2006/relationships" r:embed="rId7" cstate="print"/>
        <a:stretch>
          <a:fillRect/>
        </a:stretch>
      </xdr:blipFill>
      <xdr:spPr>
        <a:xfrm>
          <a:off x="12573000" y="161925"/>
          <a:ext cx="1276350" cy="952500"/>
        </a:xfrm>
        <a:prstGeom prst="rect">
          <a:avLst/>
        </a:prstGeom>
        <a:noFill/>
      </xdr:spPr>
    </xdr:pic>
    <xdr:clientData fLocksWithSheet="0"/>
  </xdr:oneCellAnchor>
  <xdr:oneCellAnchor>
    <xdr:from>
      <xdr:col>16</xdr:col>
      <xdr:colOff>0</xdr:colOff>
      <xdr:row>1</xdr:row>
      <xdr:rowOff>0</xdr:rowOff>
    </xdr:from>
    <xdr:ext cx="1276350" cy="847725"/>
    <xdr:pic>
      <xdr:nvPicPr>
        <xdr:cNvPr id="10" name="image37.jpg">
          <a:extLst>
            <a:ext uri="{FF2B5EF4-FFF2-40B4-BE49-F238E27FC236}">
              <a16:creationId xmlns:a16="http://schemas.microsoft.com/office/drawing/2014/main" id="{AF5E7CBA-F0B6-4E0E-A2B9-9D00A73F929F}"/>
            </a:ext>
          </a:extLst>
        </xdr:cNvPr>
        <xdr:cNvPicPr preferRelativeResize="0"/>
      </xdr:nvPicPr>
      <xdr:blipFill>
        <a:blip xmlns:r="http://schemas.openxmlformats.org/officeDocument/2006/relationships" r:embed="rId8" cstate="print"/>
        <a:stretch>
          <a:fillRect/>
        </a:stretch>
      </xdr:blipFill>
      <xdr:spPr>
        <a:xfrm>
          <a:off x="13411200" y="161925"/>
          <a:ext cx="1276350" cy="847725"/>
        </a:xfrm>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15</xdr:col>
      <xdr:colOff>0</xdr:colOff>
      <xdr:row>1</xdr:row>
      <xdr:rowOff>0</xdr:rowOff>
    </xdr:from>
    <xdr:ext cx="1152525" cy="923925"/>
    <xdr:pic>
      <xdr:nvPicPr>
        <xdr:cNvPr id="2" name="image18.jpg">
          <a:extLst>
            <a:ext uri="{FF2B5EF4-FFF2-40B4-BE49-F238E27FC236}">
              <a16:creationId xmlns:a16="http://schemas.microsoft.com/office/drawing/2014/main" id="{14785834-3748-48D8-8E45-843F15061C69}"/>
            </a:ext>
          </a:extLst>
        </xdr:cNvPr>
        <xdr:cNvPicPr preferRelativeResize="0"/>
      </xdr:nvPicPr>
      <xdr:blipFill>
        <a:blip xmlns:r="http://schemas.openxmlformats.org/officeDocument/2006/relationships" r:embed="rId1" cstate="print"/>
        <a:stretch>
          <a:fillRect/>
        </a:stretch>
      </xdr:blipFill>
      <xdr:spPr>
        <a:xfrm>
          <a:off x="12573000" y="161925"/>
          <a:ext cx="1152525" cy="923925"/>
        </a:xfrm>
        <a:prstGeom prst="rect">
          <a:avLst/>
        </a:prstGeom>
        <a:noFill/>
      </xdr:spPr>
    </xdr:pic>
    <xdr:clientData fLocksWithSheet="0"/>
  </xdr:oneCellAnchor>
  <xdr:oneCellAnchor>
    <xdr:from>
      <xdr:col>16</xdr:col>
      <xdr:colOff>0</xdr:colOff>
      <xdr:row>1</xdr:row>
      <xdr:rowOff>0</xdr:rowOff>
    </xdr:from>
    <xdr:ext cx="1104900" cy="923925"/>
    <xdr:pic>
      <xdr:nvPicPr>
        <xdr:cNvPr id="3" name="image34.jpg">
          <a:extLst>
            <a:ext uri="{FF2B5EF4-FFF2-40B4-BE49-F238E27FC236}">
              <a16:creationId xmlns:a16="http://schemas.microsoft.com/office/drawing/2014/main" id="{F865A85B-AA4D-48BE-A4BD-9B04B1C7B233}"/>
            </a:ext>
          </a:extLst>
        </xdr:cNvPr>
        <xdr:cNvPicPr preferRelativeResize="0"/>
      </xdr:nvPicPr>
      <xdr:blipFill>
        <a:blip xmlns:r="http://schemas.openxmlformats.org/officeDocument/2006/relationships" r:embed="rId2" cstate="print"/>
        <a:stretch>
          <a:fillRect/>
        </a:stretch>
      </xdr:blipFill>
      <xdr:spPr>
        <a:xfrm>
          <a:off x="13411200" y="161925"/>
          <a:ext cx="1104900" cy="923925"/>
        </a:xfrm>
        <a:prstGeom prst="rect">
          <a:avLst/>
        </a:prstGeom>
        <a:noFill/>
      </xdr:spPr>
    </xdr:pic>
    <xdr:clientData fLocksWithSheet="0"/>
  </xdr:oneCellAnchor>
  <xdr:oneCellAnchor>
    <xdr:from>
      <xdr:col>27</xdr:col>
      <xdr:colOff>0</xdr:colOff>
      <xdr:row>1</xdr:row>
      <xdr:rowOff>0</xdr:rowOff>
    </xdr:from>
    <xdr:ext cx="962025" cy="762000"/>
    <xdr:pic>
      <xdr:nvPicPr>
        <xdr:cNvPr id="4" name="image36.jpg">
          <a:extLst>
            <a:ext uri="{FF2B5EF4-FFF2-40B4-BE49-F238E27FC236}">
              <a16:creationId xmlns:a16="http://schemas.microsoft.com/office/drawing/2014/main" id="{7A6ED6D3-6A61-4F3B-B7E5-9A25D80E6B35}"/>
            </a:ext>
          </a:extLst>
        </xdr:cNvPr>
        <xdr:cNvPicPr preferRelativeResize="0"/>
      </xdr:nvPicPr>
      <xdr:blipFill>
        <a:blip xmlns:r="http://schemas.openxmlformats.org/officeDocument/2006/relationships" r:embed="rId3" cstate="print"/>
        <a:stretch>
          <a:fillRect/>
        </a:stretch>
      </xdr:blipFill>
      <xdr:spPr>
        <a:xfrm>
          <a:off x="22631400" y="161925"/>
          <a:ext cx="962025" cy="762000"/>
        </a:xfrm>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1</xdr:col>
      <xdr:colOff>0</xdr:colOff>
      <xdr:row>1</xdr:row>
      <xdr:rowOff>0</xdr:rowOff>
    </xdr:from>
    <xdr:ext cx="1343025" cy="752475"/>
    <xdr:pic>
      <xdr:nvPicPr>
        <xdr:cNvPr id="2" name="image43.jpg">
          <a:extLst>
            <a:ext uri="{FF2B5EF4-FFF2-40B4-BE49-F238E27FC236}">
              <a16:creationId xmlns:a16="http://schemas.microsoft.com/office/drawing/2014/main" id="{E8884F34-8DD4-42A9-A0E2-C84297DE365E}"/>
            </a:ext>
          </a:extLst>
        </xdr:cNvPr>
        <xdr:cNvPicPr preferRelativeResize="0"/>
      </xdr:nvPicPr>
      <xdr:blipFill>
        <a:blip xmlns:r="http://schemas.openxmlformats.org/officeDocument/2006/relationships" r:embed="rId1" cstate="print"/>
        <a:stretch>
          <a:fillRect/>
        </a:stretch>
      </xdr:blipFill>
      <xdr:spPr>
        <a:xfrm>
          <a:off x="838200" y="161925"/>
          <a:ext cx="1343025" cy="752475"/>
        </a:xfrm>
        <a:prstGeom prst="rect">
          <a:avLst/>
        </a:prstGeom>
        <a:noFill/>
      </xdr:spPr>
    </xdr:pic>
    <xdr:clientData fLocksWithSheet="0"/>
  </xdr:oneCellAnchor>
  <xdr:oneCellAnchor>
    <xdr:from>
      <xdr:col>2</xdr:col>
      <xdr:colOff>0</xdr:colOff>
      <xdr:row>1</xdr:row>
      <xdr:rowOff>0</xdr:rowOff>
    </xdr:from>
    <xdr:ext cx="1457325" cy="1095375"/>
    <xdr:pic>
      <xdr:nvPicPr>
        <xdr:cNvPr id="3" name="image32.jpg">
          <a:extLst>
            <a:ext uri="{FF2B5EF4-FFF2-40B4-BE49-F238E27FC236}">
              <a16:creationId xmlns:a16="http://schemas.microsoft.com/office/drawing/2014/main" id="{2E7ABA21-FC12-4630-B6AB-88F0803FFEFF}"/>
            </a:ext>
          </a:extLst>
        </xdr:cNvPr>
        <xdr:cNvPicPr preferRelativeResize="0"/>
      </xdr:nvPicPr>
      <xdr:blipFill>
        <a:blip xmlns:r="http://schemas.openxmlformats.org/officeDocument/2006/relationships" r:embed="rId2" cstate="print"/>
        <a:stretch>
          <a:fillRect/>
        </a:stretch>
      </xdr:blipFill>
      <xdr:spPr>
        <a:xfrm>
          <a:off x="1676400" y="161925"/>
          <a:ext cx="1457325" cy="1095375"/>
        </a:xfrm>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1</xdr:col>
      <xdr:colOff>0</xdr:colOff>
      <xdr:row>1</xdr:row>
      <xdr:rowOff>0</xdr:rowOff>
    </xdr:from>
    <xdr:ext cx="1428750" cy="571500"/>
    <xdr:pic>
      <xdr:nvPicPr>
        <xdr:cNvPr id="2" name="image41.jpg">
          <a:extLst>
            <a:ext uri="{FF2B5EF4-FFF2-40B4-BE49-F238E27FC236}">
              <a16:creationId xmlns:a16="http://schemas.microsoft.com/office/drawing/2014/main" id="{532A710A-7055-4DA3-942C-976CFB8F6C8E}"/>
            </a:ext>
          </a:extLst>
        </xdr:cNvPr>
        <xdr:cNvPicPr preferRelativeResize="0"/>
      </xdr:nvPicPr>
      <xdr:blipFill>
        <a:blip xmlns:r="http://schemas.openxmlformats.org/officeDocument/2006/relationships" r:embed="rId1" cstate="print"/>
        <a:stretch>
          <a:fillRect/>
        </a:stretch>
      </xdr:blipFill>
      <xdr:spPr>
        <a:xfrm>
          <a:off x="838200" y="161925"/>
          <a:ext cx="1428750" cy="571500"/>
        </a:xfrm>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1</xdr:row>
      <xdr:rowOff>0</xdr:rowOff>
    </xdr:from>
    <xdr:ext cx="1238250" cy="1743075"/>
    <xdr:pic>
      <xdr:nvPicPr>
        <xdr:cNvPr id="2" name="image31.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23</xdr:col>
      <xdr:colOff>0</xdr:colOff>
      <xdr:row>1</xdr:row>
      <xdr:rowOff>0</xdr:rowOff>
    </xdr:from>
    <xdr:ext cx="1143000" cy="1114425"/>
    <xdr:pic>
      <xdr:nvPicPr>
        <xdr:cNvPr id="3" name="image18.jp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dr:oneCellAnchor>
    <xdr:from>
      <xdr:col>1</xdr:col>
      <xdr:colOff>0</xdr:colOff>
      <xdr:row>1</xdr:row>
      <xdr:rowOff>0</xdr:rowOff>
    </xdr:from>
    <xdr:ext cx="962025" cy="714375"/>
    <xdr:pic>
      <xdr:nvPicPr>
        <xdr:cNvPr id="2" name="image17.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1</xdr:row>
      <xdr:rowOff>0</xdr:rowOff>
    </xdr:from>
    <xdr:ext cx="1228725" cy="1800225"/>
    <xdr:pic>
      <xdr:nvPicPr>
        <xdr:cNvPr id="3" name="image25.jp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0</xdr:colOff>
      <xdr:row>1</xdr:row>
      <xdr:rowOff>0</xdr:rowOff>
    </xdr:from>
    <xdr:ext cx="1076325" cy="647700"/>
    <xdr:pic>
      <xdr:nvPicPr>
        <xdr:cNvPr id="4" name="image24.jp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19</xdr:col>
      <xdr:colOff>0</xdr:colOff>
      <xdr:row>1</xdr:row>
      <xdr:rowOff>0</xdr:rowOff>
    </xdr:from>
    <xdr:ext cx="1390650" cy="923925"/>
    <xdr:pic>
      <xdr:nvPicPr>
        <xdr:cNvPr id="5" name="image34.jpg">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dr:oneCellAnchor>
    <xdr:from>
      <xdr:col>1</xdr:col>
      <xdr:colOff>0</xdr:colOff>
      <xdr:row>1</xdr:row>
      <xdr:rowOff>0</xdr:rowOff>
    </xdr:from>
    <xdr:ext cx="1228725" cy="723900"/>
    <xdr:pic>
      <xdr:nvPicPr>
        <xdr:cNvPr id="2" name="image29.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1</xdr:row>
      <xdr:rowOff>0</xdr:rowOff>
    </xdr:from>
    <xdr:ext cx="1162050" cy="685800"/>
    <xdr:pic>
      <xdr:nvPicPr>
        <xdr:cNvPr id="3" name="image29.jp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0</xdr:colOff>
      <xdr:row>1</xdr:row>
      <xdr:rowOff>0</xdr:rowOff>
    </xdr:from>
    <xdr:ext cx="933450" cy="1714500"/>
    <xdr:pic>
      <xdr:nvPicPr>
        <xdr:cNvPr id="4" name="image35.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dr:oneCellAnchor>
    <xdr:from>
      <xdr:col>3</xdr:col>
      <xdr:colOff>0</xdr:colOff>
      <xdr:row>1</xdr:row>
      <xdr:rowOff>0</xdr:rowOff>
    </xdr:from>
    <xdr:ext cx="1466850" cy="1905000"/>
    <xdr:pic>
      <xdr:nvPicPr>
        <xdr:cNvPr id="2" name="image20.jp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0</xdr:colOff>
      <xdr:row>1</xdr:row>
      <xdr:rowOff>0</xdr:rowOff>
    </xdr:from>
    <xdr:ext cx="1314450" cy="1924050"/>
    <xdr:pic>
      <xdr:nvPicPr>
        <xdr:cNvPr id="3" name="image27.jp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0</xdr:colOff>
      <xdr:row>1</xdr:row>
      <xdr:rowOff>0</xdr:rowOff>
    </xdr:from>
    <xdr:ext cx="1028700" cy="257175"/>
    <xdr:pic>
      <xdr:nvPicPr>
        <xdr:cNvPr id="4" name="image15.pn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14</xdr:col>
      <xdr:colOff>0</xdr:colOff>
      <xdr:row>1</xdr:row>
      <xdr:rowOff>0</xdr:rowOff>
    </xdr:from>
    <xdr:ext cx="1181100" cy="1057275"/>
    <xdr:pic>
      <xdr:nvPicPr>
        <xdr:cNvPr id="5" name="image26.jpg">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0</xdr:colOff>
      <xdr:row>1</xdr:row>
      <xdr:rowOff>0</xdr:rowOff>
    </xdr:from>
    <xdr:ext cx="1276350" cy="847725"/>
    <xdr:pic>
      <xdr:nvPicPr>
        <xdr:cNvPr id="6" name="image32.jpg">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spreadsheets/d/126rvgs9iRGxtL9DsbI0SSDMHXMr3uDf-hSeFkZVvk1Y/edit?gid=78555731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docs.google.com/spreadsheets/d/1MRIUI0kbGzS3-qvJGZGWk-BN4crV_z8uHzug82ho4Sg/edit?gid=791410855" TargetMode="External"/><Relationship Id="rId1" Type="http://schemas.openxmlformats.org/officeDocument/2006/relationships/hyperlink" Target="https://docs.google.com/spreadsheets/d/1cYUunWdLvyrJGf6IIo2IvPccb6KYTIDl1szFIHAOWj4/edit?gid=0" TargetMode="Externa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docs.google.com/spreadsheets/d/1MRIUI0kbGzS3-qvJGZGWk-BN4crV_z8uHzug82ho4Sg/edit?gid=1125269156" TargetMode="External"/><Relationship Id="rId1" Type="http://schemas.openxmlformats.org/officeDocument/2006/relationships/hyperlink" Target="https://docs.google.com/spreadsheets/d/1elUK6q-ujEgfb-QYwt4II1u3z-leh_8LqeJdHgWttGU/edit?gid=0"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google.com/spreadsheets/d/1elUK6q-ujEgfb-QYwt4II1u3z-leh_8LqeJdHgWttGU/edit?" TargetMode="External"/><Relationship Id="rId7" Type="http://schemas.openxmlformats.org/officeDocument/2006/relationships/hyperlink" Target="https://contentzone.eurocontrol.int/aircraftperformance/details.aspx?ICAO=F5" TargetMode="External"/><Relationship Id="rId2" Type="http://schemas.openxmlformats.org/officeDocument/2006/relationships/hyperlink" Target="https://docs.google.com/spreadsheets/d/1cYUunWdLvyrJGf6IIo2IvPccb6KYTIDl1szFIHAOWj4/edit?gid=0" TargetMode="External"/><Relationship Id="rId1" Type="http://schemas.openxmlformats.org/officeDocument/2006/relationships/hyperlink" Target="https://docs.google.com/spreadsheets/d/126rvgs9iRGxtL9DsbI0SSDMHXMr3uDf-hSeFkZVvk1Y/edit?gid=785557311" TargetMode="External"/><Relationship Id="rId6" Type="http://schemas.openxmlformats.org/officeDocument/2006/relationships/hyperlink" Target="https://docs.google.com/spreadsheets/d/1SsOpw9LAKOs0V5FBnv1VqAlu3OssmX7DJaaVAUREw78/edit?gid=939030645" TargetMode="External"/><Relationship Id="rId5" Type="http://schemas.openxmlformats.org/officeDocument/2006/relationships/hyperlink" Target="https://warthunder.highwaymen.space/SimCal/" TargetMode="External"/><Relationship Id="rId4" Type="http://schemas.openxmlformats.org/officeDocument/2006/relationships/hyperlink" Target="https://docs.google.com/spreadsheets/d/1MRIUI0kbGzS3-qvJGZGWk-BN4crV_z8uHzug82ho4Sg/edit?gid=1125269156"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ko-fi.com/johnwick9" TargetMode="External"/><Relationship Id="rId2" Type="http://schemas.openxmlformats.org/officeDocument/2006/relationships/hyperlink" Target="https://forms.gle/QriTDffA8QWUsA2r6" TargetMode="External"/><Relationship Id="rId1" Type="http://schemas.openxmlformats.org/officeDocument/2006/relationships/hyperlink" Target="https://en.wikipedia.org/wiki/PID_controller"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5.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4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3.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4.xml"/></Relationships>
</file>

<file path=xl/worksheets/_rels/sheet4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5.xml"/></Relationships>
</file>

<file path=xl/worksheets/_rels/sheet4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256"/>
  <sheetViews>
    <sheetView showGridLines="0" workbookViewId="0">
      <pane ySplit="9" topLeftCell="A10" activePane="bottomLeft" state="frozen"/>
      <selection pane="bottomLeft" activeCell="B11" sqref="B11"/>
    </sheetView>
  </sheetViews>
  <sheetFormatPr defaultColWidth="12.5703125" defaultRowHeight="15.75" customHeight="1"/>
  <cols>
    <col min="1" max="1" width="6.5703125" customWidth="1"/>
    <col min="2" max="2" width="32.7109375" customWidth="1"/>
    <col min="3" max="3" width="9" customWidth="1"/>
    <col min="4" max="4" width="8.7109375" customWidth="1"/>
    <col min="5" max="5" width="8.42578125" customWidth="1"/>
    <col min="6" max="6" width="9.140625" customWidth="1"/>
    <col min="7" max="7" width="8.7109375" customWidth="1"/>
    <col min="8" max="8" width="9.42578125" customWidth="1"/>
    <col min="9" max="9" width="10.28515625" customWidth="1"/>
    <col min="10" max="10" width="8.85546875" customWidth="1"/>
    <col min="11" max="11" width="8.7109375" customWidth="1"/>
    <col min="12" max="12" width="27.85546875" customWidth="1"/>
    <col min="13" max="13" width="7.7109375" customWidth="1"/>
    <col min="14" max="14" width="9.85546875" customWidth="1"/>
    <col min="15" max="15" width="8.85546875" customWidth="1"/>
    <col min="16" max="16" width="8.5703125" customWidth="1"/>
    <col min="17" max="18" width="9" customWidth="1"/>
    <col min="19" max="19" width="9.140625" customWidth="1"/>
    <col min="20" max="20" width="4.42578125" customWidth="1"/>
    <col min="21" max="21" width="3.85546875" customWidth="1"/>
    <col min="22" max="22" width="7.42578125" customWidth="1"/>
    <col min="23" max="23" width="26.140625" customWidth="1"/>
    <col min="24" max="24" width="8.85546875" customWidth="1"/>
    <col min="25" max="25" width="6.42578125" customWidth="1"/>
    <col min="26" max="26" width="7.85546875" customWidth="1"/>
    <col min="27" max="27" width="7.42578125" customWidth="1"/>
    <col min="28" max="28" width="6.42578125" customWidth="1"/>
    <col min="29" max="29" width="7.5703125" customWidth="1"/>
    <col min="30" max="30" width="7.7109375" customWidth="1"/>
  </cols>
  <sheetData>
    <row r="1" spans="1:32" ht="15.75" customHeight="1">
      <c r="A1" s="882" t="s">
        <v>0</v>
      </c>
      <c r="B1" s="868"/>
      <c r="C1" s="868"/>
      <c r="D1" s="868"/>
      <c r="E1" s="868"/>
      <c r="F1" s="868"/>
      <c r="G1" s="868"/>
      <c r="H1" s="868"/>
      <c r="I1" s="868"/>
      <c r="J1" s="868"/>
      <c r="K1" s="868"/>
      <c r="L1" s="868"/>
      <c r="M1" s="868"/>
      <c r="N1" s="868"/>
      <c r="O1" s="868"/>
      <c r="P1" s="868"/>
      <c r="Q1" s="1"/>
      <c r="R1" s="1"/>
      <c r="S1" s="1"/>
      <c r="T1" s="1"/>
      <c r="U1" s="1"/>
      <c r="V1" s="871" t="s">
        <v>1</v>
      </c>
      <c r="W1" s="872"/>
      <c r="X1" s="872"/>
      <c r="Y1" s="872"/>
      <c r="Z1" s="872"/>
      <c r="AA1" s="872"/>
      <c r="AB1" s="872"/>
      <c r="AC1" s="872"/>
      <c r="AD1" s="873"/>
      <c r="AE1" s="1"/>
      <c r="AF1" s="1"/>
    </row>
    <row r="2" spans="1:32" ht="15.75" customHeight="1">
      <c r="A2" s="883" t="s">
        <v>2</v>
      </c>
      <c r="B2" s="868"/>
      <c r="C2" s="3"/>
      <c r="D2" s="3"/>
      <c r="E2" s="3"/>
      <c r="F2" s="3"/>
      <c r="G2" s="3"/>
      <c r="H2" s="3"/>
      <c r="I2" s="3"/>
      <c r="J2" s="3"/>
      <c r="K2" s="3"/>
      <c r="L2" s="3"/>
      <c r="M2" s="3"/>
      <c r="N2" s="3"/>
      <c r="O2" s="3"/>
      <c r="P2" s="3"/>
      <c r="Q2" s="1"/>
      <c r="R2" s="1"/>
      <c r="S2" s="1"/>
      <c r="T2" s="1"/>
      <c r="U2" s="1"/>
      <c r="V2" s="874"/>
      <c r="W2" s="868"/>
      <c r="X2" s="868"/>
      <c r="Y2" s="868"/>
      <c r="Z2" s="868"/>
      <c r="AA2" s="868"/>
      <c r="AB2" s="868"/>
      <c r="AC2" s="868"/>
      <c r="AD2" s="875"/>
      <c r="AE2" s="1"/>
      <c r="AF2" s="1"/>
    </row>
    <row r="3" spans="1:32" ht="15.75" customHeight="1">
      <c r="A3" s="4" t="s">
        <v>3</v>
      </c>
      <c r="B3" s="5" t="s">
        <v>4</v>
      </c>
      <c r="C3" s="3"/>
      <c r="D3" s="3"/>
      <c r="E3" s="3"/>
      <c r="F3" s="3"/>
      <c r="G3" s="3"/>
      <c r="H3" s="3"/>
      <c r="I3" s="3"/>
      <c r="J3" s="3"/>
      <c r="K3" s="884" t="s">
        <v>5</v>
      </c>
      <c r="L3" s="872"/>
      <c r="M3" s="872"/>
      <c r="N3" s="872"/>
      <c r="O3" s="872"/>
      <c r="P3" s="872"/>
      <c r="Q3" s="872"/>
      <c r="R3" s="872"/>
      <c r="S3" s="873"/>
      <c r="T3" s="1"/>
      <c r="U3" s="1"/>
      <c r="V3" s="874"/>
      <c r="W3" s="868"/>
      <c r="X3" s="868"/>
      <c r="Y3" s="868"/>
      <c r="Z3" s="868"/>
      <c r="AA3" s="868"/>
      <c r="AB3" s="868"/>
      <c r="AC3" s="868"/>
      <c r="AD3" s="875"/>
      <c r="AE3" s="1"/>
      <c r="AF3" s="1"/>
    </row>
    <row r="4" spans="1:32" ht="15.75" customHeight="1">
      <c r="A4" s="6">
        <v>18.649999999999999</v>
      </c>
      <c r="B4" s="5" t="s">
        <v>6</v>
      </c>
      <c r="C4" s="3"/>
      <c r="D4" s="3"/>
      <c r="E4" s="3"/>
      <c r="F4" s="3"/>
      <c r="G4" s="3"/>
      <c r="H4" s="3"/>
      <c r="I4" s="3"/>
      <c r="J4" s="3"/>
      <c r="K4" s="874"/>
      <c r="L4" s="868"/>
      <c r="M4" s="868"/>
      <c r="N4" s="868"/>
      <c r="O4" s="868"/>
      <c r="P4" s="868"/>
      <c r="Q4" s="868"/>
      <c r="R4" s="868"/>
      <c r="S4" s="875"/>
      <c r="T4" s="1"/>
      <c r="U4" s="1"/>
      <c r="V4" s="874"/>
      <c r="W4" s="868"/>
      <c r="X4" s="868"/>
      <c r="Y4" s="868"/>
      <c r="Z4" s="868"/>
      <c r="AA4" s="868"/>
      <c r="AB4" s="868"/>
      <c r="AC4" s="868"/>
      <c r="AD4" s="875"/>
      <c r="AE4" s="1"/>
      <c r="AF4" s="1"/>
    </row>
    <row r="5" spans="1:32" ht="15.75" customHeight="1">
      <c r="A5" s="885" t="s">
        <v>7</v>
      </c>
      <c r="B5" s="868"/>
      <c r="C5" s="868"/>
      <c r="D5" s="868"/>
      <c r="E5" s="868"/>
      <c r="F5" s="868"/>
      <c r="G5" s="868"/>
      <c r="H5" s="1"/>
      <c r="I5" s="1"/>
      <c r="K5" s="874"/>
      <c r="L5" s="868"/>
      <c r="M5" s="868"/>
      <c r="N5" s="868"/>
      <c r="O5" s="868"/>
      <c r="P5" s="868"/>
      <c r="Q5" s="868"/>
      <c r="R5" s="868"/>
      <c r="S5" s="875"/>
      <c r="V5" s="874"/>
      <c r="W5" s="868"/>
      <c r="X5" s="868"/>
      <c r="Y5" s="868"/>
      <c r="Z5" s="868"/>
      <c r="AA5" s="868"/>
      <c r="AB5" s="868"/>
      <c r="AC5" s="868"/>
      <c r="AD5" s="875"/>
      <c r="AE5" s="7"/>
      <c r="AF5" s="7"/>
    </row>
    <row r="6" spans="1:32" ht="15.75" customHeight="1">
      <c r="A6" s="886" t="s">
        <v>8</v>
      </c>
      <c r="B6" s="872"/>
      <c r="C6" s="872"/>
      <c r="D6" s="872"/>
      <c r="E6" s="872"/>
      <c r="F6" s="872"/>
      <c r="G6" s="872"/>
      <c r="H6" s="872"/>
      <c r="I6" s="873"/>
      <c r="K6" s="874"/>
      <c r="L6" s="868"/>
      <c r="M6" s="868"/>
      <c r="N6" s="868"/>
      <c r="O6" s="868"/>
      <c r="P6" s="868"/>
      <c r="Q6" s="868"/>
      <c r="R6" s="868"/>
      <c r="S6" s="875"/>
      <c r="V6" s="874"/>
      <c r="W6" s="868"/>
      <c r="X6" s="868"/>
      <c r="Y6" s="868"/>
      <c r="Z6" s="868"/>
      <c r="AA6" s="868"/>
      <c r="AB6" s="868"/>
      <c r="AC6" s="868"/>
      <c r="AD6" s="875"/>
      <c r="AE6" s="7"/>
      <c r="AF6" s="7"/>
    </row>
    <row r="7" spans="1:32" ht="15.75" customHeight="1">
      <c r="A7" s="876"/>
      <c r="B7" s="877"/>
      <c r="C7" s="877"/>
      <c r="D7" s="877"/>
      <c r="E7" s="877"/>
      <c r="F7" s="877"/>
      <c r="G7" s="877"/>
      <c r="H7" s="877"/>
      <c r="I7" s="878"/>
      <c r="K7" s="876"/>
      <c r="L7" s="877"/>
      <c r="M7" s="877"/>
      <c r="N7" s="877"/>
      <c r="O7" s="877"/>
      <c r="P7" s="877"/>
      <c r="Q7" s="877"/>
      <c r="R7" s="877"/>
      <c r="S7" s="878"/>
      <c r="V7" s="876"/>
      <c r="W7" s="877"/>
      <c r="X7" s="877"/>
      <c r="Y7" s="877"/>
      <c r="Z7" s="877"/>
      <c r="AA7" s="877"/>
      <c r="AB7" s="877"/>
      <c r="AC7" s="877"/>
      <c r="AD7" s="878"/>
      <c r="AE7" s="7"/>
      <c r="AF7" s="7"/>
    </row>
    <row r="8" spans="1:32" ht="15.75" customHeight="1">
      <c r="A8" s="887" t="s">
        <v>9</v>
      </c>
      <c r="B8" s="869"/>
      <c r="C8" s="869"/>
      <c r="D8" s="869"/>
      <c r="E8" s="869"/>
      <c r="F8" s="869"/>
      <c r="G8" s="869"/>
      <c r="H8" s="869"/>
      <c r="I8" s="888"/>
      <c r="K8" s="889" t="s">
        <v>10</v>
      </c>
      <c r="L8" s="869"/>
      <c r="M8" s="869"/>
      <c r="N8" s="869"/>
      <c r="O8" s="869"/>
      <c r="P8" s="869"/>
      <c r="Q8" s="869"/>
      <c r="R8" s="869"/>
      <c r="S8" s="888"/>
      <c r="V8" s="879" t="s">
        <v>11</v>
      </c>
      <c r="W8" s="880"/>
      <c r="X8" s="880"/>
      <c r="Y8" s="880"/>
      <c r="Z8" s="880"/>
      <c r="AA8" s="880"/>
      <c r="AB8" s="880"/>
      <c r="AC8" s="880"/>
      <c r="AD8" s="881"/>
      <c r="AE8" s="7"/>
      <c r="AF8" s="7"/>
    </row>
    <row r="9" spans="1:32" ht="15.75" customHeight="1">
      <c r="A9" s="8" t="s">
        <v>12</v>
      </c>
      <c r="B9" s="9" t="s">
        <v>13</v>
      </c>
      <c r="C9" s="9">
        <v>200</v>
      </c>
      <c r="D9" s="9">
        <v>250</v>
      </c>
      <c r="E9" s="9">
        <v>300</v>
      </c>
      <c r="F9" s="9">
        <v>350</v>
      </c>
      <c r="G9" s="9">
        <v>400</v>
      </c>
      <c r="H9" s="9">
        <v>450</v>
      </c>
      <c r="I9" s="10">
        <v>500</v>
      </c>
      <c r="K9" s="11" t="s">
        <v>12</v>
      </c>
      <c r="L9" s="9" t="s">
        <v>13</v>
      </c>
      <c r="M9" s="12">
        <v>200</v>
      </c>
      <c r="N9" s="12">
        <v>250</v>
      </c>
      <c r="O9" s="12">
        <v>300</v>
      </c>
      <c r="P9" s="12">
        <v>350</v>
      </c>
      <c r="Q9" s="12">
        <v>400</v>
      </c>
      <c r="R9" s="12">
        <v>450</v>
      </c>
      <c r="S9" s="13">
        <v>500</v>
      </c>
      <c r="T9" s="14"/>
      <c r="U9" s="14"/>
      <c r="V9" s="15" t="s">
        <v>12</v>
      </c>
      <c r="W9" s="12" t="s">
        <v>13</v>
      </c>
      <c r="X9" s="12">
        <v>200</v>
      </c>
      <c r="Y9" s="12">
        <v>250</v>
      </c>
      <c r="Z9" s="12">
        <v>300</v>
      </c>
      <c r="AA9" s="12">
        <v>350</v>
      </c>
      <c r="AB9" s="12">
        <v>400</v>
      </c>
      <c r="AC9" s="12">
        <v>450</v>
      </c>
      <c r="AD9" s="13">
        <v>500</v>
      </c>
      <c r="AE9" s="7"/>
      <c r="AF9" s="7"/>
    </row>
    <row r="10" spans="1:32" ht="15.75" customHeight="1">
      <c r="A10" s="867">
        <v>14</v>
      </c>
      <c r="B10" s="17" t="s">
        <v>14</v>
      </c>
      <c r="C10" s="18" t="s">
        <v>15</v>
      </c>
      <c r="D10" s="18" t="s">
        <v>15</v>
      </c>
      <c r="E10" s="18" t="s">
        <v>15</v>
      </c>
      <c r="F10" s="18" t="s">
        <v>15</v>
      </c>
      <c r="G10" s="18" t="s">
        <v>15</v>
      </c>
      <c r="H10" s="18" t="s">
        <v>15</v>
      </c>
      <c r="I10" s="19" t="s">
        <v>15</v>
      </c>
      <c r="K10" s="870">
        <v>14</v>
      </c>
      <c r="L10" s="20" t="s">
        <v>14</v>
      </c>
      <c r="M10" s="21" t="e">
        <f t="shared" ref="M10:S10" si="0">($M$9*0.514444)/(C10*((PI()/180)))</f>
        <v>#VALUE!</v>
      </c>
      <c r="N10" s="21" t="e">
        <f t="shared" si="0"/>
        <v>#VALUE!</v>
      </c>
      <c r="O10" s="21" t="e">
        <f t="shared" si="0"/>
        <v>#VALUE!</v>
      </c>
      <c r="P10" s="21" t="e">
        <f t="shared" si="0"/>
        <v>#VALUE!</v>
      </c>
      <c r="Q10" s="21" t="e">
        <f t="shared" si="0"/>
        <v>#VALUE!</v>
      </c>
      <c r="R10" s="21" t="e">
        <f t="shared" si="0"/>
        <v>#VALUE!</v>
      </c>
      <c r="S10" s="22" t="e">
        <f t="shared" si="0"/>
        <v>#VALUE!</v>
      </c>
      <c r="V10" s="870">
        <v>14</v>
      </c>
      <c r="W10" s="20" t="s">
        <v>14</v>
      </c>
      <c r="X10" s="23"/>
      <c r="Y10" s="23"/>
      <c r="Z10" s="23"/>
      <c r="AA10" s="23"/>
      <c r="AB10" s="23"/>
      <c r="AC10" s="23"/>
      <c r="AD10" s="24"/>
      <c r="AE10" s="7"/>
      <c r="AF10" s="7"/>
    </row>
    <row r="11" spans="1:32" ht="15.75" customHeight="1">
      <c r="A11" s="868"/>
      <c r="B11" s="17" t="s">
        <v>16</v>
      </c>
      <c r="C11" s="25">
        <v>20</v>
      </c>
      <c r="D11" s="26">
        <v>19.899999999999999</v>
      </c>
      <c r="E11" s="27">
        <v>20.3</v>
      </c>
      <c r="F11" s="28">
        <v>20.6</v>
      </c>
      <c r="G11" s="29">
        <v>20.8</v>
      </c>
      <c r="H11" s="30">
        <v>20.75</v>
      </c>
      <c r="I11" s="31">
        <v>20.8</v>
      </c>
      <c r="K11" s="864"/>
      <c r="L11" s="20" t="s">
        <v>16</v>
      </c>
      <c r="M11" s="21">
        <f t="shared" ref="M11:S11" si="1">($M$9*0.514444)/(C11*((PI()/180)))</f>
        <v>294.75469995828126</v>
      </c>
      <c r="N11" s="21">
        <f t="shared" si="1"/>
        <v>296.23587935505651</v>
      </c>
      <c r="O11" s="21">
        <f t="shared" si="1"/>
        <v>290.39871917072043</v>
      </c>
      <c r="P11" s="21">
        <f t="shared" si="1"/>
        <v>286.16961160998176</v>
      </c>
      <c r="Q11" s="21">
        <f t="shared" si="1"/>
        <v>283.41798072911655</v>
      </c>
      <c r="R11" s="21">
        <f t="shared" si="1"/>
        <v>284.10091562243974</v>
      </c>
      <c r="S11" s="22">
        <f t="shared" si="1"/>
        <v>283.41798072911655</v>
      </c>
      <c r="V11" s="864"/>
      <c r="W11" s="20" t="s">
        <v>16</v>
      </c>
      <c r="X11" s="23">
        <f t="shared" ref="X11:AD11" si="2">(C11/M11)*100*11.05</f>
        <v>74.977600028525316</v>
      </c>
      <c r="Y11" s="23">
        <f t="shared" si="2"/>
        <v>74.22969846824077</v>
      </c>
      <c r="Z11" s="23">
        <f t="shared" si="2"/>
        <v>77.243797989387517</v>
      </c>
      <c r="AA11" s="23">
        <f t="shared" si="2"/>
        <v>79.543735870262523</v>
      </c>
      <c r="AB11" s="23">
        <f t="shared" si="2"/>
        <v>81.095772190852998</v>
      </c>
      <c r="AC11" s="23">
        <f t="shared" si="2"/>
        <v>80.70635728070485</v>
      </c>
      <c r="AD11" s="24">
        <f t="shared" si="2"/>
        <v>81.095772190852998</v>
      </c>
      <c r="AE11" s="7"/>
      <c r="AF11" s="7"/>
    </row>
    <row r="12" spans="1:32" ht="15.75" customHeight="1">
      <c r="A12" s="869"/>
      <c r="B12" s="17" t="s">
        <v>17</v>
      </c>
      <c r="C12" s="25">
        <v>20.8</v>
      </c>
      <c r="D12" s="26">
        <v>21.1</v>
      </c>
      <c r="E12" s="27">
        <v>21.85</v>
      </c>
      <c r="F12" s="28">
        <v>22.8</v>
      </c>
      <c r="G12" s="29">
        <v>23.4</v>
      </c>
      <c r="H12" s="30">
        <v>23.35</v>
      </c>
      <c r="I12" s="31">
        <v>23.1</v>
      </c>
      <c r="K12" s="864"/>
      <c r="L12" s="20" t="s">
        <v>17</v>
      </c>
      <c r="M12" s="32">
        <f t="shared" ref="M12:S12" si="3">($M$9*0.514444)/(C12*((PI()/180)))</f>
        <v>283.41798072911655</v>
      </c>
      <c r="N12" s="32">
        <f t="shared" si="3"/>
        <v>279.38834119268364</v>
      </c>
      <c r="O12" s="32">
        <f t="shared" si="3"/>
        <v>269.79835236455943</v>
      </c>
      <c r="P12" s="32">
        <f t="shared" si="3"/>
        <v>258.5567543493695</v>
      </c>
      <c r="Q12" s="32">
        <f t="shared" si="3"/>
        <v>251.92709398143697</v>
      </c>
      <c r="R12" s="32">
        <f t="shared" si="3"/>
        <v>252.46655242679333</v>
      </c>
      <c r="S12" s="33">
        <f t="shared" si="3"/>
        <v>255.1988744227543</v>
      </c>
      <c r="V12" s="864"/>
      <c r="W12" s="20" t="s">
        <v>17</v>
      </c>
      <c r="X12" s="32">
        <f t="shared" ref="X12:AD12" si="4">(C12/M12)*100*11.05</f>
        <v>81.095772190852998</v>
      </c>
      <c r="Y12" s="32">
        <f t="shared" si="4"/>
        <v>83.4519432717494</v>
      </c>
      <c r="Z12" s="32">
        <f t="shared" si="4"/>
        <v>89.489983124046617</v>
      </c>
      <c r="AA12" s="32">
        <f t="shared" si="4"/>
        <v>97.440888997071539</v>
      </c>
      <c r="AB12" s="32">
        <f t="shared" si="4"/>
        <v>102.63683667904832</v>
      </c>
      <c r="AC12" s="32">
        <f t="shared" si="4"/>
        <v>102.19868632888165</v>
      </c>
      <c r="AD12" s="34">
        <f t="shared" si="4"/>
        <v>100.02199287805351</v>
      </c>
      <c r="AE12" s="7"/>
      <c r="AF12" s="7"/>
    </row>
    <row r="13" spans="1:32" ht="15.75" customHeight="1">
      <c r="A13" s="866">
        <v>13.7</v>
      </c>
      <c r="B13" s="35" t="s">
        <v>18</v>
      </c>
      <c r="C13" s="36">
        <v>13.96</v>
      </c>
      <c r="D13" s="37">
        <v>16.54</v>
      </c>
      <c r="E13" s="38">
        <v>17.77</v>
      </c>
      <c r="F13" s="39">
        <v>18.399999999999999</v>
      </c>
      <c r="G13" s="40">
        <v>19.11</v>
      </c>
      <c r="H13" s="41">
        <v>19.72</v>
      </c>
      <c r="I13" s="42">
        <v>20.079999999999998</v>
      </c>
      <c r="K13" s="863">
        <v>13.7</v>
      </c>
      <c r="L13" s="43" t="s">
        <v>18</v>
      </c>
      <c r="M13" s="21">
        <f>($M$9*0.514444)/(C13*((PI()/180)))</f>
        <v>422.28467042733695</v>
      </c>
      <c r="N13" s="21">
        <f>($N$9*0.514444)/(D13*((PI()/180)))</f>
        <v>445.51798663585436</v>
      </c>
      <c r="O13" s="44">
        <f>($O$9*0.514444)/(E13*((PI()/180)))</f>
        <v>497.61626329479111</v>
      </c>
      <c r="P13" s="44">
        <f>($P$9*0.514444)/(F13*((PI()/180)))</f>
        <v>560.67470100760011</v>
      </c>
      <c r="Q13" s="21">
        <f>($Q$9*0.514444)/(G13*((PI()/180)))</f>
        <v>616.9643117912741</v>
      </c>
      <c r="R13" s="44">
        <f>($R$9*0.514444)/(H13*((PI()/180)))</f>
        <v>672.61468043218338</v>
      </c>
      <c r="S13" s="45">
        <f>($S$9*0.514444)/(I13*((PI()/180)))</f>
        <v>733.95094611125808</v>
      </c>
      <c r="V13" s="863">
        <v>13.7</v>
      </c>
      <c r="W13" s="43" t="s">
        <v>18</v>
      </c>
      <c r="X13" s="21">
        <f t="shared" ref="X13:AD13" si="5">(C13/M13)*100*12.2354989838484</f>
        <v>40.448441010580027</v>
      </c>
      <c r="Y13" s="21">
        <f t="shared" si="5"/>
        <v>45.424687501621463</v>
      </c>
      <c r="Z13" s="21">
        <f t="shared" si="5"/>
        <v>43.69326989101684</v>
      </c>
      <c r="AA13" s="21">
        <f t="shared" si="5"/>
        <v>40.153975361866522</v>
      </c>
      <c r="AB13" s="21">
        <f t="shared" si="5"/>
        <v>37.898526886016541</v>
      </c>
      <c r="AC13" s="21">
        <f t="shared" si="5"/>
        <v>35.87255035921239</v>
      </c>
      <c r="AD13" s="22">
        <f t="shared" si="5"/>
        <v>33.474828378848137</v>
      </c>
      <c r="AE13" s="7"/>
      <c r="AF13" s="7"/>
    </row>
    <row r="14" spans="1:32" ht="15.75" customHeight="1">
      <c r="A14" s="864"/>
      <c r="B14" s="46" t="s">
        <v>19</v>
      </c>
      <c r="C14" s="18" t="s">
        <v>15</v>
      </c>
      <c r="D14" s="18" t="s">
        <v>15</v>
      </c>
      <c r="E14" s="18" t="s">
        <v>15</v>
      </c>
      <c r="F14" s="18" t="s">
        <v>15</v>
      </c>
      <c r="G14" s="18" t="s">
        <v>15</v>
      </c>
      <c r="H14" s="18" t="s">
        <v>15</v>
      </c>
      <c r="I14" s="19" t="s">
        <v>15</v>
      </c>
      <c r="K14" s="864"/>
      <c r="L14" s="47" t="s">
        <v>19</v>
      </c>
      <c r="M14" s="48" t="s">
        <v>20</v>
      </c>
      <c r="N14" s="48" t="s">
        <v>20</v>
      </c>
      <c r="O14" s="2" t="s">
        <v>20</v>
      </c>
      <c r="P14" s="48" t="s">
        <v>20</v>
      </c>
      <c r="Q14" s="48" t="s">
        <v>20</v>
      </c>
      <c r="R14" s="48" t="s">
        <v>20</v>
      </c>
      <c r="S14" s="49" t="s">
        <v>20</v>
      </c>
      <c r="V14" s="864"/>
      <c r="W14" s="47" t="s">
        <v>19</v>
      </c>
      <c r="X14" s="2" t="s">
        <v>20</v>
      </c>
      <c r="Y14" s="2" t="s">
        <v>20</v>
      </c>
      <c r="Z14" s="2" t="s">
        <v>20</v>
      </c>
      <c r="AA14" s="2" t="s">
        <v>20</v>
      </c>
      <c r="AB14" s="2" t="s">
        <v>20</v>
      </c>
      <c r="AC14" s="2" t="s">
        <v>20</v>
      </c>
      <c r="AD14" s="50" t="s">
        <v>20</v>
      </c>
      <c r="AE14" s="51"/>
      <c r="AF14" s="51"/>
    </row>
    <row r="15" spans="1:32" ht="15.75" customHeight="1">
      <c r="A15" s="864"/>
      <c r="B15" s="46" t="s">
        <v>21</v>
      </c>
      <c r="C15" s="18" t="s">
        <v>15</v>
      </c>
      <c r="D15" s="18" t="s">
        <v>15</v>
      </c>
      <c r="E15" s="18" t="s">
        <v>15</v>
      </c>
      <c r="F15" s="18" t="s">
        <v>15</v>
      </c>
      <c r="G15" s="18" t="s">
        <v>15</v>
      </c>
      <c r="H15" s="18" t="s">
        <v>15</v>
      </c>
      <c r="I15" s="19" t="s">
        <v>15</v>
      </c>
      <c r="K15" s="864"/>
      <c r="L15" s="47" t="s">
        <v>21</v>
      </c>
      <c r="M15" s="48" t="s">
        <v>20</v>
      </c>
      <c r="N15" s="48" t="s">
        <v>20</v>
      </c>
      <c r="O15" s="2" t="s">
        <v>20</v>
      </c>
      <c r="P15" s="48" t="s">
        <v>20</v>
      </c>
      <c r="Q15" s="48" t="s">
        <v>20</v>
      </c>
      <c r="R15" s="48" t="s">
        <v>20</v>
      </c>
      <c r="S15" s="49" t="s">
        <v>20</v>
      </c>
      <c r="V15" s="864"/>
      <c r="W15" s="47" t="s">
        <v>21</v>
      </c>
      <c r="X15" s="2" t="s">
        <v>20</v>
      </c>
      <c r="Y15" s="2" t="s">
        <v>20</v>
      </c>
      <c r="Z15" s="2" t="s">
        <v>20</v>
      </c>
      <c r="AA15" s="2" t="s">
        <v>20</v>
      </c>
      <c r="AB15" s="2" t="s">
        <v>20</v>
      </c>
      <c r="AC15" s="2" t="s">
        <v>20</v>
      </c>
      <c r="AD15" s="50" t="s">
        <v>20</v>
      </c>
      <c r="AE15" s="51"/>
      <c r="AF15" s="51"/>
    </row>
    <row r="16" spans="1:32" ht="15.75" customHeight="1">
      <c r="A16" s="864"/>
      <c r="B16" s="52" t="s">
        <v>22</v>
      </c>
      <c r="C16" s="53">
        <v>15.39</v>
      </c>
      <c r="D16" s="54">
        <v>15.92</v>
      </c>
      <c r="E16" s="55">
        <v>16.52</v>
      </c>
      <c r="F16" s="56">
        <v>17.11</v>
      </c>
      <c r="G16" s="57">
        <v>17.87</v>
      </c>
      <c r="H16" s="58">
        <v>18.29</v>
      </c>
      <c r="I16" s="59">
        <v>18.98</v>
      </c>
      <c r="J16" s="60" t="s">
        <v>23</v>
      </c>
      <c r="K16" s="864"/>
      <c r="L16" s="61" t="s">
        <v>22</v>
      </c>
      <c r="M16" s="21">
        <f>($M$9*0.514444)/(C16*((PI()/180)))</f>
        <v>383.04704348054742</v>
      </c>
      <c r="N16" s="21">
        <f>($N$9*0.514444)/(D16*((PI()/180)))</f>
        <v>462.86856149227577</v>
      </c>
      <c r="O16" s="44">
        <f>($O$9*0.514444)/(E16*((PI()/180)))</f>
        <v>535.26882559009914</v>
      </c>
      <c r="P16" s="44">
        <f>($P$9*0.514444)/(F16*((PI()/180)))</f>
        <v>602.94649319344489</v>
      </c>
      <c r="Q16" s="21">
        <f>($Q$9*0.514444)/(G16*((PI()/180)))</f>
        <v>659.77548955407099</v>
      </c>
      <c r="R16" s="44">
        <f>($R$9*0.514444)/(H16*((PI()/180)))</f>
        <v>725.20292499303741</v>
      </c>
      <c r="S16" s="45">
        <f>($S$9*0.514444)/(I16*((PI()/180)))</f>
        <v>776.4876184359357</v>
      </c>
      <c r="V16" s="864"/>
      <c r="W16" s="61" t="s">
        <v>22</v>
      </c>
      <c r="X16" s="21">
        <f t="shared" ref="X16:AD16" si="6">(C16/M16)*100*12.2354989838484</f>
        <v>49.159583024164419</v>
      </c>
      <c r="Y16" s="21">
        <f t="shared" si="6"/>
        <v>42.083036098816379</v>
      </c>
      <c r="Z16" s="21">
        <f t="shared" si="6"/>
        <v>37.762416481165303</v>
      </c>
      <c r="AA16" s="21">
        <f t="shared" si="6"/>
        <v>34.72105567856417</v>
      </c>
      <c r="AB16" s="21">
        <f t="shared" si="6"/>
        <v>33.139813512798263</v>
      </c>
      <c r="AC16" s="21">
        <f t="shared" si="6"/>
        <v>30.858573331972671</v>
      </c>
      <c r="AD16" s="22">
        <f t="shared" si="6"/>
        <v>29.907723600437912</v>
      </c>
      <c r="AE16" s="7"/>
      <c r="AF16" s="7"/>
    </row>
    <row r="17" spans="1:32" ht="15.75" customHeight="1">
      <c r="A17" s="864"/>
      <c r="B17" s="52" t="s">
        <v>24</v>
      </c>
      <c r="C17" s="18" t="s">
        <v>15</v>
      </c>
      <c r="D17" s="18" t="s">
        <v>15</v>
      </c>
      <c r="E17" s="18" t="s">
        <v>15</v>
      </c>
      <c r="F17" s="18" t="s">
        <v>15</v>
      </c>
      <c r="G17" s="18" t="s">
        <v>15</v>
      </c>
      <c r="H17" s="18" t="s">
        <v>15</v>
      </c>
      <c r="I17" s="19" t="s">
        <v>15</v>
      </c>
      <c r="K17" s="864"/>
      <c r="L17" s="61" t="s">
        <v>24</v>
      </c>
      <c r="M17" s="48" t="s">
        <v>20</v>
      </c>
      <c r="N17" s="48" t="s">
        <v>20</v>
      </c>
      <c r="O17" s="2" t="s">
        <v>20</v>
      </c>
      <c r="P17" s="48" t="s">
        <v>20</v>
      </c>
      <c r="Q17" s="48" t="s">
        <v>20</v>
      </c>
      <c r="R17" s="48" t="s">
        <v>20</v>
      </c>
      <c r="S17" s="49" t="s">
        <v>20</v>
      </c>
      <c r="V17" s="864"/>
      <c r="W17" s="61" t="s">
        <v>24</v>
      </c>
      <c r="X17" s="2" t="s">
        <v>20</v>
      </c>
      <c r="Y17" s="2" t="s">
        <v>20</v>
      </c>
      <c r="Z17" s="2" t="s">
        <v>20</v>
      </c>
      <c r="AA17" s="2" t="s">
        <v>20</v>
      </c>
      <c r="AB17" s="2" t="s">
        <v>20</v>
      </c>
      <c r="AC17" s="2" t="s">
        <v>20</v>
      </c>
      <c r="AD17" s="50" t="s">
        <v>20</v>
      </c>
      <c r="AE17" s="51"/>
      <c r="AF17" s="51"/>
    </row>
    <row r="18" spans="1:32" ht="15.75" customHeight="1">
      <c r="A18" s="864"/>
      <c r="B18" s="62" t="s">
        <v>25</v>
      </c>
      <c r="C18" s="63">
        <v>14.53</v>
      </c>
      <c r="D18" s="64">
        <v>13.94</v>
      </c>
      <c r="E18" s="63">
        <v>14.52</v>
      </c>
      <c r="F18" s="65">
        <v>14.87</v>
      </c>
      <c r="G18" s="66">
        <v>15.13</v>
      </c>
      <c r="H18" s="67">
        <v>15.44</v>
      </c>
      <c r="I18" s="68">
        <v>15.81</v>
      </c>
      <c r="K18" s="864"/>
      <c r="L18" s="69" t="s">
        <v>25</v>
      </c>
      <c r="M18" s="21">
        <f t="shared" ref="M18:M19" si="7">($M$9*0.514444)/(C18*((PI()/180)))</f>
        <v>405.7187886555833</v>
      </c>
      <c r="N18" s="21">
        <f t="shared" ref="N18:N19" si="8">($N$9*0.514444)/(D18*((PI()/180)))</f>
        <v>528.61316348328774</v>
      </c>
      <c r="O18" s="44">
        <f t="shared" ref="O18:O19" si="9">($O$9*0.514444)/(E18*((PI()/180)))</f>
        <v>608.99731396339098</v>
      </c>
      <c r="P18" s="44">
        <f t="shared" ref="P18:P19" si="10">($P$9*0.514444)/(F18*((PI()/180)))</f>
        <v>693.77367172426648</v>
      </c>
      <c r="Q18" s="21">
        <f t="shared" ref="Q18:Q19" si="11">($Q$9*0.514444)/(G18*((PI()/180)))</f>
        <v>779.25895560682409</v>
      </c>
      <c r="R18" s="44">
        <f t="shared" ref="R18:R19" si="12">($R$9*0.514444)/(H18*((PI()/180)))</f>
        <v>859.06486386804761</v>
      </c>
      <c r="S18" s="45">
        <f t="shared" ref="S18:S19" si="13">($S$9*0.514444)/(I18*((PI()/180)))</f>
        <v>932.17805173396971</v>
      </c>
      <c r="V18" s="864"/>
      <c r="W18" s="69" t="s">
        <v>25</v>
      </c>
      <c r="X18" s="21">
        <f t="shared" ref="X18:AD18" si="14">(C18/M18)*100*12.2354989838484</f>
        <v>43.818971466524097</v>
      </c>
      <c r="Y18" s="21">
        <f t="shared" si="14"/>
        <v>32.26610073629751</v>
      </c>
      <c r="Z18" s="21">
        <f t="shared" si="14"/>
        <v>29.172451367520893</v>
      </c>
      <c r="AA18" s="21">
        <f t="shared" si="14"/>
        <v>26.224960286780199</v>
      </c>
      <c r="AB18" s="21">
        <f t="shared" si="14"/>
        <v>23.756300558838923</v>
      </c>
      <c r="AC18" s="21">
        <f t="shared" si="14"/>
        <v>21.990901066538886</v>
      </c>
      <c r="AD18" s="22">
        <f t="shared" si="14"/>
        <v>20.751747863491765</v>
      </c>
      <c r="AE18" s="7"/>
      <c r="AF18" s="7"/>
    </row>
    <row r="19" spans="1:32" ht="15.75" customHeight="1">
      <c r="A19" s="865"/>
      <c r="B19" s="70" t="s">
        <v>26</v>
      </c>
      <c r="C19" s="71">
        <v>16.86</v>
      </c>
      <c r="D19" s="72">
        <v>17.3</v>
      </c>
      <c r="E19" s="73">
        <v>18.03</v>
      </c>
      <c r="F19" s="74">
        <v>18.34</v>
      </c>
      <c r="G19" s="74">
        <v>18.39</v>
      </c>
      <c r="H19" s="75">
        <v>17.989999999999998</v>
      </c>
      <c r="I19" s="76">
        <v>17.89</v>
      </c>
      <c r="K19" s="865"/>
      <c r="L19" s="77" t="s">
        <v>26</v>
      </c>
      <c r="M19" s="32">
        <f t="shared" si="7"/>
        <v>349.64970339060642</v>
      </c>
      <c r="N19" s="32">
        <f t="shared" si="8"/>
        <v>425.94609820560862</v>
      </c>
      <c r="O19" s="78">
        <f t="shared" si="9"/>
        <v>490.44043254289721</v>
      </c>
      <c r="P19" s="78">
        <f t="shared" si="10"/>
        <v>562.50896938603285</v>
      </c>
      <c r="Q19" s="32">
        <f t="shared" si="11"/>
        <v>641.11952138832237</v>
      </c>
      <c r="R19" s="78">
        <f t="shared" si="12"/>
        <v>737.29635898402762</v>
      </c>
      <c r="S19" s="79">
        <f t="shared" si="13"/>
        <v>823.79737271738736</v>
      </c>
      <c r="V19" s="865"/>
      <c r="W19" s="77" t="s">
        <v>26</v>
      </c>
      <c r="X19" s="32">
        <f t="shared" ref="X19:AD19" si="15">(C19/M19)*100*12.2354989838484</f>
        <v>58.999195728540158</v>
      </c>
      <c r="Y19" s="32">
        <f t="shared" si="15"/>
        <v>49.695051395540673</v>
      </c>
      <c r="Z19" s="32">
        <f t="shared" si="15"/>
        <v>44.981211180929897</v>
      </c>
      <c r="AA19" s="32">
        <f t="shared" si="15"/>
        <v>39.892528577581025</v>
      </c>
      <c r="AB19" s="32">
        <f t="shared" si="15"/>
        <v>35.096548897110296</v>
      </c>
      <c r="AC19" s="32">
        <f t="shared" si="15"/>
        <v>29.854565811602114</v>
      </c>
      <c r="AD19" s="33">
        <f t="shared" si="15"/>
        <v>26.571227837132412</v>
      </c>
      <c r="AE19" s="7"/>
      <c r="AF19" s="7"/>
    </row>
    <row r="20" spans="1:32" ht="15.75" customHeight="1">
      <c r="A20" s="866">
        <v>13.3</v>
      </c>
      <c r="B20" s="80" t="s">
        <v>27</v>
      </c>
      <c r="C20" s="81" t="s">
        <v>15</v>
      </c>
      <c r="D20" s="81" t="s">
        <v>15</v>
      </c>
      <c r="E20" s="81" t="s">
        <v>15</v>
      </c>
      <c r="F20" s="81" t="s">
        <v>15</v>
      </c>
      <c r="G20" s="81" t="s">
        <v>15</v>
      </c>
      <c r="H20" s="81" t="s">
        <v>15</v>
      </c>
      <c r="I20" s="82" t="s">
        <v>15</v>
      </c>
      <c r="K20" s="863">
        <v>13.3</v>
      </c>
      <c r="L20" s="83" t="s">
        <v>28</v>
      </c>
      <c r="M20" s="84" t="s">
        <v>20</v>
      </c>
      <c r="N20" s="84" t="s">
        <v>20</v>
      </c>
      <c r="O20" s="85" t="s">
        <v>20</v>
      </c>
      <c r="P20" s="84" t="s">
        <v>20</v>
      </c>
      <c r="Q20" s="84" t="s">
        <v>20</v>
      </c>
      <c r="R20" s="84" t="s">
        <v>20</v>
      </c>
      <c r="S20" s="86" t="s">
        <v>20</v>
      </c>
      <c r="V20" s="863">
        <v>13.3</v>
      </c>
      <c r="W20" s="83" t="s">
        <v>28</v>
      </c>
      <c r="X20" s="85" t="s">
        <v>20</v>
      </c>
      <c r="Y20" s="85" t="s">
        <v>20</v>
      </c>
      <c r="Z20" s="85" t="s">
        <v>20</v>
      </c>
      <c r="AA20" s="85" t="s">
        <v>20</v>
      </c>
      <c r="AB20" s="85" t="s">
        <v>20</v>
      </c>
      <c r="AC20" s="85" t="s">
        <v>20</v>
      </c>
      <c r="AD20" s="87" t="s">
        <v>20</v>
      </c>
      <c r="AE20" s="51"/>
      <c r="AF20" s="51"/>
    </row>
    <row r="21" spans="1:32" ht="15.75" customHeight="1">
      <c r="A21" s="864"/>
      <c r="B21" s="52" t="s">
        <v>29</v>
      </c>
      <c r="C21" s="88">
        <v>11.74</v>
      </c>
      <c r="D21" s="89">
        <v>14.34</v>
      </c>
      <c r="E21" s="90">
        <v>15.78</v>
      </c>
      <c r="F21" s="91">
        <v>16.39</v>
      </c>
      <c r="G21" s="92">
        <v>16.71</v>
      </c>
      <c r="H21" s="93">
        <v>17.07</v>
      </c>
      <c r="I21" s="94">
        <v>17.13</v>
      </c>
      <c r="K21" s="864"/>
      <c r="L21" s="61" t="s">
        <v>29</v>
      </c>
      <c r="M21" s="21">
        <f t="shared" ref="M21:M24" si="16">($M$9*0.514444)/(C21*((PI()/180)))</f>
        <v>502.13747863420997</v>
      </c>
      <c r="N21" s="21">
        <f t="shared" ref="N21:N24" si="17">($N$9*0.514444)/(D21*((PI()/180)))</f>
        <v>513.86802642657119</v>
      </c>
      <c r="O21" s="44">
        <f t="shared" ref="O21:O52" si="18">($O$9*0.514444)/(E21*((PI()/180)))</f>
        <v>560.37015201194163</v>
      </c>
      <c r="P21" s="44">
        <f t="shared" ref="P21:P24" si="19">($P$9*0.514444)/(F21*((PI()/180)))</f>
        <v>629.43346543867244</v>
      </c>
      <c r="Q21" s="21">
        <f t="shared" ref="Q21:Q52" si="20">($Q$9*0.514444)/(G21*((PI()/180)))</f>
        <v>705.57678027116992</v>
      </c>
      <c r="R21" s="44">
        <f t="shared" ref="R21:R24" si="21">($R$9*0.514444)/(H21*((PI()/180)))</f>
        <v>777.03347967912441</v>
      </c>
      <c r="S21" s="45">
        <f t="shared" ref="S21:S23" si="22">($S$9*0.514444)/(I21*((PI()/180)))</f>
        <v>860.34646806270052</v>
      </c>
      <c r="V21" s="864"/>
      <c r="W21" s="61" t="s">
        <v>29</v>
      </c>
      <c r="X21" s="21">
        <f t="shared" ref="X21:AD21" si="23">(C21/M21)*100*12.2354989838484</f>
        <v>28.606659367686934</v>
      </c>
      <c r="Y21" s="21">
        <f t="shared" si="23"/>
        <v>34.144380736920176</v>
      </c>
      <c r="Z21" s="21">
        <f t="shared" si="23"/>
        <v>34.455113869272118</v>
      </c>
      <c r="AA21" s="21">
        <f t="shared" si="23"/>
        <v>31.860369579414183</v>
      </c>
      <c r="AB21" s="21">
        <f t="shared" si="23"/>
        <v>28.977028969339067</v>
      </c>
      <c r="AC21" s="21">
        <f t="shared" si="23"/>
        <v>26.879146538259945</v>
      </c>
      <c r="AD21" s="22">
        <f t="shared" si="23"/>
        <v>24.361592146159449</v>
      </c>
      <c r="AE21" s="7"/>
      <c r="AF21" s="7"/>
    </row>
    <row r="22" spans="1:32" ht="15.75" customHeight="1">
      <c r="A22" s="864"/>
      <c r="B22" s="52" t="s">
        <v>30</v>
      </c>
      <c r="C22" s="53">
        <v>15.39</v>
      </c>
      <c r="D22" s="54">
        <v>15.92</v>
      </c>
      <c r="E22" s="55">
        <v>16.52</v>
      </c>
      <c r="F22" s="56">
        <v>17.11</v>
      </c>
      <c r="G22" s="57">
        <v>17.87</v>
      </c>
      <c r="H22" s="58">
        <v>18.29</v>
      </c>
      <c r="I22" s="59">
        <v>18.98</v>
      </c>
      <c r="J22" s="60" t="s">
        <v>23</v>
      </c>
      <c r="K22" s="864"/>
      <c r="L22" s="61" t="s">
        <v>30</v>
      </c>
      <c r="M22" s="21">
        <f t="shared" si="16"/>
        <v>383.04704348054742</v>
      </c>
      <c r="N22" s="21">
        <f t="shared" si="17"/>
        <v>462.86856149227577</v>
      </c>
      <c r="O22" s="44">
        <f t="shared" si="18"/>
        <v>535.26882559009914</v>
      </c>
      <c r="P22" s="44">
        <f t="shared" si="19"/>
        <v>602.94649319344489</v>
      </c>
      <c r="Q22" s="21">
        <f t="shared" si="20"/>
        <v>659.77548955407099</v>
      </c>
      <c r="R22" s="44">
        <f t="shared" si="21"/>
        <v>725.20292499303741</v>
      </c>
      <c r="S22" s="45">
        <f t="shared" si="22"/>
        <v>776.4876184359357</v>
      </c>
      <c r="V22" s="864"/>
      <c r="W22" s="61" t="s">
        <v>30</v>
      </c>
      <c r="X22" s="21">
        <f t="shared" ref="X22:AD22" si="24">(C22/M22)*100*12.2354989838484</f>
        <v>49.159583024164419</v>
      </c>
      <c r="Y22" s="21">
        <f t="shared" si="24"/>
        <v>42.083036098816379</v>
      </c>
      <c r="Z22" s="21">
        <f t="shared" si="24"/>
        <v>37.762416481165303</v>
      </c>
      <c r="AA22" s="21">
        <f t="shared" si="24"/>
        <v>34.72105567856417</v>
      </c>
      <c r="AB22" s="21">
        <f t="shared" si="24"/>
        <v>33.139813512798263</v>
      </c>
      <c r="AC22" s="21">
        <f t="shared" si="24"/>
        <v>30.858573331972671</v>
      </c>
      <c r="AD22" s="22">
        <f t="shared" si="24"/>
        <v>29.907723600437912</v>
      </c>
      <c r="AE22" s="7"/>
      <c r="AF22" s="7"/>
    </row>
    <row r="23" spans="1:32" ht="15.75" customHeight="1">
      <c r="A23" s="864"/>
      <c r="B23" s="52" t="s">
        <v>31</v>
      </c>
      <c r="C23" s="95">
        <v>8.57</v>
      </c>
      <c r="D23" s="96">
        <v>11.61</v>
      </c>
      <c r="E23" s="65">
        <v>14.89</v>
      </c>
      <c r="F23" s="97">
        <v>16.23</v>
      </c>
      <c r="G23" s="98">
        <v>17.190000000000001</v>
      </c>
      <c r="H23" s="99">
        <v>17.97</v>
      </c>
      <c r="I23" s="100">
        <v>18.28</v>
      </c>
      <c r="K23" s="864"/>
      <c r="L23" s="61" t="s">
        <v>31</v>
      </c>
      <c r="M23" s="21">
        <f t="shared" si="16"/>
        <v>687.87561250474039</v>
      </c>
      <c r="N23" s="21">
        <f t="shared" si="17"/>
        <v>634.70004297648836</v>
      </c>
      <c r="O23" s="44">
        <f t="shared" si="18"/>
        <v>593.8644055573161</v>
      </c>
      <c r="P23" s="44">
        <f t="shared" si="19"/>
        <v>635.63860126554778</v>
      </c>
      <c r="Q23" s="21">
        <f t="shared" si="20"/>
        <v>685.87481083951411</v>
      </c>
      <c r="R23" s="44">
        <f t="shared" si="21"/>
        <v>738.11694480370932</v>
      </c>
      <c r="S23" s="45">
        <f t="shared" si="22"/>
        <v>806.22182701936867</v>
      </c>
      <c r="V23" s="864"/>
      <c r="W23" s="61" t="s">
        <v>31</v>
      </c>
      <c r="X23" s="21">
        <f t="shared" ref="X23:AD23" si="25">(C23/M23)*100*12.2354989838484</f>
        <v>15.243777273882953</v>
      </c>
      <c r="Y23" s="21">
        <f t="shared" si="25"/>
        <v>22.381303542426597</v>
      </c>
      <c r="Z23" s="21">
        <f t="shared" si="25"/>
        <v>30.678144398724893</v>
      </c>
      <c r="AA23" s="21">
        <f t="shared" si="25"/>
        <v>31.241360753183521</v>
      </c>
      <c r="AB23" s="21">
        <f t="shared" si="25"/>
        <v>30.665687703986567</v>
      </c>
      <c r="AC23" s="21">
        <f t="shared" si="25"/>
        <v>29.788222352519934</v>
      </c>
      <c r="AD23" s="22">
        <f t="shared" si="25"/>
        <v>27.742355010611174</v>
      </c>
      <c r="AE23" s="7"/>
      <c r="AF23" s="7"/>
    </row>
    <row r="24" spans="1:32" ht="15.75" customHeight="1">
      <c r="A24" s="864"/>
      <c r="B24" s="52" t="s">
        <v>32</v>
      </c>
      <c r="C24" s="101">
        <v>11.74</v>
      </c>
      <c r="D24" s="102">
        <v>12.35</v>
      </c>
      <c r="E24" s="103">
        <v>15.93</v>
      </c>
      <c r="F24" s="104">
        <v>17.329999999999998</v>
      </c>
      <c r="G24" s="105">
        <v>17.98</v>
      </c>
      <c r="H24" s="106">
        <v>18.7</v>
      </c>
      <c r="I24" s="107" t="s">
        <v>20</v>
      </c>
      <c r="K24" s="864"/>
      <c r="L24" s="61" t="s">
        <v>32</v>
      </c>
      <c r="M24" s="21">
        <f t="shared" si="16"/>
        <v>502.13747863420997</v>
      </c>
      <c r="N24" s="21">
        <f t="shared" si="17"/>
        <v>596.66943311392959</v>
      </c>
      <c r="O24" s="44">
        <f t="shared" si="18"/>
        <v>555.0935969082509</v>
      </c>
      <c r="P24" s="44">
        <f t="shared" si="19"/>
        <v>595.29223880783866</v>
      </c>
      <c r="Q24" s="21">
        <f t="shared" si="20"/>
        <v>655.73904328872345</v>
      </c>
      <c r="R24" s="44">
        <f t="shared" si="21"/>
        <v>709.30275391030239</v>
      </c>
      <c r="S24" s="49" t="s">
        <v>20</v>
      </c>
      <c r="V24" s="864"/>
      <c r="W24" s="61" t="s">
        <v>32</v>
      </c>
      <c r="X24" s="21">
        <f t="shared" ref="X24:AC24" si="26">(C24/M24)*100*12.2354989838484</f>
        <v>28.606659367686934</v>
      </c>
      <c r="Y24" s="21">
        <f t="shared" si="26"/>
        <v>25.325314833360117</v>
      </c>
      <c r="Z24" s="21">
        <f t="shared" si="26"/>
        <v>35.113267365777439</v>
      </c>
      <c r="AA24" s="21">
        <f t="shared" si="26"/>
        <v>35.619681152695151</v>
      </c>
      <c r="AB24" s="21">
        <f t="shared" si="26"/>
        <v>33.549057964622399</v>
      </c>
      <c r="AC24" s="21">
        <f t="shared" si="26"/>
        <v>32.25756980874479</v>
      </c>
      <c r="AD24" s="50" t="s">
        <v>20</v>
      </c>
      <c r="AE24" s="51"/>
      <c r="AF24" s="51"/>
    </row>
    <row r="25" spans="1:32" ht="15.75" customHeight="1">
      <c r="A25" s="865"/>
      <c r="B25" s="108" t="s">
        <v>33</v>
      </c>
      <c r="C25" s="109" t="s">
        <v>15</v>
      </c>
      <c r="D25" s="110" t="s">
        <v>15</v>
      </c>
      <c r="E25" s="74">
        <v>18.36</v>
      </c>
      <c r="F25" s="110" t="s">
        <v>15</v>
      </c>
      <c r="G25" s="111">
        <v>18.8</v>
      </c>
      <c r="H25" s="110" t="s">
        <v>15</v>
      </c>
      <c r="I25" s="112">
        <v>19.329999999999998</v>
      </c>
      <c r="K25" s="865"/>
      <c r="L25" s="113" t="s">
        <v>33</v>
      </c>
      <c r="M25" s="114" t="s">
        <v>20</v>
      </c>
      <c r="N25" s="114" t="s">
        <v>20</v>
      </c>
      <c r="O25" s="78">
        <f t="shared" si="18"/>
        <v>481.6253267292177</v>
      </c>
      <c r="P25" s="114" t="s">
        <v>20</v>
      </c>
      <c r="Q25" s="32">
        <f t="shared" si="20"/>
        <v>627.13765948570472</v>
      </c>
      <c r="R25" s="114" t="s">
        <v>20</v>
      </c>
      <c r="S25" s="79">
        <f t="shared" ref="S25:S35" si="27">($S$9*0.514444)/(I25*((PI()/180)))</f>
        <v>762.42809094226902</v>
      </c>
      <c r="V25" s="865"/>
      <c r="W25" s="113" t="s">
        <v>33</v>
      </c>
      <c r="X25" s="115" t="s">
        <v>20</v>
      </c>
      <c r="Y25" s="115" t="s">
        <v>20</v>
      </c>
      <c r="Z25" s="32">
        <f>(E25/O25)*100*12.2354989838484</f>
        <v>46.642846394528831</v>
      </c>
      <c r="AA25" s="115" t="s">
        <v>20</v>
      </c>
      <c r="AB25" s="32">
        <f>(G25/Q25)*100*12.2354989838484</f>
        <v>36.6789296444082</v>
      </c>
      <c r="AC25" s="115" t="s">
        <v>20</v>
      </c>
      <c r="AD25" s="33">
        <f>(I25/S25)*100*12.2354989838484</f>
        <v>31.02091832234159</v>
      </c>
      <c r="AE25" s="7"/>
      <c r="AF25" s="7"/>
    </row>
    <row r="26" spans="1:32" ht="15.75" customHeight="1">
      <c r="A26" s="863">
        <v>13</v>
      </c>
      <c r="B26" s="35" t="s">
        <v>34</v>
      </c>
      <c r="C26" s="116">
        <v>14.65</v>
      </c>
      <c r="D26" s="117">
        <v>16.5</v>
      </c>
      <c r="E26" s="118">
        <v>17.510000000000002</v>
      </c>
      <c r="F26" s="119">
        <v>17.87</v>
      </c>
      <c r="G26" s="120">
        <v>18.2</v>
      </c>
      <c r="H26" s="121">
        <v>18.7</v>
      </c>
      <c r="I26" s="42">
        <v>19.16</v>
      </c>
      <c r="K26" s="863">
        <v>13</v>
      </c>
      <c r="L26" s="43" t="s">
        <v>34</v>
      </c>
      <c r="M26" s="122">
        <f t="shared" ref="M26:M44" si="28">($M$9*0.514444)/(C26*((PI()/180)))</f>
        <v>402.39549482359206</v>
      </c>
      <c r="N26" s="122">
        <f t="shared" ref="N26:N52" si="29">($N$9*0.514444)/(D26*((PI()/180)))</f>
        <v>446.59803023981999</v>
      </c>
      <c r="O26" s="123">
        <f t="shared" si="18"/>
        <v>505.00519695879132</v>
      </c>
      <c r="P26" s="123">
        <f t="shared" ref="P26:P52" si="30">($P$9*0.514444)/(F26*((PI()/180)))</f>
        <v>577.3035533598121</v>
      </c>
      <c r="Q26" s="122">
        <f t="shared" si="20"/>
        <v>647.81252738083788</v>
      </c>
      <c r="R26" s="123">
        <f t="shared" ref="R26:R52" si="31">($R$9*0.514444)/(H26*((PI()/180)))</f>
        <v>709.30275391030239</v>
      </c>
      <c r="S26" s="124">
        <f t="shared" si="27"/>
        <v>769.192849577978</v>
      </c>
      <c r="V26" s="863">
        <v>13</v>
      </c>
      <c r="W26" s="43" t="s">
        <v>34</v>
      </c>
      <c r="X26" s="122">
        <f t="shared" ref="X26:AD26" si="32">(C26/M26)*100*12.2354989838484</f>
        <v>44.545742290668855</v>
      </c>
      <c r="Y26" s="122">
        <f t="shared" si="32"/>
        <v>45.205244887687343</v>
      </c>
      <c r="Z26" s="122">
        <f t="shared" si="32"/>
        <v>42.424036128219861</v>
      </c>
      <c r="AA26" s="122">
        <f t="shared" si="32"/>
        <v>37.874072586055163</v>
      </c>
      <c r="AB26" s="122">
        <f t="shared" si="32"/>
        <v>34.375081075751957</v>
      </c>
      <c r="AC26" s="122">
        <f t="shared" si="32"/>
        <v>32.25756980874479</v>
      </c>
      <c r="AD26" s="125">
        <f t="shared" si="32"/>
        <v>30.477683283087963</v>
      </c>
      <c r="AE26" s="7"/>
      <c r="AF26" s="7"/>
    </row>
    <row r="27" spans="1:32" ht="15.75" customHeight="1">
      <c r="A27" s="864"/>
      <c r="B27" s="62" t="s">
        <v>35</v>
      </c>
      <c r="C27" s="126">
        <v>15.67</v>
      </c>
      <c r="D27" s="127">
        <v>17.25</v>
      </c>
      <c r="E27" s="128">
        <v>17.59</v>
      </c>
      <c r="F27" s="129">
        <v>18.78</v>
      </c>
      <c r="G27" s="130">
        <v>19.41</v>
      </c>
      <c r="H27" s="106">
        <v>19.84</v>
      </c>
      <c r="I27" s="131">
        <v>20.23</v>
      </c>
      <c r="K27" s="864"/>
      <c r="L27" s="69" t="s">
        <v>35</v>
      </c>
      <c r="M27" s="21">
        <f t="shared" si="28"/>
        <v>376.20255259512595</v>
      </c>
      <c r="N27" s="21">
        <f t="shared" si="29"/>
        <v>427.18072457721917</v>
      </c>
      <c r="O27" s="44">
        <f t="shared" si="18"/>
        <v>502.70841380036597</v>
      </c>
      <c r="P27" s="44">
        <f t="shared" si="30"/>
        <v>549.32984550265394</v>
      </c>
      <c r="Q27" s="21">
        <f t="shared" si="20"/>
        <v>607.42854190269179</v>
      </c>
      <c r="R27" s="44">
        <f t="shared" si="31"/>
        <v>668.54644647795635</v>
      </c>
      <c r="S27" s="45">
        <f t="shared" si="27"/>
        <v>728.50889757360653</v>
      </c>
      <c r="V27" s="864"/>
      <c r="W27" s="69" t="s">
        <v>35</v>
      </c>
      <c r="X27" s="21">
        <f t="shared" ref="X27:AD27" si="33">(C27/M27)*100*12.2354989838484</f>
        <v>50.964638000010339</v>
      </c>
      <c r="Y27" s="21">
        <f t="shared" si="33"/>
        <v>49.408211871046696</v>
      </c>
      <c r="Z27" s="21">
        <f t="shared" si="33"/>
        <v>42.812577076014847</v>
      </c>
      <c r="AA27" s="21">
        <f t="shared" si="33"/>
        <v>41.829635290690355</v>
      </c>
      <c r="AB27" s="21">
        <f t="shared" si="33"/>
        <v>39.097773465268411</v>
      </c>
      <c r="AC27" s="21">
        <f t="shared" si="33"/>
        <v>36.310461467325503</v>
      </c>
      <c r="AD27" s="22">
        <f t="shared" si="33"/>
        <v>33.976818302105087</v>
      </c>
      <c r="AE27" s="7"/>
      <c r="AF27" s="7"/>
    </row>
    <row r="28" spans="1:32" ht="15.75" customHeight="1">
      <c r="A28" s="864"/>
      <c r="B28" s="52" t="s">
        <v>36</v>
      </c>
      <c r="C28" s="132">
        <v>8.18</v>
      </c>
      <c r="D28" s="133">
        <v>10.08</v>
      </c>
      <c r="E28" s="134">
        <v>10.35</v>
      </c>
      <c r="F28" s="135">
        <v>11.18</v>
      </c>
      <c r="G28" s="136">
        <v>11.45</v>
      </c>
      <c r="H28" s="137">
        <v>11.32</v>
      </c>
      <c r="I28" s="138">
        <v>10.75</v>
      </c>
      <c r="K28" s="864"/>
      <c r="L28" s="61" t="s">
        <v>36</v>
      </c>
      <c r="M28" s="21">
        <f t="shared" si="28"/>
        <v>720.67163803980736</v>
      </c>
      <c r="N28" s="21">
        <f t="shared" si="29"/>
        <v>731.03844235684824</v>
      </c>
      <c r="O28" s="44">
        <f t="shared" si="18"/>
        <v>854.36144915443833</v>
      </c>
      <c r="P28" s="44">
        <f t="shared" si="30"/>
        <v>922.75621632735624</v>
      </c>
      <c r="Q28" s="21">
        <f t="shared" si="20"/>
        <v>1029.7107422123361</v>
      </c>
      <c r="R28" s="44">
        <f t="shared" si="31"/>
        <v>1171.728047537337</v>
      </c>
      <c r="S28" s="45">
        <f t="shared" si="27"/>
        <v>1370.9520928292147</v>
      </c>
      <c r="V28" s="864"/>
      <c r="W28" s="61" t="s">
        <v>36</v>
      </c>
      <c r="X28" s="21">
        <f t="shared" ref="X28:AD28" si="34">(C28/M28)*100*12.2354989838484</f>
        <v>13.887931258139991</v>
      </c>
      <c r="Y28" s="21">
        <f t="shared" si="34"/>
        <v>16.871045708563141</v>
      </c>
      <c r="Z28" s="21">
        <f t="shared" si="34"/>
        <v>14.822463561314008</v>
      </c>
      <c r="AA28" s="21">
        <f t="shared" si="34"/>
        <v>14.824378987537113</v>
      </c>
      <c r="AB28" s="21">
        <f t="shared" si="34"/>
        <v>13.605419232984458</v>
      </c>
      <c r="AC28" s="21">
        <f t="shared" si="34"/>
        <v>11.820648041008031</v>
      </c>
      <c r="AD28" s="22">
        <f t="shared" si="34"/>
        <v>9.5941801879400721</v>
      </c>
      <c r="AE28" s="7"/>
      <c r="AF28" s="7"/>
    </row>
    <row r="29" spans="1:32" ht="15.75" customHeight="1">
      <c r="A29" s="864"/>
      <c r="B29" s="62" t="s">
        <v>37</v>
      </c>
      <c r="C29" s="139">
        <v>13.26</v>
      </c>
      <c r="D29" s="140">
        <v>14.79</v>
      </c>
      <c r="E29" s="141">
        <v>15.15</v>
      </c>
      <c r="F29" s="142">
        <v>15.25</v>
      </c>
      <c r="G29" s="141">
        <v>15.15</v>
      </c>
      <c r="H29" s="65">
        <v>14.85</v>
      </c>
      <c r="I29" s="143">
        <v>14.34</v>
      </c>
      <c r="K29" s="864"/>
      <c r="L29" s="69" t="s">
        <v>37</v>
      </c>
      <c r="M29" s="21">
        <f t="shared" si="28"/>
        <v>444.57722467312402</v>
      </c>
      <c r="N29" s="21">
        <f t="shared" si="29"/>
        <v>498.23309661643208</v>
      </c>
      <c r="O29" s="44">
        <f t="shared" si="18"/>
        <v>583.67267318471534</v>
      </c>
      <c r="P29" s="44">
        <f t="shared" si="30"/>
        <v>676.48619662556348</v>
      </c>
      <c r="Q29" s="21">
        <f t="shared" si="20"/>
        <v>778.23023091295386</v>
      </c>
      <c r="R29" s="44">
        <f t="shared" si="31"/>
        <v>893.1960604796401</v>
      </c>
      <c r="S29" s="45">
        <f t="shared" si="27"/>
        <v>1027.7360528531424</v>
      </c>
      <c r="V29" s="864"/>
      <c r="W29" s="69" t="s">
        <v>37</v>
      </c>
      <c r="X29" s="21">
        <f t="shared" ref="X29:AD29" si="35">(C29/M29)*100*12.2354989838484</f>
        <v>36.493708521645246</v>
      </c>
      <c r="Y29" s="21">
        <f t="shared" si="35"/>
        <v>36.32095723870254</v>
      </c>
      <c r="Z29" s="21">
        <f t="shared" si="35"/>
        <v>31.758863849813945</v>
      </c>
      <c r="AA29" s="21">
        <f t="shared" si="35"/>
        <v>27.582434118307191</v>
      </c>
      <c r="AB29" s="21">
        <f t="shared" si="35"/>
        <v>23.819147887360458</v>
      </c>
      <c r="AC29" s="21">
        <f t="shared" si="35"/>
        <v>20.342360199459304</v>
      </c>
      <c r="AD29" s="22">
        <f t="shared" si="35"/>
        <v>17.072190368460088</v>
      </c>
      <c r="AE29" s="7"/>
      <c r="AF29" s="7"/>
    </row>
    <row r="30" spans="1:32" ht="15.75" customHeight="1">
      <c r="A30" s="864"/>
      <c r="B30" s="52" t="s">
        <v>38</v>
      </c>
      <c r="C30" s="144">
        <v>11.44</v>
      </c>
      <c r="D30" s="145">
        <v>14.07</v>
      </c>
      <c r="E30" s="146">
        <v>14.67</v>
      </c>
      <c r="F30" s="147">
        <v>14.65</v>
      </c>
      <c r="G30" s="148">
        <v>14</v>
      </c>
      <c r="H30" s="149">
        <v>13.21</v>
      </c>
      <c r="I30" s="150">
        <v>12.21</v>
      </c>
      <c r="K30" s="864"/>
      <c r="L30" s="61" t="s">
        <v>38</v>
      </c>
      <c r="M30" s="21">
        <f t="shared" si="28"/>
        <v>515.30541950748466</v>
      </c>
      <c r="N30" s="21">
        <f t="shared" si="29"/>
        <v>523.72903333027932</v>
      </c>
      <c r="O30" s="44">
        <f t="shared" si="18"/>
        <v>602.77034756294734</v>
      </c>
      <c r="P30" s="44">
        <f t="shared" si="30"/>
        <v>704.19211594128615</v>
      </c>
      <c r="Q30" s="21">
        <f t="shared" si="20"/>
        <v>842.15628559508923</v>
      </c>
      <c r="R30" s="44">
        <f t="shared" si="31"/>
        <v>1004.0848976625779</v>
      </c>
      <c r="S30" s="45">
        <f t="shared" si="27"/>
        <v>1207.0217033508648</v>
      </c>
      <c r="V30" s="864"/>
      <c r="W30" s="61" t="s">
        <v>38</v>
      </c>
      <c r="X30" s="21">
        <f t="shared" ref="X30:AD30" si="36">(C30/M30)*100*12.2354989838484</f>
        <v>27.163329372512568</v>
      </c>
      <c r="Y30" s="21">
        <f t="shared" si="36"/>
        <v>32.870713622282956</v>
      </c>
      <c r="Z30" s="21">
        <f t="shared" si="36"/>
        <v>29.778301274899949</v>
      </c>
      <c r="AA30" s="21">
        <f t="shared" si="36"/>
        <v>25.454709880382204</v>
      </c>
      <c r="AB30" s="21">
        <f t="shared" si="36"/>
        <v>20.340284660208258</v>
      </c>
      <c r="AC30" s="21">
        <f t="shared" si="36"/>
        <v>16.097338178564396</v>
      </c>
      <c r="AD30" s="22">
        <f t="shared" si="36"/>
        <v>12.377196050248799</v>
      </c>
      <c r="AE30" s="7"/>
      <c r="AF30" s="7"/>
    </row>
    <row r="31" spans="1:32" ht="15.75" customHeight="1">
      <c r="A31" s="864"/>
      <c r="B31" s="52" t="s">
        <v>39</v>
      </c>
      <c r="C31" s="151">
        <v>12.33</v>
      </c>
      <c r="D31" s="152">
        <v>14.25</v>
      </c>
      <c r="E31" s="141">
        <v>15.15</v>
      </c>
      <c r="F31" s="142">
        <v>15.25</v>
      </c>
      <c r="G31" s="153">
        <v>14.74</v>
      </c>
      <c r="H31" s="148">
        <v>13.97</v>
      </c>
      <c r="I31" s="154">
        <v>13</v>
      </c>
      <c r="K31" s="864"/>
      <c r="L31" s="61" t="s">
        <v>39</v>
      </c>
      <c r="M31" s="21">
        <f t="shared" si="28"/>
        <v>478.10981339542781</v>
      </c>
      <c r="N31" s="21">
        <f t="shared" si="29"/>
        <v>517.11350869873888</v>
      </c>
      <c r="O31" s="44">
        <f t="shared" si="18"/>
        <v>583.67267318471534</v>
      </c>
      <c r="P31" s="44">
        <f t="shared" si="30"/>
        <v>676.48619662556348</v>
      </c>
      <c r="Q31" s="21">
        <f t="shared" si="20"/>
        <v>799.87706908624489</v>
      </c>
      <c r="R31" s="44">
        <f t="shared" si="31"/>
        <v>949.46037925001099</v>
      </c>
      <c r="S31" s="45">
        <f t="shared" si="27"/>
        <v>1133.6719229164662</v>
      </c>
      <c r="V31" s="864"/>
      <c r="W31" s="61" t="s">
        <v>39</v>
      </c>
      <c r="X31" s="21">
        <f t="shared" ref="X31:AD31" si="37">(C31/M31)*100*12.2354989838484</f>
        <v>31.554194924268725</v>
      </c>
      <c r="Y31" s="21">
        <f t="shared" si="37"/>
        <v>33.717135133171766</v>
      </c>
      <c r="Z31" s="21">
        <f t="shared" si="37"/>
        <v>31.758863849813945</v>
      </c>
      <c r="AA31" s="21">
        <f t="shared" si="37"/>
        <v>27.582434118307191</v>
      </c>
      <c r="AB31" s="21">
        <f t="shared" si="37"/>
        <v>22.547371588980941</v>
      </c>
      <c r="AC31" s="21">
        <f t="shared" si="37"/>
        <v>18.002849254160722</v>
      </c>
      <c r="AD31" s="22">
        <f t="shared" si="37"/>
        <v>14.030645337041616</v>
      </c>
      <c r="AE31" s="7"/>
      <c r="AF31" s="7"/>
    </row>
    <row r="32" spans="1:32" ht="15.75" customHeight="1">
      <c r="A32" s="864"/>
      <c r="B32" s="62" t="s">
        <v>40</v>
      </c>
      <c r="C32" s="155">
        <v>16.690000000000001</v>
      </c>
      <c r="D32" s="156">
        <v>16.27</v>
      </c>
      <c r="E32" s="157">
        <v>16.07</v>
      </c>
      <c r="F32" s="54">
        <v>15.91</v>
      </c>
      <c r="G32" s="158">
        <v>15.84</v>
      </c>
      <c r="H32" s="158">
        <v>15.85</v>
      </c>
      <c r="I32" s="159">
        <v>15.55</v>
      </c>
      <c r="K32" s="864"/>
      <c r="L32" s="69" t="s">
        <v>40</v>
      </c>
      <c r="M32" s="21">
        <f t="shared" si="28"/>
        <v>353.21114434785045</v>
      </c>
      <c r="N32" s="21">
        <f t="shared" si="29"/>
        <v>452.9113398252631</v>
      </c>
      <c r="O32" s="44">
        <f t="shared" si="18"/>
        <v>550.25768504968494</v>
      </c>
      <c r="P32" s="44">
        <f t="shared" si="30"/>
        <v>648.42328714895302</v>
      </c>
      <c r="Q32" s="21">
        <f t="shared" si="20"/>
        <v>744.3300503997001</v>
      </c>
      <c r="R32" s="44">
        <f t="shared" si="31"/>
        <v>836.84299672698137</v>
      </c>
      <c r="S32" s="45">
        <f t="shared" si="27"/>
        <v>947.764308547528</v>
      </c>
      <c r="V32" s="864"/>
      <c r="W32" s="69" t="s">
        <v>40</v>
      </c>
      <c r="X32" s="21">
        <f t="shared" ref="X32:AD32" si="38">(C32/M32)*100*12.2354989838484</f>
        <v>57.815411916708555</v>
      </c>
      <c r="Y32" s="21">
        <f t="shared" si="38"/>
        <v>43.953761136565255</v>
      </c>
      <c r="Z32" s="21">
        <f t="shared" si="38"/>
        <v>35.733161755421882</v>
      </c>
      <c r="AA32" s="21">
        <f t="shared" si="38"/>
        <v>30.021560405234183</v>
      </c>
      <c r="AB32" s="21">
        <f t="shared" si="38"/>
        <v>26.038221055307908</v>
      </c>
      <c r="AC32" s="21">
        <f t="shared" si="38"/>
        <v>23.174318199769477</v>
      </c>
      <c r="AD32" s="22">
        <f t="shared" si="38"/>
        <v>20.074823190000036</v>
      </c>
      <c r="AE32" s="7"/>
      <c r="AF32" s="7"/>
    </row>
    <row r="33" spans="1:32" ht="15.75" customHeight="1">
      <c r="A33" s="865"/>
      <c r="B33" s="70" t="s">
        <v>41</v>
      </c>
      <c r="C33" s="71">
        <v>16.86</v>
      </c>
      <c r="D33" s="72">
        <v>17.3</v>
      </c>
      <c r="E33" s="73">
        <v>18.03</v>
      </c>
      <c r="F33" s="74">
        <v>18.34</v>
      </c>
      <c r="G33" s="74">
        <v>18.39</v>
      </c>
      <c r="H33" s="75">
        <v>17.989999999999998</v>
      </c>
      <c r="I33" s="76">
        <v>17.89</v>
      </c>
      <c r="K33" s="865"/>
      <c r="L33" s="77" t="s">
        <v>41</v>
      </c>
      <c r="M33" s="32">
        <f t="shared" si="28"/>
        <v>349.64970339060642</v>
      </c>
      <c r="N33" s="32">
        <f t="shared" si="29"/>
        <v>425.94609820560862</v>
      </c>
      <c r="O33" s="78">
        <f t="shared" si="18"/>
        <v>490.44043254289721</v>
      </c>
      <c r="P33" s="78">
        <f t="shared" si="30"/>
        <v>562.50896938603285</v>
      </c>
      <c r="Q33" s="32">
        <f t="shared" si="20"/>
        <v>641.11952138832237</v>
      </c>
      <c r="R33" s="78">
        <f t="shared" si="31"/>
        <v>737.29635898402762</v>
      </c>
      <c r="S33" s="79">
        <f t="shared" si="27"/>
        <v>823.79737271738736</v>
      </c>
      <c r="V33" s="865"/>
      <c r="W33" s="77" t="s">
        <v>41</v>
      </c>
      <c r="X33" s="32">
        <f t="shared" ref="X33:AD33" si="39">(C33/M33)*100*12.2354989838484</f>
        <v>58.999195728540158</v>
      </c>
      <c r="Y33" s="32">
        <f t="shared" si="39"/>
        <v>49.695051395540673</v>
      </c>
      <c r="Z33" s="32">
        <f t="shared" si="39"/>
        <v>44.981211180929897</v>
      </c>
      <c r="AA33" s="32">
        <f t="shared" si="39"/>
        <v>39.892528577581025</v>
      </c>
      <c r="AB33" s="32">
        <f t="shared" si="39"/>
        <v>35.096548897110296</v>
      </c>
      <c r="AC33" s="32">
        <f t="shared" si="39"/>
        <v>29.854565811602114</v>
      </c>
      <c r="AD33" s="33">
        <f t="shared" si="39"/>
        <v>26.571227837132412</v>
      </c>
      <c r="AE33" s="7"/>
      <c r="AF33" s="7"/>
    </row>
    <row r="34" spans="1:32" ht="17.25">
      <c r="A34" s="866">
        <v>12.7</v>
      </c>
      <c r="B34" s="35" t="s">
        <v>42</v>
      </c>
      <c r="C34" s="116">
        <v>15.22</v>
      </c>
      <c r="D34" s="117">
        <v>17.25</v>
      </c>
      <c r="E34" s="118">
        <v>18.170000000000002</v>
      </c>
      <c r="F34" s="119">
        <v>18.52</v>
      </c>
      <c r="G34" s="120">
        <v>18.86</v>
      </c>
      <c r="H34" s="121">
        <v>19.43</v>
      </c>
      <c r="I34" s="42">
        <v>20.05</v>
      </c>
      <c r="K34" s="863">
        <v>12.7</v>
      </c>
      <c r="L34" s="43" t="s">
        <v>42</v>
      </c>
      <c r="M34" s="122">
        <f t="shared" si="28"/>
        <v>387.32549271784654</v>
      </c>
      <c r="N34" s="122">
        <f t="shared" si="29"/>
        <v>427.18072457721917</v>
      </c>
      <c r="O34" s="123">
        <f t="shared" si="18"/>
        <v>486.66158496138888</v>
      </c>
      <c r="P34" s="123">
        <f t="shared" si="30"/>
        <v>557.04181957558546</v>
      </c>
      <c r="Q34" s="122">
        <f t="shared" si="20"/>
        <v>625.14252377154025</v>
      </c>
      <c r="R34" s="123">
        <f t="shared" si="31"/>
        <v>682.65370551326066</v>
      </c>
      <c r="S34" s="124">
        <f t="shared" si="27"/>
        <v>735.04912707800804</v>
      </c>
      <c r="V34" s="863">
        <v>12.7</v>
      </c>
      <c r="W34" s="43" t="s">
        <v>42</v>
      </c>
      <c r="X34" s="122">
        <f t="shared" ref="X34:AD34" si="40">(C34/M34)*100*12.2354989838484</f>
        <v>48.079534664099874</v>
      </c>
      <c r="Y34" s="122">
        <f t="shared" si="40"/>
        <v>49.408211871046696</v>
      </c>
      <c r="Z34" s="122">
        <f t="shared" si="40"/>
        <v>45.682466709215184</v>
      </c>
      <c r="AA34" s="122">
        <f t="shared" si="40"/>
        <v>40.679430738884527</v>
      </c>
      <c r="AB34" s="122">
        <f t="shared" si="40"/>
        <v>36.913424068990885</v>
      </c>
      <c r="AC34" s="122">
        <f t="shared" si="40"/>
        <v>34.825233253136766</v>
      </c>
      <c r="AD34" s="125">
        <f t="shared" si="40"/>
        <v>33.374878710674984</v>
      </c>
      <c r="AE34" s="7"/>
      <c r="AF34" s="7"/>
    </row>
    <row r="35" spans="1:32" ht="17.25">
      <c r="A35" s="864"/>
      <c r="B35" s="160" t="s">
        <v>43</v>
      </c>
      <c r="C35" s="161">
        <v>15.27</v>
      </c>
      <c r="D35" s="162">
        <v>17.739999999999998</v>
      </c>
      <c r="E35" s="163">
        <v>19.420000000000002</v>
      </c>
      <c r="F35" s="164">
        <v>20.28</v>
      </c>
      <c r="G35" s="165">
        <v>21.16</v>
      </c>
      <c r="H35" s="165">
        <v>22.85</v>
      </c>
      <c r="I35" s="166">
        <v>22.89</v>
      </c>
      <c r="K35" s="864"/>
      <c r="L35" s="167" t="s">
        <v>43</v>
      </c>
      <c r="M35" s="21">
        <f t="shared" si="28"/>
        <v>386.05723635662241</v>
      </c>
      <c r="N35" s="21">
        <f t="shared" si="29"/>
        <v>415.38148246657443</v>
      </c>
      <c r="O35" s="44">
        <f t="shared" si="18"/>
        <v>455.33681764925007</v>
      </c>
      <c r="P35" s="44">
        <f t="shared" si="30"/>
        <v>508.69893977020917</v>
      </c>
      <c r="Q35" s="21">
        <f t="shared" si="20"/>
        <v>557.1922494485467</v>
      </c>
      <c r="R35" s="44">
        <f t="shared" si="31"/>
        <v>580.47971545394546</v>
      </c>
      <c r="S35" s="45">
        <f t="shared" si="27"/>
        <v>643.85037125006818</v>
      </c>
      <c r="V35" s="864"/>
      <c r="W35" s="167" t="s">
        <v>43</v>
      </c>
      <c r="X35" s="21">
        <f t="shared" ref="X35:AD35" si="41">(C35/M35)*100*12.2354989838484</f>
        <v>48.39595062292117</v>
      </c>
      <c r="Y35" s="21">
        <f t="shared" si="41"/>
        <v>52.255038112089444</v>
      </c>
      <c r="Z35" s="21">
        <f t="shared" si="41"/>
        <v>52.184093413103177</v>
      </c>
      <c r="AA35" s="21">
        <f t="shared" si="41"/>
        <v>48.778540703177832</v>
      </c>
      <c r="AB35" s="21">
        <f t="shared" si="41"/>
        <v>46.465678364059926</v>
      </c>
      <c r="AC35" s="21">
        <f t="shared" si="41"/>
        <v>48.16381078231106</v>
      </c>
      <c r="AD35" s="22">
        <f t="shared" si="41"/>
        <v>43.499325968628192</v>
      </c>
      <c r="AE35" s="7"/>
      <c r="AF35" s="7"/>
    </row>
    <row r="36" spans="1:32" ht="17.25">
      <c r="A36" s="864"/>
      <c r="B36" s="160" t="s">
        <v>44</v>
      </c>
      <c r="C36" s="168">
        <v>16.239999999999998</v>
      </c>
      <c r="D36" s="169">
        <v>18.54</v>
      </c>
      <c r="E36" s="170">
        <v>19.97</v>
      </c>
      <c r="F36" s="171">
        <v>20.81</v>
      </c>
      <c r="G36" s="165">
        <v>21.95</v>
      </c>
      <c r="H36" s="165">
        <v>23.65</v>
      </c>
      <c r="I36" s="107" t="s">
        <v>20</v>
      </c>
      <c r="K36" s="864"/>
      <c r="L36" s="167" t="s">
        <v>44</v>
      </c>
      <c r="M36" s="21">
        <f t="shared" si="28"/>
        <v>362.99839896340058</v>
      </c>
      <c r="N36" s="21">
        <f t="shared" si="29"/>
        <v>397.45779390275248</v>
      </c>
      <c r="O36" s="44">
        <f t="shared" si="18"/>
        <v>442.7962443038777</v>
      </c>
      <c r="P36" s="44">
        <f t="shared" si="30"/>
        <v>495.74312823353398</v>
      </c>
      <c r="Q36" s="21">
        <f t="shared" si="20"/>
        <v>537.13840539094531</v>
      </c>
      <c r="R36" s="44">
        <f t="shared" si="31"/>
        <v>560.84403797558798</v>
      </c>
      <c r="S36" s="49" t="s">
        <v>20</v>
      </c>
      <c r="V36" s="864"/>
      <c r="W36" s="167" t="s">
        <v>44</v>
      </c>
      <c r="X36" s="21">
        <f t="shared" ref="X36:AC36" si="42">(C36/M36)*100*12.2354989838484</f>
        <v>54.739774077552461</v>
      </c>
      <c r="Y36" s="21">
        <f t="shared" si="42"/>
        <v>57.074274209868086</v>
      </c>
      <c r="Z36" s="21">
        <f t="shared" si="42"/>
        <v>55.181794753382626</v>
      </c>
      <c r="AA36" s="21">
        <f t="shared" si="42"/>
        <v>51.361424768744101</v>
      </c>
      <c r="AB36" s="21">
        <f t="shared" si="42"/>
        <v>49.99999999999995</v>
      </c>
      <c r="AC36" s="21">
        <f t="shared" si="42"/>
        <v>51.595369010699919</v>
      </c>
      <c r="AD36" s="50" t="s">
        <v>20</v>
      </c>
      <c r="AE36" s="51"/>
      <c r="AF36" s="51"/>
    </row>
    <row r="37" spans="1:32" ht="17.25">
      <c r="A37" s="864"/>
      <c r="B37" s="52" t="s">
        <v>45</v>
      </c>
      <c r="C37" s="172">
        <v>11.32</v>
      </c>
      <c r="D37" s="173">
        <v>14.39</v>
      </c>
      <c r="E37" s="90">
        <v>15.82</v>
      </c>
      <c r="F37" s="93">
        <v>17.05</v>
      </c>
      <c r="G37" s="174">
        <v>17.649999999999999</v>
      </c>
      <c r="H37" s="58">
        <v>18.309999999999999</v>
      </c>
      <c r="I37" s="175">
        <v>18.46</v>
      </c>
      <c r="K37" s="864"/>
      <c r="L37" s="61" t="s">
        <v>45</v>
      </c>
      <c r="M37" s="21">
        <f t="shared" si="28"/>
        <v>520.76802112770531</v>
      </c>
      <c r="N37" s="21">
        <f t="shared" si="29"/>
        <v>512.08252251264969</v>
      </c>
      <c r="O37" s="44">
        <f t="shared" si="18"/>
        <v>558.95328689939549</v>
      </c>
      <c r="P37" s="44">
        <f t="shared" si="30"/>
        <v>605.06829903459482</v>
      </c>
      <c r="Q37" s="21">
        <f t="shared" si="20"/>
        <v>667.99932001876766</v>
      </c>
      <c r="R37" s="44">
        <f t="shared" si="31"/>
        <v>724.41078635295764</v>
      </c>
      <c r="S37" s="45">
        <f t="shared" ref="S37:S49" si="43">($S$9*0.514444)/(I37*((PI()/180)))</f>
        <v>798.36050909610299</v>
      </c>
      <c r="V37" s="864"/>
      <c r="W37" s="61" t="s">
        <v>45</v>
      </c>
      <c r="X37" s="21">
        <f t="shared" ref="X37:AD37" si="44">(C37/M37)*100*12.2354989838484</f>
        <v>26.596458092268076</v>
      </c>
      <c r="Y37" s="21">
        <f t="shared" si="44"/>
        <v>34.382901707649893</v>
      </c>
      <c r="Z37" s="21">
        <f t="shared" si="44"/>
        <v>34.630012643493238</v>
      </c>
      <c r="AA37" s="21">
        <f t="shared" si="44"/>
        <v>34.477968521482175</v>
      </c>
      <c r="AB37" s="21">
        <f t="shared" si="44"/>
        <v>32.328858816631261</v>
      </c>
      <c r="AC37" s="21">
        <f t="shared" si="44"/>
        <v>30.926097542273226</v>
      </c>
      <c r="AD37" s="22">
        <f t="shared" si="44"/>
        <v>28.291393257610718</v>
      </c>
      <c r="AE37" s="7"/>
      <c r="AF37" s="7"/>
    </row>
    <row r="38" spans="1:32" ht="17.25">
      <c r="A38" s="864"/>
      <c r="B38" s="62" t="s">
        <v>46</v>
      </c>
      <c r="C38" s="176">
        <v>12.33</v>
      </c>
      <c r="D38" s="142">
        <v>15.29</v>
      </c>
      <c r="E38" s="91">
        <v>16.41</v>
      </c>
      <c r="F38" s="104">
        <v>17.3</v>
      </c>
      <c r="G38" s="162">
        <v>17.739999999999998</v>
      </c>
      <c r="H38" s="177">
        <v>18.48</v>
      </c>
      <c r="I38" s="178">
        <v>18.07</v>
      </c>
      <c r="K38" s="864"/>
      <c r="L38" s="69" t="s">
        <v>46</v>
      </c>
      <c r="M38" s="21">
        <f t="shared" si="28"/>
        <v>478.10981339542781</v>
      </c>
      <c r="N38" s="21">
        <f t="shared" si="29"/>
        <v>481.94032040268348</v>
      </c>
      <c r="O38" s="44">
        <f t="shared" si="18"/>
        <v>538.8568554996001</v>
      </c>
      <c r="P38" s="44">
        <f t="shared" si="30"/>
        <v>596.32453748785213</v>
      </c>
      <c r="Q38" s="21">
        <f t="shared" si="20"/>
        <v>664.61037194651908</v>
      </c>
      <c r="R38" s="44">
        <f t="shared" si="31"/>
        <v>717.74683431399637</v>
      </c>
      <c r="S38" s="45">
        <f t="shared" si="43"/>
        <v>815.591311450695</v>
      </c>
      <c r="V38" s="864"/>
      <c r="W38" s="69" t="s">
        <v>46</v>
      </c>
      <c r="X38" s="21">
        <f t="shared" ref="X38:AD38" si="45">(C38/M38)*100*12.2354989838484</f>
        <v>31.554194924268725</v>
      </c>
      <c r="Y38" s="21">
        <f t="shared" si="45"/>
        <v>38.818246065555861</v>
      </c>
      <c r="Z38" s="21">
        <f t="shared" si="45"/>
        <v>37.261201425895422</v>
      </c>
      <c r="AA38" s="21">
        <f t="shared" si="45"/>
        <v>35.496465282529044</v>
      </c>
      <c r="AB38" s="21">
        <f t="shared" si="45"/>
        <v>32.659398820055905</v>
      </c>
      <c r="AC38" s="21">
        <f t="shared" si="45"/>
        <v>31.503032881730562</v>
      </c>
      <c r="AD38" s="22">
        <f t="shared" si="45"/>
        <v>27.108609855698113</v>
      </c>
      <c r="AE38" s="7"/>
      <c r="AF38" s="7"/>
    </row>
    <row r="39" spans="1:32" ht="17.25">
      <c r="A39" s="865"/>
      <c r="B39" s="70" t="s">
        <v>47</v>
      </c>
      <c r="C39" s="179">
        <v>11.74</v>
      </c>
      <c r="D39" s="180">
        <v>14.48</v>
      </c>
      <c r="E39" s="181">
        <v>15.82</v>
      </c>
      <c r="F39" s="182">
        <v>17.05</v>
      </c>
      <c r="G39" s="183">
        <v>17.68</v>
      </c>
      <c r="H39" s="184">
        <v>18.41</v>
      </c>
      <c r="I39" s="185">
        <v>18.55</v>
      </c>
      <c r="K39" s="865"/>
      <c r="L39" s="77" t="s">
        <v>47</v>
      </c>
      <c r="M39" s="32">
        <f t="shared" si="28"/>
        <v>502.13747863420997</v>
      </c>
      <c r="N39" s="32">
        <f t="shared" si="29"/>
        <v>508.89968915449106</v>
      </c>
      <c r="O39" s="78">
        <f t="shared" si="18"/>
        <v>558.95328689939549</v>
      </c>
      <c r="P39" s="78">
        <f t="shared" si="30"/>
        <v>605.06829903459482</v>
      </c>
      <c r="Q39" s="32">
        <f t="shared" si="20"/>
        <v>666.86583700968606</v>
      </c>
      <c r="R39" s="78">
        <f t="shared" si="31"/>
        <v>720.47590972963906</v>
      </c>
      <c r="S39" s="79">
        <f t="shared" si="43"/>
        <v>794.48706188215954</v>
      </c>
      <c r="V39" s="865"/>
      <c r="W39" s="77" t="s">
        <v>47</v>
      </c>
      <c r="X39" s="32">
        <f t="shared" ref="X39:AD39" si="46">(C39/M39)*100*12.2354989838484</f>
        <v>28.606659367686934</v>
      </c>
      <c r="Y39" s="32">
        <f t="shared" si="46"/>
        <v>34.814331598528412</v>
      </c>
      <c r="Z39" s="32">
        <f t="shared" si="46"/>
        <v>34.630012643493238</v>
      </c>
      <c r="AA39" s="32">
        <f t="shared" si="46"/>
        <v>34.477968521482175</v>
      </c>
      <c r="AB39" s="32">
        <f t="shared" si="46"/>
        <v>32.438852019240215</v>
      </c>
      <c r="AC39" s="32">
        <f t="shared" si="46"/>
        <v>31.264825548043223</v>
      </c>
      <c r="AD39" s="33">
        <f t="shared" si="46"/>
        <v>28.567929805262509</v>
      </c>
      <c r="AE39" s="7"/>
      <c r="AF39" s="7"/>
    </row>
    <row r="40" spans="1:32" ht="17.25">
      <c r="A40" s="866">
        <v>12.3</v>
      </c>
      <c r="B40" s="186" t="s">
        <v>48</v>
      </c>
      <c r="C40" s="187">
        <v>16.239999999999998</v>
      </c>
      <c r="D40" s="188">
        <v>18.010000000000002</v>
      </c>
      <c r="E40" s="189">
        <v>19.75</v>
      </c>
      <c r="F40" s="190">
        <v>20.56</v>
      </c>
      <c r="G40" s="191">
        <v>21.73</v>
      </c>
      <c r="H40" s="191">
        <v>23.14</v>
      </c>
      <c r="I40" s="192">
        <v>24</v>
      </c>
      <c r="K40" s="863">
        <v>12.3</v>
      </c>
      <c r="L40" s="193" t="s">
        <v>48</v>
      </c>
      <c r="M40" s="122">
        <f t="shared" si="28"/>
        <v>362.99839896340058</v>
      </c>
      <c r="N40" s="122">
        <f t="shared" si="29"/>
        <v>409.15421981993501</v>
      </c>
      <c r="O40" s="123">
        <f t="shared" si="18"/>
        <v>447.72865816447785</v>
      </c>
      <c r="P40" s="123">
        <f t="shared" si="30"/>
        <v>501.77113319746314</v>
      </c>
      <c r="Q40" s="122">
        <f t="shared" si="20"/>
        <v>542.57653006586509</v>
      </c>
      <c r="R40" s="123">
        <f t="shared" si="31"/>
        <v>573.20490484540426</v>
      </c>
      <c r="S40" s="124">
        <f t="shared" si="43"/>
        <v>614.07229157975246</v>
      </c>
      <c r="V40" s="863">
        <v>12.3</v>
      </c>
      <c r="W40" s="193" t="s">
        <v>48</v>
      </c>
      <c r="X40" s="122">
        <f t="shared" ref="X40:AD40" si="47">(C40/M40)*100*12.2354989838484</f>
        <v>54.739774077552461</v>
      </c>
      <c r="Y40" s="122">
        <f t="shared" si="47"/>
        <v>53.857769521743826</v>
      </c>
      <c r="Z40" s="122">
        <f t="shared" si="47"/>
        <v>53.972668607295809</v>
      </c>
      <c r="AA40" s="122">
        <f t="shared" si="47"/>
        <v>50.134781071378484</v>
      </c>
      <c r="AB40" s="122">
        <f t="shared" si="47"/>
        <v>49.002744900659458</v>
      </c>
      <c r="AC40" s="122">
        <f t="shared" si="47"/>
        <v>49.394107428758517</v>
      </c>
      <c r="AD40" s="125">
        <f t="shared" si="47"/>
        <v>47.820424343999832</v>
      </c>
      <c r="AE40" s="7"/>
      <c r="AF40" s="7"/>
    </row>
    <row r="41" spans="1:32" ht="17.25">
      <c r="A41" s="864"/>
      <c r="B41" s="160" t="s">
        <v>49</v>
      </c>
      <c r="C41" s="194">
        <v>16.579999999999998</v>
      </c>
      <c r="D41" s="195">
        <v>18.809999999999999</v>
      </c>
      <c r="E41" s="196">
        <v>19.899999999999999</v>
      </c>
      <c r="F41" s="197">
        <v>20.75</v>
      </c>
      <c r="G41" s="165">
        <v>21.57</v>
      </c>
      <c r="H41" s="165">
        <v>23.26</v>
      </c>
      <c r="I41" s="166">
        <v>23.79</v>
      </c>
      <c r="K41" s="864"/>
      <c r="L41" s="167" t="s">
        <v>49</v>
      </c>
      <c r="M41" s="21">
        <f t="shared" si="28"/>
        <v>355.55452347199184</v>
      </c>
      <c r="N41" s="21">
        <f t="shared" si="29"/>
        <v>391.75265810510524</v>
      </c>
      <c r="O41" s="44">
        <f t="shared" si="18"/>
        <v>444.35381903258479</v>
      </c>
      <c r="P41" s="44">
        <f t="shared" si="30"/>
        <v>497.17660233926949</v>
      </c>
      <c r="Q41" s="21">
        <f t="shared" si="20"/>
        <v>546.60120530047516</v>
      </c>
      <c r="R41" s="44">
        <f t="shared" si="31"/>
        <v>570.24769983330407</v>
      </c>
      <c r="S41" s="45">
        <f t="shared" si="43"/>
        <v>619.49285405271382</v>
      </c>
      <c r="V41" s="864"/>
      <c r="W41" s="167" t="s">
        <v>49</v>
      </c>
      <c r="X41" s="21">
        <f t="shared" ref="X41:AD41" si="48">(C41/M41)*100*12.2354989838484</f>
        <v>57.055826817004835</v>
      </c>
      <c r="Y41" s="21">
        <f t="shared" si="48"/>
        <v>58.74873625603847</v>
      </c>
      <c r="Z41" s="21">
        <f t="shared" si="48"/>
        <v>54.795619920333827</v>
      </c>
      <c r="AA41" s="21">
        <f t="shared" si="48"/>
        <v>51.065678215807118</v>
      </c>
      <c r="AB41" s="21">
        <f t="shared" si="48"/>
        <v>48.283778104098623</v>
      </c>
      <c r="AC41" s="21">
        <f t="shared" si="48"/>
        <v>49.907734208749623</v>
      </c>
      <c r="AD41" s="22">
        <f t="shared" si="48"/>
        <v>46.987228169218668</v>
      </c>
      <c r="AE41" s="7"/>
      <c r="AF41" s="7"/>
    </row>
    <row r="42" spans="1:32" ht="17.25">
      <c r="A42" s="864"/>
      <c r="B42" s="52" t="s">
        <v>50</v>
      </c>
      <c r="C42" s="198">
        <v>13.49</v>
      </c>
      <c r="D42" s="66">
        <v>15.11</v>
      </c>
      <c r="E42" s="158">
        <v>15.89</v>
      </c>
      <c r="F42" s="199">
        <v>15.5</v>
      </c>
      <c r="G42" s="200">
        <v>14.49</v>
      </c>
      <c r="H42" s="201">
        <v>13.8</v>
      </c>
      <c r="I42" s="202">
        <v>12.74</v>
      </c>
      <c r="K42" s="864"/>
      <c r="L42" s="61" t="s">
        <v>50</v>
      </c>
      <c r="M42" s="21">
        <f t="shared" si="28"/>
        <v>436.997331294709</v>
      </c>
      <c r="N42" s="21">
        <f t="shared" si="29"/>
        <v>487.6815022473217</v>
      </c>
      <c r="O42" s="44">
        <f t="shared" si="18"/>
        <v>556.49093761790039</v>
      </c>
      <c r="P42" s="44">
        <f t="shared" si="30"/>
        <v>665.57512893805438</v>
      </c>
      <c r="Q42" s="21">
        <f t="shared" si="20"/>
        <v>813.67757062327451</v>
      </c>
      <c r="R42" s="44">
        <f t="shared" si="31"/>
        <v>961.15663029874304</v>
      </c>
      <c r="S42" s="45">
        <f t="shared" si="43"/>
        <v>1156.8080846086389</v>
      </c>
      <c r="V42" s="864"/>
      <c r="W42" s="61" t="s">
        <v>50</v>
      </c>
      <c r="X42" s="21">
        <f t="shared" ref="X42:AD42" si="49">(C42/M42)*100*12.2354989838484</f>
        <v>37.770684045848625</v>
      </c>
      <c r="Y42" s="21">
        <f t="shared" si="49"/>
        <v>37.909658003019871</v>
      </c>
      <c r="Z42" s="21">
        <f t="shared" si="49"/>
        <v>34.937150941862377</v>
      </c>
      <c r="AA42" s="21">
        <f t="shared" si="49"/>
        <v>28.494188860729064</v>
      </c>
      <c r="AB42" s="21">
        <f t="shared" si="49"/>
        <v>21.789021435131595</v>
      </c>
      <c r="AC42" s="21">
        <f t="shared" si="49"/>
        <v>17.567364220816607</v>
      </c>
      <c r="AD42" s="22">
        <f t="shared" si="49"/>
        <v>13.475031781694771</v>
      </c>
      <c r="AE42" s="7"/>
      <c r="AF42" s="7"/>
    </row>
    <row r="43" spans="1:32" ht="17.25">
      <c r="A43" s="864"/>
      <c r="B43" s="52" t="s">
        <v>51</v>
      </c>
      <c r="C43" s="198">
        <v>13.49</v>
      </c>
      <c r="D43" s="67">
        <v>15.42</v>
      </c>
      <c r="E43" s="203">
        <v>16.149999999999999</v>
      </c>
      <c r="F43" s="97">
        <v>16.23</v>
      </c>
      <c r="G43" s="204">
        <v>15.57</v>
      </c>
      <c r="H43" s="200">
        <v>14.48</v>
      </c>
      <c r="I43" s="205">
        <v>13.51</v>
      </c>
      <c r="K43" s="864"/>
      <c r="L43" s="61" t="s">
        <v>51</v>
      </c>
      <c r="M43" s="21">
        <f t="shared" si="28"/>
        <v>436.997331294709</v>
      </c>
      <c r="N43" s="21">
        <f t="shared" si="29"/>
        <v>477.87726971186959</v>
      </c>
      <c r="O43" s="44">
        <f t="shared" si="18"/>
        <v>547.53195038690023</v>
      </c>
      <c r="P43" s="44">
        <f t="shared" si="30"/>
        <v>635.63860126554778</v>
      </c>
      <c r="Q43" s="21">
        <f t="shared" si="20"/>
        <v>757.23750792108206</v>
      </c>
      <c r="R43" s="44">
        <f t="shared" si="31"/>
        <v>916.01944047808388</v>
      </c>
      <c r="S43" s="45">
        <f t="shared" si="43"/>
        <v>1090.8760176102192</v>
      </c>
      <c r="V43" s="864"/>
      <c r="W43" s="61" t="s">
        <v>51</v>
      </c>
      <c r="X43" s="21">
        <f t="shared" ref="X43:AD43" si="50">(C43/M43)*100*12.2354989838484</f>
        <v>37.770684045848625</v>
      </c>
      <c r="Y43" s="21">
        <f t="shared" si="50"/>
        <v>39.481140093710565</v>
      </c>
      <c r="Z43" s="21">
        <f t="shared" si="50"/>
        <v>36.089822420320871</v>
      </c>
      <c r="AA43" s="21">
        <f t="shared" si="50"/>
        <v>31.241360753183521</v>
      </c>
      <c r="AB43" s="21">
        <f t="shared" si="50"/>
        <v>25.15811976899246</v>
      </c>
      <c r="AC43" s="21">
        <f t="shared" si="50"/>
        <v>19.341295332515784</v>
      </c>
      <c r="AD43" s="22">
        <f t="shared" si="50"/>
        <v>15.153105266161951</v>
      </c>
      <c r="AE43" s="7"/>
      <c r="AF43" s="7"/>
    </row>
    <row r="44" spans="1:32" ht="17.25">
      <c r="A44" s="864"/>
      <c r="B44" s="62" t="s">
        <v>52</v>
      </c>
      <c r="C44" s="206">
        <v>12.03</v>
      </c>
      <c r="D44" s="207">
        <v>12.53</v>
      </c>
      <c r="E44" s="208">
        <v>13.4</v>
      </c>
      <c r="F44" s="209">
        <v>13.48</v>
      </c>
      <c r="G44" s="210">
        <v>13.55</v>
      </c>
      <c r="H44" s="208">
        <v>13.41</v>
      </c>
      <c r="I44" s="211">
        <v>13.18</v>
      </c>
      <c r="K44" s="864"/>
      <c r="L44" s="69" t="s">
        <v>52</v>
      </c>
      <c r="M44" s="21">
        <f t="shared" si="28"/>
        <v>490.03275138533877</v>
      </c>
      <c r="N44" s="21">
        <f t="shared" si="29"/>
        <v>588.09796480103989</v>
      </c>
      <c r="O44" s="44">
        <f t="shared" si="18"/>
        <v>659.89858199615207</v>
      </c>
      <c r="P44" s="44">
        <f t="shared" si="30"/>
        <v>765.31264825963217</v>
      </c>
      <c r="Q44" s="21">
        <f t="shared" si="20"/>
        <v>870.12457552260128</v>
      </c>
      <c r="R44" s="44">
        <f t="shared" si="31"/>
        <v>989.10973140362819</v>
      </c>
      <c r="S44" s="45">
        <f t="shared" si="43"/>
        <v>1118.1893018144203</v>
      </c>
      <c r="V44" s="864"/>
      <c r="W44" s="69" t="s">
        <v>52</v>
      </c>
      <c r="X44" s="21">
        <f t="shared" ref="X44:AD44" si="51">(C44/M44)*100*12.2354989838484</f>
        <v>30.037390839607475</v>
      </c>
      <c r="Y44" s="21">
        <f t="shared" si="51"/>
        <v>26.068922431909318</v>
      </c>
      <c r="Z44" s="21">
        <f t="shared" si="51"/>
        <v>24.845588527802686</v>
      </c>
      <c r="AA44" s="21">
        <f t="shared" si="51"/>
        <v>21.551261001284594</v>
      </c>
      <c r="AB44" s="21">
        <f t="shared" si="51"/>
        <v>19.053709766968819</v>
      </c>
      <c r="AC44" s="21">
        <f t="shared" si="51"/>
        <v>16.588456888455319</v>
      </c>
      <c r="AD44" s="22">
        <f t="shared" si="51"/>
        <v>14.421876183705965</v>
      </c>
      <c r="AE44" s="7"/>
      <c r="AF44" s="7"/>
    </row>
    <row r="45" spans="1:32" ht="17.25">
      <c r="A45" s="864"/>
      <c r="B45" s="62" t="s">
        <v>53</v>
      </c>
      <c r="C45" s="4" t="s">
        <v>20</v>
      </c>
      <c r="D45" s="212">
        <v>11.29</v>
      </c>
      <c r="E45" s="213">
        <v>12.09</v>
      </c>
      <c r="F45" s="214">
        <v>12.62</v>
      </c>
      <c r="G45" s="215">
        <v>13.28</v>
      </c>
      <c r="H45" s="210">
        <v>13.53</v>
      </c>
      <c r="I45" s="205">
        <v>13.51</v>
      </c>
      <c r="K45" s="864"/>
      <c r="L45" s="69" t="s">
        <v>53</v>
      </c>
      <c r="M45" s="48" t="s">
        <v>20</v>
      </c>
      <c r="N45" s="21">
        <f t="shared" si="29"/>
        <v>652.68976961532599</v>
      </c>
      <c r="O45" s="44">
        <f t="shared" si="18"/>
        <v>731.40124059126856</v>
      </c>
      <c r="P45" s="44">
        <f t="shared" si="30"/>
        <v>817.46549116797485</v>
      </c>
      <c r="Q45" s="21">
        <f t="shared" si="20"/>
        <v>887.81536132012423</v>
      </c>
      <c r="R45" s="44">
        <f t="shared" si="31"/>
        <v>980.33713955082442</v>
      </c>
      <c r="S45" s="45">
        <f t="shared" si="43"/>
        <v>1090.8760176102192</v>
      </c>
      <c r="V45" s="864"/>
      <c r="W45" s="69" t="s">
        <v>53</v>
      </c>
      <c r="X45" s="2" t="s">
        <v>20</v>
      </c>
      <c r="Y45" s="21">
        <f t="shared" ref="Y45:AD45" si="52">(D45/N45)*100*12.2354989838484</f>
        <v>21.164539411895934</v>
      </c>
      <c r="Z45" s="21">
        <f t="shared" si="52"/>
        <v>20.225175253345487</v>
      </c>
      <c r="AA45" s="21">
        <f t="shared" si="52"/>
        <v>18.889115056777097</v>
      </c>
      <c r="AB45" s="21">
        <f t="shared" si="52"/>
        <v>18.301939072545267</v>
      </c>
      <c r="AC45" s="21">
        <f t="shared" si="52"/>
        <v>16.886670368044982</v>
      </c>
      <c r="AD45" s="22">
        <f t="shared" si="52"/>
        <v>15.153105266161951</v>
      </c>
      <c r="AE45" s="7"/>
      <c r="AF45" s="7"/>
    </row>
    <row r="46" spans="1:32" ht="17.25">
      <c r="A46" s="864"/>
      <c r="B46" s="52" t="s">
        <v>54</v>
      </c>
      <c r="C46" s="216" t="s">
        <v>20</v>
      </c>
      <c r="D46" s="97">
        <v>16.23</v>
      </c>
      <c r="E46" s="98">
        <v>17.22</v>
      </c>
      <c r="F46" s="98">
        <v>17.21</v>
      </c>
      <c r="G46" s="98">
        <v>17.190000000000001</v>
      </c>
      <c r="H46" s="98">
        <v>17.170000000000002</v>
      </c>
      <c r="I46" s="217">
        <v>17.3</v>
      </c>
      <c r="K46" s="864"/>
      <c r="L46" s="61" t="s">
        <v>54</v>
      </c>
      <c r="M46" s="48" t="s">
        <v>20</v>
      </c>
      <c r="N46" s="21">
        <f t="shared" si="29"/>
        <v>454.02757233253413</v>
      </c>
      <c r="O46" s="44">
        <f t="shared" si="18"/>
        <v>513.50993024090803</v>
      </c>
      <c r="P46" s="44">
        <f t="shared" si="30"/>
        <v>599.44302722486009</v>
      </c>
      <c r="Q46" s="21">
        <f t="shared" si="20"/>
        <v>685.87481083951411</v>
      </c>
      <c r="R46" s="44">
        <f t="shared" si="31"/>
        <v>772.50794980329965</v>
      </c>
      <c r="S46" s="45">
        <f t="shared" si="43"/>
        <v>851.89219641121724</v>
      </c>
      <c r="V46" s="864"/>
      <c r="W46" s="61" t="s">
        <v>54</v>
      </c>
      <c r="X46" s="2" t="s">
        <v>20</v>
      </c>
      <c r="Y46" s="21">
        <f t="shared" ref="Y46:AD46" si="53">(D46/N46)*100*12.2354989838484</f>
        <v>43.737905054456931</v>
      </c>
      <c r="Z46" s="21">
        <f t="shared" si="53"/>
        <v>41.030422216572099</v>
      </c>
      <c r="AA46" s="21">
        <f t="shared" si="53"/>
        <v>35.128098576254175</v>
      </c>
      <c r="AB46" s="21">
        <f t="shared" si="53"/>
        <v>30.665687703986567</v>
      </c>
      <c r="AC46" s="21">
        <f t="shared" si="53"/>
        <v>27.194997489174025</v>
      </c>
      <c r="AD46" s="22">
        <f t="shared" si="53"/>
        <v>24.847525697770337</v>
      </c>
      <c r="AE46" s="7"/>
      <c r="AF46" s="7"/>
    </row>
    <row r="47" spans="1:32" ht="17.25">
      <c r="A47" s="865"/>
      <c r="B47" s="108" t="s">
        <v>25</v>
      </c>
      <c r="C47" s="218">
        <v>14.53</v>
      </c>
      <c r="D47" s="219">
        <v>13.94</v>
      </c>
      <c r="E47" s="218">
        <v>14.52</v>
      </c>
      <c r="F47" s="220">
        <v>14.87</v>
      </c>
      <c r="G47" s="221">
        <v>15.13</v>
      </c>
      <c r="H47" s="222">
        <v>15.44</v>
      </c>
      <c r="I47" s="223">
        <v>15.81</v>
      </c>
      <c r="K47" s="865"/>
      <c r="L47" s="113" t="s">
        <v>25</v>
      </c>
      <c r="M47" s="32">
        <f>($M$9*0.514444)/(C47*((PI()/180)))</f>
        <v>405.7187886555833</v>
      </c>
      <c r="N47" s="32">
        <f t="shared" si="29"/>
        <v>528.61316348328774</v>
      </c>
      <c r="O47" s="78">
        <f t="shared" si="18"/>
        <v>608.99731396339098</v>
      </c>
      <c r="P47" s="78">
        <f t="shared" si="30"/>
        <v>693.77367172426648</v>
      </c>
      <c r="Q47" s="32">
        <f t="shared" si="20"/>
        <v>779.25895560682409</v>
      </c>
      <c r="R47" s="78">
        <f t="shared" si="31"/>
        <v>859.06486386804761</v>
      </c>
      <c r="S47" s="79">
        <f t="shared" si="43"/>
        <v>932.17805173396971</v>
      </c>
      <c r="V47" s="865"/>
      <c r="W47" s="113" t="s">
        <v>25</v>
      </c>
      <c r="X47" s="32">
        <f t="shared" ref="X47:AD47" si="54">(C47/M47)*100*12.2354989838484</f>
        <v>43.818971466524097</v>
      </c>
      <c r="Y47" s="32">
        <f t="shared" si="54"/>
        <v>32.26610073629751</v>
      </c>
      <c r="Z47" s="32">
        <f t="shared" si="54"/>
        <v>29.172451367520893</v>
      </c>
      <c r="AA47" s="32">
        <f t="shared" si="54"/>
        <v>26.224960286780199</v>
      </c>
      <c r="AB47" s="32">
        <f t="shared" si="54"/>
        <v>23.756300558838923</v>
      </c>
      <c r="AC47" s="32">
        <f t="shared" si="54"/>
        <v>21.990901066538886</v>
      </c>
      <c r="AD47" s="33">
        <f t="shared" si="54"/>
        <v>20.751747863491765</v>
      </c>
      <c r="AE47" s="7"/>
      <c r="AF47" s="7"/>
    </row>
    <row r="48" spans="1:32" ht="17.25">
      <c r="A48" s="863">
        <v>12</v>
      </c>
      <c r="B48" s="80" t="s">
        <v>55</v>
      </c>
      <c r="C48" s="224" t="s">
        <v>20</v>
      </c>
      <c r="D48" s="225">
        <v>10.83</v>
      </c>
      <c r="E48" s="226">
        <v>12.09</v>
      </c>
      <c r="F48" s="227">
        <v>12.94</v>
      </c>
      <c r="G48" s="228">
        <v>13</v>
      </c>
      <c r="H48" s="229">
        <v>13.28</v>
      </c>
      <c r="I48" s="230">
        <v>13.51</v>
      </c>
      <c r="K48" s="863">
        <v>12</v>
      </c>
      <c r="L48" s="83" t="s">
        <v>55</v>
      </c>
      <c r="M48" s="84" t="s">
        <v>20</v>
      </c>
      <c r="N48" s="122">
        <f t="shared" si="29"/>
        <v>680.41251144570913</v>
      </c>
      <c r="O48" s="123">
        <f t="shared" si="18"/>
        <v>731.40124059126856</v>
      </c>
      <c r="P48" s="123">
        <f t="shared" si="30"/>
        <v>797.24996124728307</v>
      </c>
      <c r="Q48" s="122">
        <f t="shared" si="20"/>
        <v>906.93753833317294</v>
      </c>
      <c r="R48" s="123">
        <f t="shared" si="31"/>
        <v>998.79228148513971</v>
      </c>
      <c r="S48" s="124">
        <f t="shared" si="43"/>
        <v>1090.8760176102192</v>
      </c>
      <c r="V48" s="863">
        <v>12</v>
      </c>
      <c r="W48" s="83" t="s">
        <v>55</v>
      </c>
      <c r="X48" s="85" t="s">
        <v>20</v>
      </c>
      <c r="Y48" s="122">
        <f t="shared" ref="Y48:AD48" si="55">(D48/N48)*100*12.2354989838484</f>
        <v>19.475017252920008</v>
      </c>
      <c r="Z48" s="122">
        <f t="shared" si="55"/>
        <v>20.225175253345487</v>
      </c>
      <c r="AA48" s="122">
        <f t="shared" si="55"/>
        <v>19.859186522041092</v>
      </c>
      <c r="AB48" s="122">
        <f t="shared" si="55"/>
        <v>17.538306671302021</v>
      </c>
      <c r="AC48" s="122">
        <f t="shared" si="55"/>
        <v>16.268390286706904</v>
      </c>
      <c r="AD48" s="125">
        <f t="shared" si="55"/>
        <v>15.153105266161951</v>
      </c>
      <c r="AE48" s="7"/>
      <c r="AF48" s="7"/>
    </row>
    <row r="49" spans="1:32" ht="17.25">
      <c r="A49" s="864"/>
      <c r="B49" s="52" t="s">
        <v>31</v>
      </c>
      <c r="C49" s="95">
        <v>8.57</v>
      </c>
      <c r="D49" s="96">
        <v>11.61</v>
      </c>
      <c r="E49" s="65">
        <v>14.89</v>
      </c>
      <c r="F49" s="97">
        <v>16.23</v>
      </c>
      <c r="G49" s="98">
        <v>17.190000000000001</v>
      </c>
      <c r="H49" s="99">
        <v>17.97</v>
      </c>
      <c r="I49" s="100">
        <v>18.28</v>
      </c>
      <c r="K49" s="864"/>
      <c r="L49" s="61" t="s">
        <v>31</v>
      </c>
      <c r="M49" s="21">
        <f t="shared" ref="M49:M51" si="56">($M$9*0.514444)/(C49*((PI()/180)))</f>
        <v>687.87561250474039</v>
      </c>
      <c r="N49" s="21">
        <f t="shared" si="29"/>
        <v>634.70004297648836</v>
      </c>
      <c r="O49" s="44">
        <f t="shared" si="18"/>
        <v>593.8644055573161</v>
      </c>
      <c r="P49" s="44">
        <f t="shared" si="30"/>
        <v>635.63860126554778</v>
      </c>
      <c r="Q49" s="21">
        <f t="shared" si="20"/>
        <v>685.87481083951411</v>
      </c>
      <c r="R49" s="44">
        <f t="shared" si="31"/>
        <v>738.11694480370932</v>
      </c>
      <c r="S49" s="45">
        <f t="shared" si="43"/>
        <v>806.22182701936867</v>
      </c>
      <c r="V49" s="864"/>
      <c r="W49" s="61" t="s">
        <v>31</v>
      </c>
      <c r="X49" s="21">
        <f t="shared" ref="X49:AD49" si="57">(C49/M49)*100*12.2354989838484</f>
        <v>15.243777273882953</v>
      </c>
      <c r="Y49" s="21">
        <f t="shared" si="57"/>
        <v>22.381303542426597</v>
      </c>
      <c r="Z49" s="21">
        <f t="shared" si="57"/>
        <v>30.678144398724893</v>
      </c>
      <c r="AA49" s="21">
        <f t="shared" si="57"/>
        <v>31.241360753183521</v>
      </c>
      <c r="AB49" s="21">
        <f t="shared" si="57"/>
        <v>30.665687703986567</v>
      </c>
      <c r="AC49" s="21">
        <f t="shared" si="57"/>
        <v>29.788222352519934</v>
      </c>
      <c r="AD49" s="22">
        <f t="shared" si="57"/>
        <v>27.742355010611174</v>
      </c>
      <c r="AE49" s="7"/>
      <c r="AF49" s="7"/>
    </row>
    <row r="50" spans="1:32" ht="17.25">
      <c r="A50" s="864"/>
      <c r="B50" s="52" t="s">
        <v>32</v>
      </c>
      <c r="C50" s="101">
        <v>11.74</v>
      </c>
      <c r="D50" s="102">
        <v>12.35</v>
      </c>
      <c r="E50" s="103">
        <v>15.93</v>
      </c>
      <c r="F50" s="104">
        <v>17.329999999999998</v>
      </c>
      <c r="G50" s="105">
        <v>17.98</v>
      </c>
      <c r="H50" s="106">
        <v>18.7</v>
      </c>
      <c r="I50" s="107" t="s">
        <v>20</v>
      </c>
      <c r="K50" s="864"/>
      <c r="L50" s="61" t="s">
        <v>32</v>
      </c>
      <c r="M50" s="21">
        <f t="shared" si="56"/>
        <v>502.13747863420997</v>
      </c>
      <c r="N50" s="21">
        <f t="shared" si="29"/>
        <v>596.66943311392959</v>
      </c>
      <c r="O50" s="44">
        <f t="shared" si="18"/>
        <v>555.0935969082509</v>
      </c>
      <c r="P50" s="44">
        <f t="shared" si="30"/>
        <v>595.29223880783866</v>
      </c>
      <c r="Q50" s="21">
        <f t="shared" si="20"/>
        <v>655.73904328872345</v>
      </c>
      <c r="R50" s="44">
        <f t="shared" si="31"/>
        <v>709.30275391030239</v>
      </c>
      <c r="S50" s="50" t="s">
        <v>20</v>
      </c>
      <c r="V50" s="864"/>
      <c r="W50" s="61" t="s">
        <v>32</v>
      </c>
      <c r="X50" s="21">
        <f t="shared" ref="X50:AC50" si="58">(C50/M50)*100*12.2354989838484</f>
        <v>28.606659367686934</v>
      </c>
      <c r="Y50" s="21">
        <f t="shared" si="58"/>
        <v>25.325314833360117</v>
      </c>
      <c r="Z50" s="21">
        <f t="shared" si="58"/>
        <v>35.113267365777439</v>
      </c>
      <c r="AA50" s="21">
        <f t="shared" si="58"/>
        <v>35.619681152695151</v>
      </c>
      <c r="AB50" s="21">
        <f t="shared" si="58"/>
        <v>33.549057964622399</v>
      </c>
      <c r="AC50" s="21">
        <f t="shared" si="58"/>
        <v>32.25756980874479</v>
      </c>
      <c r="AD50" s="50" t="s">
        <v>20</v>
      </c>
      <c r="AE50" s="51"/>
      <c r="AF50" s="51"/>
    </row>
    <row r="51" spans="1:32" ht="17.25">
      <c r="A51" s="864"/>
      <c r="B51" s="231" t="s">
        <v>56</v>
      </c>
      <c r="C51" s="232">
        <v>8.69</v>
      </c>
      <c r="D51" s="233">
        <v>10.130000000000001</v>
      </c>
      <c r="E51" s="234">
        <v>11.86</v>
      </c>
      <c r="F51" s="235">
        <v>12.78</v>
      </c>
      <c r="G51" s="215">
        <v>13.28</v>
      </c>
      <c r="H51" s="208">
        <v>13.41</v>
      </c>
      <c r="I51" s="236">
        <v>13.68</v>
      </c>
      <c r="K51" s="864"/>
      <c r="L51" s="69" t="s">
        <v>56</v>
      </c>
      <c r="M51" s="21">
        <f t="shared" si="56"/>
        <v>678.37675479466338</v>
      </c>
      <c r="N51" s="21">
        <f t="shared" si="29"/>
        <v>727.43015784373438</v>
      </c>
      <c r="O51" s="44">
        <f t="shared" si="18"/>
        <v>745.58524441386487</v>
      </c>
      <c r="P51" s="44">
        <f t="shared" si="30"/>
        <v>807.23118141939301</v>
      </c>
      <c r="Q51" s="21">
        <f t="shared" si="20"/>
        <v>887.81536132012423</v>
      </c>
      <c r="R51" s="44">
        <f t="shared" si="31"/>
        <v>989.10973140362819</v>
      </c>
      <c r="S51" s="45">
        <f t="shared" ref="S51:S52" si="59">($S$9*0.514444)/(I51*((PI()/180)))</f>
        <v>1077.3198097890395</v>
      </c>
      <c r="V51" s="864"/>
      <c r="W51" s="69" t="s">
        <v>56</v>
      </c>
      <c r="X51" s="21">
        <f t="shared" ref="X51:AD51" si="60">(C51/M51)*100*12.2354989838484</f>
        <v>15.673662963558701</v>
      </c>
      <c r="Y51" s="21">
        <f t="shared" si="60"/>
        <v>17.038832301617351</v>
      </c>
      <c r="Z51" s="21">
        <f t="shared" si="60"/>
        <v>19.462968055721287</v>
      </c>
      <c r="AA51" s="21">
        <f t="shared" si="60"/>
        <v>19.371114571990429</v>
      </c>
      <c r="AB51" s="21">
        <f t="shared" si="60"/>
        <v>18.301939072545267</v>
      </c>
      <c r="AC51" s="21">
        <f t="shared" si="60"/>
        <v>16.588456888455319</v>
      </c>
      <c r="AD51" s="22">
        <f t="shared" si="60"/>
        <v>15.536855869365544</v>
      </c>
      <c r="AE51" s="7"/>
      <c r="AF51" s="7"/>
    </row>
    <row r="52" spans="1:32" ht="17.25">
      <c r="A52" s="865"/>
      <c r="B52" s="70" t="s">
        <v>57</v>
      </c>
      <c r="C52" s="237" t="s">
        <v>20</v>
      </c>
      <c r="D52" s="238">
        <v>10.83</v>
      </c>
      <c r="E52" s="239">
        <v>12.47</v>
      </c>
      <c r="F52" s="240">
        <v>12.94</v>
      </c>
      <c r="G52" s="241">
        <v>13.28</v>
      </c>
      <c r="H52" s="242">
        <v>13.53</v>
      </c>
      <c r="I52" s="243">
        <v>13.73</v>
      </c>
      <c r="K52" s="865"/>
      <c r="L52" s="77" t="s">
        <v>57</v>
      </c>
      <c r="M52" s="114" t="s">
        <v>20</v>
      </c>
      <c r="N52" s="32">
        <f t="shared" si="29"/>
        <v>680.41251144570913</v>
      </c>
      <c r="O52" s="78">
        <f t="shared" si="18"/>
        <v>709.11315146338711</v>
      </c>
      <c r="P52" s="78">
        <f t="shared" si="30"/>
        <v>797.24996124728307</v>
      </c>
      <c r="Q52" s="32">
        <f t="shared" si="20"/>
        <v>887.81536132012423</v>
      </c>
      <c r="R52" s="78">
        <f t="shared" si="31"/>
        <v>980.33713955082442</v>
      </c>
      <c r="S52" s="79">
        <f t="shared" si="59"/>
        <v>1073.3965766871129</v>
      </c>
      <c r="V52" s="865"/>
      <c r="W52" s="77" t="s">
        <v>57</v>
      </c>
      <c r="X52" s="115" t="s">
        <v>20</v>
      </c>
      <c r="Y52" s="32">
        <f t="shared" ref="Y52:AD52" si="61">(D52/N52)*100*12.2354989838484</f>
        <v>19.475017252920008</v>
      </c>
      <c r="Z52" s="32">
        <f t="shared" si="61"/>
        <v>21.516548101486929</v>
      </c>
      <c r="AA52" s="32">
        <f t="shared" si="61"/>
        <v>19.859186522041092</v>
      </c>
      <c r="AB52" s="32">
        <f t="shared" si="61"/>
        <v>18.301939072545267</v>
      </c>
      <c r="AC52" s="32">
        <f t="shared" si="61"/>
        <v>16.886670368044982</v>
      </c>
      <c r="AD52" s="33">
        <f t="shared" si="61"/>
        <v>15.650636931107648</v>
      </c>
      <c r="AE52" s="7"/>
      <c r="AF52" s="7"/>
    </row>
    <row r="53" spans="1:32" ht="15">
      <c r="A53" s="866">
        <v>11.7</v>
      </c>
      <c r="B53" s="80" t="s">
        <v>58</v>
      </c>
      <c r="C53" s="224" t="s">
        <v>20</v>
      </c>
      <c r="D53" s="224" t="s">
        <v>20</v>
      </c>
      <c r="E53" s="224" t="s">
        <v>20</v>
      </c>
      <c r="F53" s="224" t="s">
        <v>20</v>
      </c>
      <c r="G53" s="224" t="s">
        <v>20</v>
      </c>
      <c r="H53" s="224" t="s">
        <v>20</v>
      </c>
      <c r="I53" s="244" t="s">
        <v>20</v>
      </c>
      <c r="K53" s="863">
        <v>11.7</v>
      </c>
      <c r="L53" s="83" t="s">
        <v>58</v>
      </c>
      <c r="M53" s="84" t="s">
        <v>20</v>
      </c>
      <c r="N53" s="85" t="s">
        <v>20</v>
      </c>
      <c r="O53" s="85" t="s">
        <v>20</v>
      </c>
      <c r="P53" s="85" t="s">
        <v>20</v>
      </c>
      <c r="Q53" s="85" t="s">
        <v>20</v>
      </c>
      <c r="R53" s="85" t="s">
        <v>20</v>
      </c>
      <c r="S53" s="87" t="s">
        <v>20</v>
      </c>
      <c r="V53" s="863">
        <v>11.7</v>
      </c>
      <c r="W53" s="83" t="s">
        <v>58</v>
      </c>
      <c r="X53" s="85" t="s">
        <v>20</v>
      </c>
      <c r="Y53" s="85" t="s">
        <v>20</v>
      </c>
      <c r="Z53" s="85" t="s">
        <v>20</v>
      </c>
      <c r="AA53" s="85" t="s">
        <v>20</v>
      </c>
      <c r="AB53" s="85" t="s">
        <v>20</v>
      </c>
      <c r="AC53" s="85" t="s">
        <v>20</v>
      </c>
      <c r="AD53" s="87" t="s">
        <v>20</v>
      </c>
      <c r="AE53" s="51"/>
      <c r="AF53" s="51"/>
    </row>
    <row r="54" spans="1:32" ht="15">
      <c r="A54" s="864"/>
      <c r="B54" s="52" t="s">
        <v>59</v>
      </c>
      <c r="C54" s="4" t="s">
        <v>20</v>
      </c>
      <c r="D54" s="4" t="s">
        <v>20</v>
      </c>
      <c r="E54" s="4" t="s">
        <v>20</v>
      </c>
      <c r="F54" s="4" t="s">
        <v>20</v>
      </c>
      <c r="G54" s="4" t="s">
        <v>20</v>
      </c>
      <c r="H54" s="4" t="s">
        <v>20</v>
      </c>
      <c r="I54" s="245" t="s">
        <v>20</v>
      </c>
      <c r="K54" s="864"/>
      <c r="L54" s="61" t="s">
        <v>59</v>
      </c>
      <c r="M54" s="48" t="s">
        <v>20</v>
      </c>
      <c r="N54" s="2" t="s">
        <v>20</v>
      </c>
      <c r="O54" s="2" t="s">
        <v>20</v>
      </c>
      <c r="P54" s="2" t="s">
        <v>20</v>
      </c>
      <c r="Q54" s="2" t="s">
        <v>20</v>
      </c>
      <c r="R54" s="2" t="s">
        <v>20</v>
      </c>
      <c r="S54" s="50" t="s">
        <v>20</v>
      </c>
      <c r="V54" s="864"/>
      <c r="W54" s="61" t="s">
        <v>59</v>
      </c>
      <c r="X54" s="2" t="s">
        <v>20</v>
      </c>
      <c r="Y54" s="2" t="s">
        <v>20</v>
      </c>
      <c r="Z54" s="2" t="s">
        <v>20</v>
      </c>
      <c r="AA54" s="2" t="s">
        <v>20</v>
      </c>
      <c r="AB54" s="2" t="s">
        <v>20</v>
      </c>
      <c r="AC54" s="2" t="s">
        <v>20</v>
      </c>
      <c r="AD54" s="50" t="s">
        <v>20</v>
      </c>
      <c r="AE54" s="51"/>
      <c r="AF54" s="51"/>
    </row>
    <row r="55" spans="1:32" ht="17.25">
      <c r="A55" s="864"/>
      <c r="B55" s="52" t="s">
        <v>60</v>
      </c>
      <c r="C55" s="144">
        <v>11.44</v>
      </c>
      <c r="D55" s="145">
        <v>14.07</v>
      </c>
      <c r="E55" s="146">
        <v>14.67</v>
      </c>
      <c r="F55" s="147">
        <v>14.65</v>
      </c>
      <c r="G55" s="148">
        <v>14</v>
      </c>
      <c r="H55" s="149">
        <v>13.21</v>
      </c>
      <c r="I55" s="150">
        <v>12.21</v>
      </c>
      <c r="K55" s="864"/>
      <c r="L55" s="61" t="s">
        <v>60</v>
      </c>
      <c r="M55" s="21">
        <f t="shared" ref="M55:M56" si="62">($M$9*0.514444)/(C55*((PI()/180)))</f>
        <v>515.30541950748466</v>
      </c>
      <c r="N55" s="21">
        <f t="shared" ref="N55:N56" si="63">($N$9*0.514444)/(D55*((PI()/180)))</f>
        <v>523.72903333027932</v>
      </c>
      <c r="O55" s="44">
        <f t="shared" ref="O55:O56" si="64">($O$9*0.514444)/(E55*((PI()/180)))</f>
        <v>602.77034756294734</v>
      </c>
      <c r="P55" s="44">
        <f t="shared" ref="P55:P56" si="65">($P$9*0.514444)/(F55*((PI()/180)))</f>
        <v>704.19211594128615</v>
      </c>
      <c r="Q55" s="21">
        <f t="shared" ref="Q55:Q56" si="66">($Q$9*0.514444)/(G55*((PI()/180)))</f>
        <v>842.15628559508923</v>
      </c>
      <c r="R55" s="44">
        <f t="shared" ref="R55:R56" si="67">($R$9*0.514444)/(H55*((PI()/180)))</f>
        <v>1004.0848976625779</v>
      </c>
      <c r="S55" s="45">
        <f t="shared" ref="S55:S56" si="68">($S$9*0.514444)/(I55*((PI()/180)))</f>
        <v>1207.0217033508648</v>
      </c>
      <c r="V55" s="864"/>
      <c r="W55" s="61" t="s">
        <v>60</v>
      </c>
      <c r="X55" s="21">
        <f t="shared" ref="X55:AD55" si="69">(C55/M55)*100*12.2354989838484</f>
        <v>27.163329372512568</v>
      </c>
      <c r="Y55" s="21">
        <f t="shared" si="69"/>
        <v>32.870713622282956</v>
      </c>
      <c r="Z55" s="21">
        <f t="shared" si="69"/>
        <v>29.778301274899949</v>
      </c>
      <c r="AA55" s="21">
        <f t="shared" si="69"/>
        <v>25.454709880382204</v>
      </c>
      <c r="AB55" s="21">
        <f t="shared" si="69"/>
        <v>20.340284660208258</v>
      </c>
      <c r="AC55" s="21">
        <f t="shared" si="69"/>
        <v>16.097338178564396</v>
      </c>
      <c r="AD55" s="22">
        <f t="shared" si="69"/>
        <v>12.377196050248799</v>
      </c>
      <c r="AE55" s="7"/>
      <c r="AF55" s="7"/>
    </row>
    <row r="56" spans="1:32" ht="17.25">
      <c r="A56" s="864"/>
      <c r="B56" s="52" t="s">
        <v>61</v>
      </c>
      <c r="C56" s="151">
        <v>12.33</v>
      </c>
      <c r="D56" s="152">
        <v>14.25</v>
      </c>
      <c r="E56" s="141">
        <v>15.15</v>
      </c>
      <c r="F56" s="142">
        <v>15.25</v>
      </c>
      <c r="G56" s="153">
        <v>14.74</v>
      </c>
      <c r="H56" s="148">
        <v>13.97</v>
      </c>
      <c r="I56" s="154">
        <v>13</v>
      </c>
      <c r="K56" s="864"/>
      <c r="L56" s="61" t="s">
        <v>61</v>
      </c>
      <c r="M56" s="21">
        <f t="shared" si="62"/>
        <v>478.10981339542781</v>
      </c>
      <c r="N56" s="21">
        <f t="shared" si="63"/>
        <v>517.11350869873888</v>
      </c>
      <c r="O56" s="44">
        <f t="shared" si="64"/>
        <v>583.67267318471534</v>
      </c>
      <c r="P56" s="44">
        <f t="shared" si="65"/>
        <v>676.48619662556348</v>
      </c>
      <c r="Q56" s="21">
        <f t="shared" si="66"/>
        <v>799.87706908624489</v>
      </c>
      <c r="R56" s="44">
        <f t="shared" si="67"/>
        <v>949.46037925001099</v>
      </c>
      <c r="S56" s="45">
        <f t="shared" si="68"/>
        <v>1133.6719229164662</v>
      </c>
      <c r="V56" s="864"/>
      <c r="W56" s="61" t="s">
        <v>61</v>
      </c>
      <c r="X56" s="21">
        <f t="shared" ref="X56:AD56" si="70">(C56/M56)*100*12.2354989838484</f>
        <v>31.554194924268725</v>
      </c>
      <c r="Y56" s="21">
        <f t="shared" si="70"/>
        <v>33.717135133171766</v>
      </c>
      <c r="Z56" s="21">
        <f t="shared" si="70"/>
        <v>31.758863849813945</v>
      </c>
      <c r="AA56" s="21">
        <f t="shared" si="70"/>
        <v>27.582434118307191</v>
      </c>
      <c r="AB56" s="21">
        <f t="shared" si="70"/>
        <v>22.547371588980941</v>
      </c>
      <c r="AC56" s="21">
        <f t="shared" si="70"/>
        <v>18.002849254160722</v>
      </c>
      <c r="AD56" s="22">
        <f t="shared" si="70"/>
        <v>14.030645337041616</v>
      </c>
      <c r="AE56" s="7"/>
      <c r="AF56" s="7"/>
    </row>
    <row r="57" spans="1:32" ht="15">
      <c r="A57" s="864"/>
      <c r="B57" s="52" t="s">
        <v>62</v>
      </c>
      <c r="C57" s="4" t="s">
        <v>20</v>
      </c>
      <c r="D57" s="4" t="s">
        <v>20</v>
      </c>
      <c r="E57" s="4" t="s">
        <v>20</v>
      </c>
      <c r="F57" s="4" t="s">
        <v>20</v>
      </c>
      <c r="G57" s="4" t="s">
        <v>20</v>
      </c>
      <c r="H57" s="4" t="s">
        <v>20</v>
      </c>
      <c r="I57" s="245" t="s">
        <v>20</v>
      </c>
      <c r="K57" s="864"/>
      <c r="L57" s="61" t="s">
        <v>62</v>
      </c>
      <c r="M57" s="48" t="s">
        <v>20</v>
      </c>
      <c r="N57" s="2" t="s">
        <v>20</v>
      </c>
      <c r="O57" s="2" t="s">
        <v>20</v>
      </c>
      <c r="P57" s="2" t="s">
        <v>20</v>
      </c>
      <c r="Q57" s="2" t="s">
        <v>20</v>
      </c>
      <c r="R57" s="2" t="s">
        <v>20</v>
      </c>
      <c r="S57" s="50" t="s">
        <v>20</v>
      </c>
      <c r="V57" s="864"/>
      <c r="W57" s="61" t="s">
        <v>62</v>
      </c>
      <c r="X57" s="2" t="s">
        <v>20</v>
      </c>
      <c r="Y57" s="2" t="s">
        <v>20</v>
      </c>
      <c r="Z57" s="2" t="s">
        <v>20</v>
      </c>
      <c r="AA57" s="2" t="s">
        <v>20</v>
      </c>
      <c r="AB57" s="2" t="s">
        <v>20</v>
      </c>
      <c r="AC57" s="2" t="s">
        <v>20</v>
      </c>
      <c r="AD57" s="50" t="s">
        <v>20</v>
      </c>
      <c r="AE57" s="51"/>
      <c r="AF57" s="51"/>
    </row>
    <row r="58" spans="1:32" ht="17.25">
      <c r="A58" s="864"/>
      <c r="B58" s="52" t="s">
        <v>63</v>
      </c>
      <c r="C58" s="246">
        <v>8.25</v>
      </c>
      <c r="D58" s="247">
        <v>11.94</v>
      </c>
      <c r="E58" s="141">
        <v>15.15</v>
      </c>
      <c r="F58" s="55">
        <v>16.579999999999998</v>
      </c>
      <c r="G58" s="98">
        <v>17.239999999999998</v>
      </c>
      <c r="H58" s="99">
        <v>17.989999999999998</v>
      </c>
      <c r="I58" s="107" t="s">
        <v>20</v>
      </c>
      <c r="K58" s="864"/>
      <c r="L58" s="61" t="s">
        <v>63</v>
      </c>
      <c r="M58" s="21">
        <f t="shared" ref="M58:M60" si="71">($M$9*0.514444)/(C58*((PI()/180)))</f>
        <v>714.55684838371201</v>
      </c>
      <c r="N58" s="21">
        <f t="shared" ref="N58:N60" si="72">($N$9*0.514444)/(D58*((PI()/180)))</f>
        <v>617.15808198970103</v>
      </c>
      <c r="O58" s="44">
        <f t="shared" ref="O58:O61" si="73">($O$9*0.514444)/(E58*((PI()/180)))</f>
        <v>583.67267318471534</v>
      </c>
      <c r="P58" s="44">
        <f t="shared" ref="P58:P61" si="74">($P$9*0.514444)/(F58*((PI()/180)))</f>
        <v>622.22041607598567</v>
      </c>
      <c r="Q58" s="21">
        <f t="shared" ref="Q58:Q61" si="75">($Q$9*0.514444)/(G58*((PI()/180)))</f>
        <v>683.88561475239271</v>
      </c>
      <c r="R58" s="44">
        <f t="shared" ref="R58:R61" si="76">($R$9*0.514444)/(H58*((PI()/180)))</f>
        <v>737.29635898402762</v>
      </c>
      <c r="S58" s="50" t="s">
        <v>20</v>
      </c>
      <c r="V58" s="864"/>
      <c r="W58" s="61" t="s">
        <v>63</v>
      </c>
      <c r="X58" s="21">
        <f t="shared" ref="X58:AC58" si="77">(C58/M58)*100*12.2354989838484</f>
        <v>14.126639027402293</v>
      </c>
      <c r="Y58" s="21">
        <f t="shared" si="77"/>
        <v>23.671707805584216</v>
      </c>
      <c r="Z58" s="21">
        <f t="shared" si="77"/>
        <v>31.758863849813945</v>
      </c>
      <c r="AA58" s="21">
        <f t="shared" si="77"/>
        <v>32.603329609717051</v>
      </c>
      <c r="AB58" s="21">
        <f t="shared" si="77"/>
        <v>30.844339745019962</v>
      </c>
      <c r="AC58" s="21">
        <f t="shared" si="77"/>
        <v>29.854565811602114</v>
      </c>
      <c r="AD58" s="50" t="s">
        <v>20</v>
      </c>
      <c r="AE58" s="51"/>
      <c r="AF58" s="51"/>
    </row>
    <row r="59" spans="1:32" ht="17.25">
      <c r="A59" s="864"/>
      <c r="B59" s="52" t="s">
        <v>64</v>
      </c>
      <c r="C59" s="248">
        <v>10.6</v>
      </c>
      <c r="D59" s="249">
        <v>12.9</v>
      </c>
      <c r="E59" s="91">
        <v>16.41</v>
      </c>
      <c r="F59" s="162">
        <v>17.739999999999998</v>
      </c>
      <c r="G59" s="250">
        <v>18.149999999999999</v>
      </c>
      <c r="H59" s="251">
        <v>18.510000000000002</v>
      </c>
      <c r="I59" s="107" t="s">
        <v>20</v>
      </c>
      <c r="K59" s="864"/>
      <c r="L59" s="61" t="s">
        <v>64</v>
      </c>
      <c r="M59" s="21">
        <f t="shared" si="71"/>
        <v>556.14094331751176</v>
      </c>
      <c r="N59" s="21">
        <f t="shared" si="72"/>
        <v>571.23003867883949</v>
      </c>
      <c r="O59" s="44">
        <f t="shared" si="73"/>
        <v>538.8568554996001</v>
      </c>
      <c r="P59" s="44">
        <f t="shared" si="74"/>
        <v>581.5340754532042</v>
      </c>
      <c r="Q59" s="21">
        <f t="shared" si="75"/>
        <v>649.59713489428373</v>
      </c>
      <c r="R59" s="44">
        <f t="shared" si="76"/>
        <v>716.58354933131568</v>
      </c>
      <c r="S59" s="50" t="s">
        <v>20</v>
      </c>
      <c r="V59" s="864"/>
      <c r="W59" s="61" t="s">
        <v>64</v>
      </c>
      <c r="X59" s="21">
        <f t="shared" ref="X59:AC59" si="78">(C59/M59)*100*12.2354989838484</f>
        <v>23.320759024704081</v>
      </c>
      <c r="Y59" s="21">
        <f t="shared" si="78"/>
        <v>27.631238941267405</v>
      </c>
      <c r="Z59" s="21">
        <f t="shared" si="78"/>
        <v>37.261201425895422</v>
      </c>
      <c r="AA59" s="21">
        <f t="shared" si="78"/>
        <v>37.32502722292103</v>
      </c>
      <c r="AB59" s="21">
        <f t="shared" si="78"/>
        <v>34.186466446313545</v>
      </c>
      <c r="AC59" s="21">
        <f t="shared" si="78"/>
        <v>31.605398477591933</v>
      </c>
      <c r="AD59" s="50" t="s">
        <v>20</v>
      </c>
      <c r="AE59" s="51"/>
      <c r="AF59" s="51"/>
    </row>
    <row r="60" spans="1:32" ht="17.25">
      <c r="A60" s="864"/>
      <c r="B60" s="52" t="s">
        <v>65</v>
      </c>
      <c r="C60" s="252">
        <v>11.92</v>
      </c>
      <c r="D60" s="253">
        <v>14.21</v>
      </c>
      <c r="E60" s="90">
        <v>15.82</v>
      </c>
      <c r="F60" s="157">
        <v>16.010000000000002</v>
      </c>
      <c r="G60" s="157">
        <v>16.010000000000002</v>
      </c>
      <c r="H60" s="103">
        <v>15.95</v>
      </c>
      <c r="I60" s="68">
        <v>15.79</v>
      </c>
      <c r="K60" s="864"/>
      <c r="L60" s="61" t="s">
        <v>65</v>
      </c>
      <c r="M60" s="21">
        <f t="shared" si="71"/>
        <v>494.55486570181415</v>
      </c>
      <c r="N60" s="21">
        <f t="shared" si="72"/>
        <v>518.56914137628632</v>
      </c>
      <c r="O60" s="44">
        <f t="shared" si="73"/>
        <v>558.95328689939549</v>
      </c>
      <c r="P60" s="44">
        <f t="shared" si="74"/>
        <v>644.37317292566149</v>
      </c>
      <c r="Q60" s="21">
        <f t="shared" si="75"/>
        <v>736.4264833436132</v>
      </c>
      <c r="R60" s="44">
        <f t="shared" si="76"/>
        <v>831.59633217069938</v>
      </c>
      <c r="S60" s="45">
        <f t="shared" ref="S60:S61" si="79">($S$9*0.514444)/(I60*((PI()/180)))</f>
        <v>933.35877124218234</v>
      </c>
      <c r="V60" s="864"/>
      <c r="W60" s="61" t="s">
        <v>65</v>
      </c>
      <c r="X60" s="21">
        <f t="shared" ref="X60:AD60" si="80">(C60/M60)*100*12.2354989838484</f>
        <v>29.490590023920557</v>
      </c>
      <c r="Y60" s="21">
        <f t="shared" si="80"/>
        <v>33.528111622500901</v>
      </c>
      <c r="Z60" s="21">
        <f t="shared" si="80"/>
        <v>34.630012643493238</v>
      </c>
      <c r="AA60" s="21">
        <f t="shared" si="80"/>
        <v>30.400138764624192</v>
      </c>
      <c r="AB60" s="21">
        <f t="shared" si="80"/>
        <v>26.600121419046165</v>
      </c>
      <c r="AC60" s="21">
        <f t="shared" si="80"/>
        <v>23.467661080583365</v>
      </c>
      <c r="AD60" s="22">
        <f t="shared" si="80"/>
        <v>20.699278231225428</v>
      </c>
      <c r="AE60" s="7"/>
      <c r="AF60" s="7"/>
    </row>
    <row r="61" spans="1:32" ht="17.25">
      <c r="A61" s="864"/>
      <c r="B61" s="62" t="s">
        <v>66</v>
      </c>
      <c r="C61" s="18" t="s">
        <v>15</v>
      </c>
      <c r="D61" s="254" t="s">
        <v>15</v>
      </c>
      <c r="E61" s="152">
        <v>14.33</v>
      </c>
      <c r="F61" s="63">
        <v>14.53</v>
      </c>
      <c r="G61" s="147">
        <v>14.66</v>
      </c>
      <c r="H61" s="63">
        <v>14.51</v>
      </c>
      <c r="I61" s="236">
        <v>13.73</v>
      </c>
      <c r="K61" s="864"/>
      <c r="L61" s="69" t="s">
        <v>66</v>
      </c>
      <c r="M61" s="48" t="s">
        <v>20</v>
      </c>
      <c r="N61" s="2" t="s">
        <v>20</v>
      </c>
      <c r="O61" s="44">
        <f t="shared" si="73"/>
        <v>617.0719468770717</v>
      </c>
      <c r="P61" s="44">
        <f t="shared" si="74"/>
        <v>710.00788014727061</v>
      </c>
      <c r="Q61" s="21">
        <f t="shared" si="75"/>
        <v>804.24201898576052</v>
      </c>
      <c r="R61" s="44">
        <f t="shared" si="76"/>
        <v>914.12553398502098</v>
      </c>
      <c r="S61" s="45">
        <f t="shared" si="79"/>
        <v>1073.3965766871129</v>
      </c>
      <c r="V61" s="864"/>
      <c r="W61" s="69" t="s">
        <v>66</v>
      </c>
      <c r="X61" s="2" t="s">
        <v>20</v>
      </c>
      <c r="Y61" s="2" t="s">
        <v>20</v>
      </c>
      <c r="Z61" s="2" t="s">
        <v>20</v>
      </c>
      <c r="AA61" s="21">
        <f t="shared" ref="AA61:AD61" si="81">(F61/P61)*100*12.2354989838484</f>
        <v>25.039412266585206</v>
      </c>
      <c r="AB61" s="21">
        <f t="shared" si="81"/>
        <v>22.303288173058441</v>
      </c>
      <c r="AC61" s="21">
        <f t="shared" si="81"/>
        <v>19.421521843032711</v>
      </c>
      <c r="AD61" s="22">
        <f t="shared" si="81"/>
        <v>15.650636931107648</v>
      </c>
      <c r="AE61" s="7"/>
      <c r="AF61" s="7"/>
    </row>
    <row r="62" spans="1:32" ht="17.25">
      <c r="A62" s="864"/>
      <c r="B62" s="52" t="s">
        <v>67</v>
      </c>
      <c r="C62" s="18" t="s">
        <v>15</v>
      </c>
      <c r="D62" s="18" t="s">
        <v>15</v>
      </c>
      <c r="E62" s="18" t="s">
        <v>15</v>
      </c>
      <c r="F62" s="18" t="s">
        <v>15</v>
      </c>
      <c r="G62" s="18" t="s">
        <v>15</v>
      </c>
      <c r="H62" s="18" t="s">
        <v>15</v>
      </c>
      <c r="I62" s="19" t="s">
        <v>15</v>
      </c>
      <c r="K62" s="864"/>
      <c r="L62" s="61" t="s">
        <v>67</v>
      </c>
      <c r="M62" s="48" t="s">
        <v>20</v>
      </c>
      <c r="N62" s="2" t="s">
        <v>20</v>
      </c>
      <c r="O62" s="2" t="s">
        <v>20</v>
      </c>
      <c r="P62" s="2" t="s">
        <v>20</v>
      </c>
      <c r="Q62" s="2" t="s">
        <v>20</v>
      </c>
      <c r="R62" s="2" t="s">
        <v>20</v>
      </c>
      <c r="S62" s="50" t="s">
        <v>20</v>
      </c>
      <c r="V62" s="864"/>
      <c r="W62" s="61" t="s">
        <v>67</v>
      </c>
      <c r="X62" s="2" t="s">
        <v>20</v>
      </c>
      <c r="Y62" s="2" t="s">
        <v>20</v>
      </c>
      <c r="Z62" s="2" t="s">
        <v>20</v>
      </c>
      <c r="AA62" s="2" t="s">
        <v>20</v>
      </c>
      <c r="AB62" s="2" t="s">
        <v>20</v>
      </c>
      <c r="AC62" s="2" t="s">
        <v>20</v>
      </c>
      <c r="AD62" s="50" t="s">
        <v>20</v>
      </c>
      <c r="AE62" s="51"/>
      <c r="AF62" s="51"/>
    </row>
    <row r="63" spans="1:32" ht="17.25">
      <c r="A63" s="864"/>
      <c r="B63" s="62" t="s">
        <v>68</v>
      </c>
      <c r="C63" s="255">
        <v>10.54</v>
      </c>
      <c r="D63" s="256">
        <v>12.21</v>
      </c>
      <c r="E63" s="149">
        <v>13.21</v>
      </c>
      <c r="F63" s="210">
        <v>13.51</v>
      </c>
      <c r="G63" s="148">
        <v>14</v>
      </c>
      <c r="H63" s="152">
        <v>14.26</v>
      </c>
      <c r="I63" s="257">
        <v>14.39</v>
      </c>
      <c r="K63" s="864"/>
      <c r="L63" s="69" t="s">
        <v>68</v>
      </c>
      <c r="M63" s="21">
        <f t="shared" ref="M63:M64" si="82">($M$9*0.514444)/(C63*((PI()/180)))</f>
        <v>559.30683104038189</v>
      </c>
      <c r="N63" s="21">
        <f t="shared" ref="N63:N64" si="83">($N$9*0.514444)/(D63*((PI()/180)))</f>
        <v>603.51085167543238</v>
      </c>
      <c r="O63" s="44">
        <f t="shared" ref="O63:O69" si="84">($O$9*0.514444)/(E63*((PI()/180)))</f>
        <v>669.38993177505199</v>
      </c>
      <c r="P63" s="44">
        <f t="shared" ref="P63:P69" si="85">($P$9*0.514444)/(F63*((PI()/180)))</f>
        <v>763.61321232715341</v>
      </c>
      <c r="Q63" s="21">
        <f t="shared" ref="Q63:Q69" si="86">($Q$9*0.514444)/(G63*((PI()/180)))</f>
        <v>842.15628559508923</v>
      </c>
      <c r="R63" s="44">
        <f t="shared" ref="R63:R69" si="87">($R$9*0.514444)/(H63*((PI()/180)))</f>
        <v>930.15157770846099</v>
      </c>
      <c r="S63" s="45">
        <f t="shared" ref="S63:S69" si="88">($S$9*0.514444)/(I63*((PI()/180)))</f>
        <v>1024.1650450252994</v>
      </c>
      <c r="V63" s="864"/>
      <c r="W63" s="69" t="s">
        <v>68</v>
      </c>
      <c r="X63" s="21">
        <f t="shared" ref="X63:AD63" si="89">(C63/M63)*100*12.2354989838484</f>
        <v>23.057497626101956</v>
      </c>
      <c r="Y63" s="21">
        <f t="shared" si="89"/>
        <v>24.754392100497597</v>
      </c>
      <c r="Z63" s="21">
        <f t="shared" si="89"/>
        <v>24.146007267846588</v>
      </c>
      <c r="AA63" s="21">
        <f t="shared" si="89"/>
        <v>21.647293237374214</v>
      </c>
      <c r="AB63" s="21">
        <f t="shared" si="89"/>
        <v>20.340284660208258</v>
      </c>
      <c r="AC63" s="21">
        <f t="shared" si="89"/>
        <v>18.758041129116396</v>
      </c>
      <c r="AD63" s="22">
        <f t="shared" si="89"/>
        <v>17.191450853824946</v>
      </c>
      <c r="AE63" s="7"/>
      <c r="AF63" s="7"/>
    </row>
    <row r="64" spans="1:32" ht="17.25">
      <c r="A64" s="864"/>
      <c r="B64" s="52" t="s">
        <v>69</v>
      </c>
      <c r="C64" s="144">
        <v>11.44</v>
      </c>
      <c r="D64" s="256">
        <v>12.21</v>
      </c>
      <c r="E64" s="258">
        <v>12.8</v>
      </c>
      <c r="F64" s="215">
        <v>13.29</v>
      </c>
      <c r="G64" s="259">
        <v>13.69</v>
      </c>
      <c r="H64" s="260">
        <v>13.65</v>
      </c>
      <c r="I64" s="261">
        <v>13.62</v>
      </c>
      <c r="K64" s="864"/>
      <c r="L64" s="61" t="s">
        <v>69</v>
      </c>
      <c r="M64" s="21">
        <f t="shared" si="82"/>
        <v>515.30541950748466</v>
      </c>
      <c r="N64" s="21">
        <f t="shared" si="83"/>
        <v>603.51085167543238</v>
      </c>
      <c r="O64" s="44">
        <f t="shared" si="84"/>
        <v>690.83132802722162</v>
      </c>
      <c r="P64" s="44">
        <f t="shared" si="85"/>
        <v>776.25391260645927</v>
      </c>
      <c r="Q64" s="21">
        <f t="shared" si="86"/>
        <v>861.22629644494157</v>
      </c>
      <c r="R64" s="44">
        <f t="shared" si="87"/>
        <v>971.71879107125676</v>
      </c>
      <c r="S64" s="45">
        <f t="shared" si="88"/>
        <v>1082.0657120348062</v>
      </c>
      <c r="V64" s="864"/>
      <c r="W64" s="61" t="s">
        <v>69</v>
      </c>
      <c r="X64" s="21">
        <f t="shared" ref="X64:AD64" si="90">(C64/M64)*100*12.2354989838484</f>
        <v>27.163329372512568</v>
      </c>
      <c r="Y64" s="21">
        <f t="shared" si="90"/>
        <v>24.754392100497597</v>
      </c>
      <c r="Z64" s="21">
        <f t="shared" si="90"/>
        <v>22.670423392711029</v>
      </c>
      <c r="AA64" s="21">
        <f t="shared" si="90"/>
        <v>20.948014413137546</v>
      </c>
      <c r="AB64" s="21">
        <f t="shared" si="90"/>
        <v>19.449473591357435</v>
      </c>
      <c r="AC64" s="21">
        <f t="shared" si="90"/>
        <v>17.187540537875982</v>
      </c>
      <c r="AD64" s="22">
        <f t="shared" si="90"/>
        <v>15.400866537637294</v>
      </c>
      <c r="AE64" s="7"/>
      <c r="AF64" s="7"/>
    </row>
    <row r="65" spans="1:32" ht="17.25">
      <c r="A65" s="865"/>
      <c r="B65" s="108" t="s">
        <v>70</v>
      </c>
      <c r="C65" s="237" t="s">
        <v>15</v>
      </c>
      <c r="D65" s="237" t="s">
        <v>15</v>
      </c>
      <c r="E65" s="262">
        <v>14.7</v>
      </c>
      <c r="F65" s="218">
        <v>14.53</v>
      </c>
      <c r="G65" s="263">
        <v>14.93</v>
      </c>
      <c r="H65" s="263">
        <v>15</v>
      </c>
      <c r="I65" s="264">
        <v>15.04</v>
      </c>
      <c r="K65" s="865"/>
      <c r="L65" s="113" t="s">
        <v>70</v>
      </c>
      <c r="M65" s="114" t="s">
        <v>20</v>
      </c>
      <c r="N65" s="115" t="s">
        <v>20</v>
      </c>
      <c r="O65" s="78">
        <f t="shared" si="84"/>
        <v>601.54020399649232</v>
      </c>
      <c r="P65" s="78">
        <f t="shared" si="85"/>
        <v>710.00788014727061</v>
      </c>
      <c r="Q65" s="32">
        <f t="shared" si="86"/>
        <v>789.69778957342589</v>
      </c>
      <c r="R65" s="78">
        <f t="shared" si="87"/>
        <v>884.26409987484374</v>
      </c>
      <c r="S65" s="79">
        <f t="shared" si="88"/>
        <v>979.90259294641362</v>
      </c>
      <c r="V65" s="865"/>
      <c r="W65" s="113" t="s">
        <v>70</v>
      </c>
      <c r="X65" s="115" t="s">
        <v>20</v>
      </c>
      <c r="Y65" s="115" t="s">
        <v>20</v>
      </c>
      <c r="Z65" s="115" t="s">
        <v>20</v>
      </c>
      <c r="AA65" s="32">
        <f t="shared" ref="AA65:AD65" si="91">(F65/P65)*100*12.2354989838484</f>
        <v>25.039412266585206</v>
      </c>
      <c r="AB65" s="32">
        <f t="shared" si="91"/>
        <v>23.132393459975795</v>
      </c>
      <c r="AC65" s="32">
        <f t="shared" si="91"/>
        <v>20.755392510416591</v>
      </c>
      <c r="AD65" s="33">
        <f t="shared" si="91"/>
        <v>18.779611977936998</v>
      </c>
      <c r="AE65" s="7"/>
      <c r="AF65" s="7"/>
    </row>
    <row r="66" spans="1:32" ht="17.25">
      <c r="A66" s="866">
        <v>11.3</v>
      </c>
      <c r="B66" s="80" t="s">
        <v>71</v>
      </c>
      <c r="C66" s="265">
        <v>11.92</v>
      </c>
      <c r="D66" s="266">
        <v>14.21</v>
      </c>
      <c r="E66" s="267">
        <v>15.82</v>
      </c>
      <c r="F66" s="268">
        <v>16.010000000000002</v>
      </c>
      <c r="G66" s="268">
        <v>16.010000000000002</v>
      </c>
      <c r="H66" s="269">
        <v>15.95</v>
      </c>
      <c r="I66" s="270">
        <v>15.79</v>
      </c>
      <c r="K66" s="863">
        <v>11.3</v>
      </c>
      <c r="L66" s="83" t="s">
        <v>71</v>
      </c>
      <c r="M66" s="122">
        <f t="shared" ref="M66:M69" si="92">($M$9*0.514444)/(C66*((PI()/180)))</f>
        <v>494.55486570181415</v>
      </c>
      <c r="N66" s="122">
        <f t="shared" ref="N66:N69" si="93">($N$9*0.514444)/(D66*((PI()/180)))</f>
        <v>518.56914137628632</v>
      </c>
      <c r="O66" s="123">
        <f t="shared" si="84"/>
        <v>558.95328689939549</v>
      </c>
      <c r="P66" s="123">
        <f t="shared" si="85"/>
        <v>644.37317292566149</v>
      </c>
      <c r="Q66" s="122">
        <f t="shared" si="86"/>
        <v>736.4264833436132</v>
      </c>
      <c r="R66" s="123">
        <f t="shared" si="87"/>
        <v>831.59633217069938</v>
      </c>
      <c r="S66" s="124">
        <f t="shared" si="88"/>
        <v>933.35877124218234</v>
      </c>
      <c r="V66" s="863">
        <v>11.3</v>
      </c>
      <c r="W66" s="83" t="s">
        <v>71</v>
      </c>
      <c r="X66" s="122">
        <f t="shared" ref="X66:AD66" si="94">(C66/M66)*100*12.2354989838484</f>
        <v>29.490590023920557</v>
      </c>
      <c r="Y66" s="122">
        <f t="shared" si="94"/>
        <v>33.528111622500901</v>
      </c>
      <c r="Z66" s="122">
        <f t="shared" si="94"/>
        <v>34.630012643493238</v>
      </c>
      <c r="AA66" s="122">
        <f t="shared" si="94"/>
        <v>30.400138764624192</v>
      </c>
      <c r="AB66" s="122">
        <f t="shared" si="94"/>
        <v>26.600121419046165</v>
      </c>
      <c r="AC66" s="122">
        <f t="shared" si="94"/>
        <v>23.467661080583365</v>
      </c>
      <c r="AD66" s="125">
        <f t="shared" si="94"/>
        <v>20.699278231225428</v>
      </c>
      <c r="AE66" s="7"/>
      <c r="AF66" s="7"/>
    </row>
    <row r="67" spans="1:32" ht="17.25">
      <c r="A67" s="864"/>
      <c r="B67" s="62" t="s">
        <v>72</v>
      </c>
      <c r="C67" s="271">
        <v>10.24</v>
      </c>
      <c r="D67" s="208">
        <v>13.4</v>
      </c>
      <c r="E67" s="200">
        <v>14.44</v>
      </c>
      <c r="F67" s="103">
        <v>15.95</v>
      </c>
      <c r="G67" s="272">
        <v>16.86</v>
      </c>
      <c r="H67" s="104">
        <v>17.309999999999999</v>
      </c>
      <c r="I67" s="273">
        <v>16.62</v>
      </c>
      <c r="K67" s="864"/>
      <c r="L67" s="69" t="s">
        <v>72</v>
      </c>
      <c r="M67" s="21">
        <f t="shared" si="92"/>
        <v>575.69277335601794</v>
      </c>
      <c r="N67" s="21">
        <f t="shared" si="93"/>
        <v>549.91548499679334</v>
      </c>
      <c r="O67" s="44">
        <f t="shared" si="84"/>
        <v>612.37126030113836</v>
      </c>
      <c r="P67" s="44">
        <f t="shared" si="85"/>
        <v>646.79714724387725</v>
      </c>
      <c r="Q67" s="21">
        <f t="shared" si="86"/>
        <v>699.29940678121284</v>
      </c>
      <c r="R67" s="44">
        <f t="shared" si="87"/>
        <v>766.26005188461329</v>
      </c>
      <c r="S67" s="45">
        <f t="shared" si="88"/>
        <v>886.74699145090619</v>
      </c>
      <c r="V67" s="864"/>
      <c r="W67" s="69" t="s">
        <v>72</v>
      </c>
      <c r="X67" s="21">
        <f t="shared" ref="X67:AD67" si="95">(C67/M67)*100*12.2354989838484</f>
        <v>21.763606457002592</v>
      </c>
      <c r="Y67" s="21">
        <f t="shared" si="95"/>
        <v>29.814706233363225</v>
      </c>
      <c r="Z67" s="21">
        <f t="shared" si="95"/>
        <v>28.851877411733337</v>
      </c>
      <c r="AA67" s="21">
        <f t="shared" si="95"/>
        <v>30.172707103607188</v>
      </c>
      <c r="AB67" s="21">
        <f t="shared" si="95"/>
        <v>29.499597864270079</v>
      </c>
      <c r="AC67" s="21">
        <f t="shared" si="95"/>
        <v>27.640288292401941</v>
      </c>
      <c r="AD67" s="22">
        <f t="shared" si="95"/>
        <v>22.93258337181727</v>
      </c>
      <c r="AE67" s="7"/>
      <c r="AF67" s="7"/>
    </row>
    <row r="68" spans="1:32" ht="17.25">
      <c r="A68" s="864"/>
      <c r="B68" s="62" t="s">
        <v>73</v>
      </c>
      <c r="C68" s="274">
        <v>9.6300000000000008</v>
      </c>
      <c r="D68" s="149">
        <v>13.21</v>
      </c>
      <c r="E68" s="253">
        <v>14.18</v>
      </c>
      <c r="F68" s="90">
        <v>15.79</v>
      </c>
      <c r="G68" s="92">
        <v>16.75</v>
      </c>
      <c r="H68" s="56">
        <v>17.14</v>
      </c>
      <c r="I68" s="275">
        <v>16.36</v>
      </c>
      <c r="K68" s="864"/>
      <c r="L68" s="69" t="s">
        <v>73</v>
      </c>
      <c r="M68" s="21">
        <f t="shared" si="92"/>
        <v>612.1592937866692</v>
      </c>
      <c r="N68" s="21">
        <f t="shared" si="93"/>
        <v>557.82494314587655</v>
      </c>
      <c r="O68" s="44">
        <f t="shared" si="84"/>
        <v>623.59950625870499</v>
      </c>
      <c r="P68" s="44">
        <f t="shared" si="85"/>
        <v>653.35113986952763</v>
      </c>
      <c r="Q68" s="21">
        <f t="shared" si="86"/>
        <v>703.89182079589546</v>
      </c>
      <c r="R68" s="44">
        <f t="shared" si="87"/>
        <v>773.86006406783281</v>
      </c>
      <c r="S68" s="45">
        <f t="shared" si="88"/>
        <v>900.83954754975912</v>
      </c>
      <c r="V68" s="864"/>
      <c r="W68" s="69" t="s">
        <v>73</v>
      </c>
      <c r="X68" s="21">
        <f t="shared" ref="X68:AD68" si="96">(C68/M68)*100*12.2354989838484</f>
        <v>19.247907596992526</v>
      </c>
      <c r="Y68" s="21">
        <f t="shared" si="96"/>
        <v>28.97520872141591</v>
      </c>
      <c r="Z68" s="21">
        <f t="shared" si="96"/>
        <v>27.822243900076593</v>
      </c>
      <c r="AA68" s="21">
        <f t="shared" si="96"/>
        <v>29.570397473179185</v>
      </c>
      <c r="AB68" s="21">
        <f t="shared" si="96"/>
        <v>29.11592405601878</v>
      </c>
      <c r="AC68" s="21">
        <f t="shared" si="96"/>
        <v>27.100048486903034</v>
      </c>
      <c r="AD68" s="22">
        <f t="shared" si="96"/>
        <v>22.22069001302399</v>
      </c>
      <c r="AE68" s="7"/>
      <c r="AF68" s="7"/>
    </row>
    <row r="69" spans="1:32" ht="17.25">
      <c r="A69" s="864"/>
      <c r="B69" s="62" t="s">
        <v>74</v>
      </c>
      <c r="C69" s="276">
        <v>10.84</v>
      </c>
      <c r="D69" s="173">
        <v>14.39</v>
      </c>
      <c r="E69" s="156">
        <v>16.3</v>
      </c>
      <c r="F69" s="277">
        <v>17.46</v>
      </c>
      <c r="G69" s="250">
        <v>18.09</v>
      </c>
      <c r="H69" s="278">
        <v>18.649999999999999</v>
      </c>
      <c r="I69" s="279">
        <v>17.45</v>
      </c>
      <c r="K69" s="864"/>
      <c r="L69" s="69" t="s">
        <v>74</v>
      </c>
      <c r="M69" s="21">
        <f t="shared" si="92"/>
        <v>543.82785970162593</v>
      </c>
      <c r="N69" s="21">
        <f t="shared" si="93"/>
        <v>512.08252251264969</v>
      </c>
      <c r="O69" s="44">
        <f t="shared" si="84"/>
        <v>542.49331280665251</v>
      </c>
      <c r="P69" s="44">
        <f t="shared" si="85"/>
        <v>590.85993691522572</v>
      </c>
      <c r="Q69" s="21">
        <f t="shared" si="86"/>
        <v>651.75168592212538</v>
      </c>
      <c r="R69" s="44">
        <f t="shared" si="87"/>
        <v>711.20436987252845</v>
      </c>
      <c r="S69" s="45">
        <f t="shared" si="88"/>
        <v>844.56934085467401</v>
      </c>
      <c r="V69" s="864"/>
      <c r="W69" s="69" t="s">
        <v>74</v>
      </c>
      <c r="X69" s="21">
        <f t="shared" ref="X69:AD69" si="97">(C69/M69)*100*12.2354989838484</f>
        <v>24.388748501720077</v>
      </c>
      <c r="Y69" s="21">
        <f t="shared" si="97"/>
        <v>34.382901707649893</v>
      </c>
      <c r="Z69" s="21">
        <f t="shared" si="97"/>
        <v>36.763334907283898</v>
      </c>
      <c r="AA69" s="21">
        <f t="shared" si="97"/>
        <v>36.156083516734377</v>
      </c>
      <c r="AB69" s="21">
        <f t="shared" si="97"/>
        <v>33.960813818940302</v>
      </c>
      <c r="AC69" s="21">
        <f t="shared" si="97"/>
        <v>32.08530005090833</v>
      </c>
      <c r="AD69" s="22">
        <f t="shared" si="97"/>
        <v>25.280275631612515</v>
      </c>
      <c r="AE69" s="7"/>
      <c r="AF69" s="7"/>
    </row>
    <row r="70" spans="1:32" ht="15">
      <c r="A70" s="864"/>
      <c r="B70" s="52" t="s">
        <v>75</v>
      </c>
      <c r="C70" s="280" t="s">
        <v>15</v>
      </c>
      <c r="D70" s="280" t="s">
        <v>15</v>
      </c>
      <c r="E70" s="280" t="s">
        <v>15</v>
      </c>
      <c r="F70" s="280" t="s">
        <v>15</v>
      </c>
      <c r="G70" s="280" t="s">
        <v>15</v>
      </c>
      <c r="H70" s="280" t="s">
        <v>15</v>
      </c>
      <c r="I70" s="281" t="s">
        <v>15</v>
      </c>
      <c r="K70" s="864"/>
      <c r="L70" s="61" t="s">
        <v>75</v>
      </c>
      <c r="M70" s="48" t="s">
        <v>20</v>
      </c>
      <c r="N70" s="2" t="s">
        <v>20</v>
      </c>
      <c r="O70" s="2" t="s">
        <v>20</v>
      </c>
      <c r="P70" s="2" t="s">
        <v>20</v>
      </c>
      <c r="Q70" s="2" t="s">
        <v>20</v>
      </c>
      <c r="R70" s="2" t="s">
        <v>20</v>
      </c>
      <c r="S70" s="50" t="s">
        <v>20</v>
      </c>
      <c r="V70" s="864"/>
      <c r="W70" s="61" t="s">
        <v>75</v>
      </c>
      <c r="X70" s="2" t="s">
        <v>20</v>
      </c>
      <c r="Y70" s="2" t="s">
        <v>20</v>
      </c>
      <c r="Z70" s="2" t="s">
        <v>20</v>
      </c>
      <c r="AA70" s="2" t="s">
        <v>20</v>
      </c>
      <c r="AB70" s="2" t="s">
        <v>20</v>
      </c>
      <c r="AC70" s="2" t="s">
        <v>20</v>
      </c>
      <c r="AD70" s="50" t="s">
        <v>20</v>
      </c>
      <c r="AE70" s="51"/>
      <c r="AF70" s="51"/>
    </row>
    <row r="71" spans="1:32" ht="15">
      <c r="A71" s="864"/>
      <c r="B71" s="52" t="s">
        <v>76</v>
      </c>
      <c r="C71" s="280" t="s">
        <v>15</v>
      </c>
      <c r="D71" s="280" t="s">
        <v>15</v>
      </c>
      <c r="E71" s="280" t="s">
        <v>15</v>
      </c>
      <c r="F71" s="280" t="s">
        <v>15</v>
      </c>
      <c r="G71" s="280" t="s">
        <v>15</v>
      </c>
      <c r="H71" s="280" t="s">
        <v>15</v>
      </c>
      <c r="I71" s="281" t="s">
        <v>15</v>
      </c>
      <c r="K71" s="864"/>
      <c r="L71" s="61" t="s">
        <v>76</v>
      </c>
      <c r="M71" s="48" t="s">
        <v>20</v>
      </c>
      <c r="N71" s="2" t="s">
        <v>20</v>
      </c>
      <c r="O71" s="2" t="s">
        <v>20</v>
      </c>
      <c r="P71" s="2" t="s">
        <v>20</v>
      </c>
      <c r="Q71" s="2" t="s">
        <v>20</v>
      </c>
      <c r="R71" s="2" t="s">
        <v>20</v>
      </c>
      <c r="S71" s="50" t="s">
        <v>20</v>
      </c>
      <c r="V71" s="864"/>
      <c r="W71" s="61" t="s">
        <v>76</v>
      </c>
      <c r="X71" s="2" t="s">
        <v>20</v>
      </c>
      <c r="Y71" s="2" t="s">
        <v>20</v>
      </c>
      <c r="Z71" s="2" t="s">
        <v>20</v>
      </c>
      <c r="AA71" s="2" t="s">
        <v>20</v>
      </c>
      <c r="AB71" s="2" t="s">
        <v>20</v>
      </c>
      <c r="AC71" s="2" t="s">
        <v>20</v>
      </c>
      <c r="AD71" s="50" t="s">
        <v>20</v>
      </c>
      <c r="AE71" s="51"/>
      <c r="AF71" s="51"/>
    </row>
    <row r="72" spans="1:32" ht="17.25">
      <c r="A72" s="864"/>
      <c r="B72" s="52" t="s">
        <v>77</v>
      </c>
      <c r="C72" s="280" t="s">
        <v>15</v>
      </c>
      <c r="D72" s="4" t="s">
        <v>15</v>
      </c>
      <c r="E72" s="255">
        <v>10.58</v>
      </c>
      <c r="F72" s="282">
        <v>11.34</v>
      </c>
      <c r="G72" s="96">
        <v>11.61</v>
      </c>
      <c r="H72" s="283">
        <v>11.57</v>
      </c>
      <c r="I72" s="284">
        <v>10.86</v>
      </c>
      <c r="K72" s="864"/>
      <c r="L72" s="61" t="s">
        <v>77</v>
      </c>
      <c r="M72" s="48" t="s">
        <v>20</v>
      </c>
      <c r="N72" s="2" t="s">
        <v>20</v>
      </c>
      <c r="O72" s="44">
        <f t="shared" ref="O72:O87" si="98">($O$9*0.514444)/(E72*((PI()/180)))</f>
        <v>835.78837417282011</v>
      </c>
      <c r="P72" s="44">
        <f t="shared" ref="P72:P87" si="99">($P$9*0.514444)/(F72*((PI()/180)))</f>
        <v>909.73672826630002</v>
      </c>
      <c r="Q72" s="21">
        <f t="shared" ref="Q72:Q86" si="100">($Q$9*0.514444)/(G72*((PI()/180)))</f>
        <v>1015.5200687623816</v>
      </c>
      <c r="R72" s="44">
        <f t="shared" ref="R72:R86" si="101">($R$9*0.514444)/(H72*((PI()/180)))</f>
        <v>1146.4098096908085</v>
      </c>
      <c r="S72" s="45">
        <f t="shared" ref="S72:S86" si="102">($S$9*0.514444)/(I72*((PI()/180)))</f>
        <v>1357.0658377453094</v>
      </c>
      <c r="V72" s="864"/>
      <c r="W72" s="61" t="s">
        <v>77</v>
      </c>
      <c r="X72" s="2" t="s">
        <v>20</v>
      </c>
      <c r="Y72" s="2" t="s">
        <v>20</v>
      </c>
      <c r="Z72" s="2" t="s">
        <v>20</v>
      </c>
      <c r="AA72" s="21">
        <f t="shared" ref="AA72:AD72" si="103">(F72/P72)*100*12.2354989838484</f>
        <v>15.251726589214448</v>
      </c>
      <c r="AB72" s="21">
        <f t="shared" si="103"/>
        <v>13.988314714016621</v>
      </c>
      <c r="AC72" s="21">
        <f t="shared" si="103"/>
        <v>12.348526857189629</v>
      </c>
      <c r="AD72" s="22">
        <f t="shared" si="103"/>
        <v>9.7915307620861132</v>
      </c>
      <c r="AE72" s="7"/>
      <c r="AF72" s="7"/>
    </row>
    <row r="73" spans="1:32" ht="17.25">
      <c r="A73" s="864"/>
      <c r="B73" s="52" t="s">
        <v>78</v>
      </c>
      <c r="C73" s="4" t="s">
        <v>20</v>
      </c>
      <c r="D73" s="4" t="s">
        <v>15</v>
      </c>
      <c r="E73" s="249">
        <v>12.84</v>
      </c>
      <c r="F73" s="285">
        <v>13.89</v>
      </c>
      <c r="G73" s="173">
        <v>14.38</v>
      </c>
      <c r="H73" s="63">
        <v>14.51</v>
      </c>
      <c r="I73" s="286">
        <v>14.6</v>
      </c>
      <c r="K73" s="864"/>
      <c r="L73" s="61" t="s">
        <v>79</v>
      </c>
      <c r="M73" s="48" t="s">
        <v>20</v>
      </c>
      <c r="N73" s="2" t="s">
        <v>20</v>
      </c>
      <c r="O73" s="44">
        <f t="shared" si="98"/>
        <v>688.67920551000293</v>
      </c>
      <c r="P73" s="44">
        <f t="shared" si="99"/>
        <v>742.72242610078058</v>
      </c>
      <c r="Q73" s="21">
        <f t="shared" si="100"/>
        <v>819.90180795071262</v>
      </c>
      <c r="R73" s="44">
        <f t="shared" si="101"/>
        <v>914.12553398502098</v>
      </c>
      <c r="S73" s="45">
        <f t="shared" si="102"/>
        <v>1009.4339039667163</v>
      </c>
      <c r="V73" s="864"/>
      <c r="W73" s="61" t="s">
        <v>80</v>
      </c>
      <c r="X73" s="2" t="s">
        <v>20</v>
      </c>
      <c r="Y73" s="2" t="s">
        <v>20</v>
      </c>
      <c r="Z73" s="2" t="s">
        <v>20</v>
      </c>
      <c r="AA73" s="21">
        <f t="shared" ref="AA73:AD73" si="104">(F73/P73)*100*12.2354989838484</f>
        <v>22.882179790622541</v>
      </c>
      <c r="AB73" s="21">
        <f t="shared" si="104"/>
        <v>21.45945693515495</v>
      </c>
      <c r="AC73" s="21">
        <f t="shared" si="104"/>
        <v>19.421521843032711</v>
      </c>
      <c r="AD73" s="22">
        <f t="shared" si="104"/>
        <v>17.696877870081604</v>
      </c>
      <c r="AE73" s="7"/>
      <c r="AF73" s="7"/>
    </row>
    <row r="74" spans="1:32" ht="17.25">
      <c r="A74" s="864"/>
      <c r="B74" s="62" t="s">
        <v>81</v>
      </c>
      <c r="C74" s="4" t="s">
        <v>20</v>
      </c>
      <c r="D74" s="4" t="s">
        <v>15</v>
      </c>
      <c r="E74" s="249">
        <v>12.84</v>
      </c>
      <c r="F74" s="285">
        <v>13.89</v>
      </c>
      <c r="G74" s="173">
        <v>14.38</v>
      </c>
      <c r="H74" s="63">
        <v>14.51</v>
      </c>
      <c r="I74" s="286">
        <v>14.6</v>
      </c>
      <c r="K74" s="864"/>
      <c r="L74" s="69" t="s">
        <v>82</v>
      </c>
      <c r="M74" s="48" t="s">
        <v>20</v>
      </c>
      <c r="N74" s="2" t="s">
        <v>20</v>
      </c>
      <c r="O74" s="44">
        <f t="shared" si="98"/>
        <v>688.67920551000293</v>
      </c>
      <c r="P74" s="44">
        <f t="shared" si="99"/>
        <v>742.72242610078058</v>
      </c>
      <c r="Q74" s="21">
        <f t="shared" si="100"/>
        <v>819.90180795071262</v>
      </c>
      <c r="R74" s="44">
        <f t="shared" si="101"/>
        <v>914.12553398502098</v>
      </c>
      <c r="S74" s="45">
        <f t="shared" si="102"/>
        <v>1009.4339039667163</v>
      </c>
      <c r="V74" s="864"/>
      <c r="W74" s="69" t="s">
        <v>83</v>
      </c>
      <c r="X74" s="2" t="s">
        <v>20</v>
      </c>
      <c r="Y74" s="2" t="s">
        <v>20</v>
      </c>
      <c r="Z74" s="2" t="s">
        <v>20</v>
      </c>
      <c r="AA74" s="21">
        <f t="shared" ref="AA74:AD74" si="105">(F74/P74)*100*12.2354989838484</f>
        <v>22.882179790622541</v>
      </c>
      <c r="AB74" s="21">
        <f t="shared" si="105"/>
        <v>21.45945693515495</v>
      </c>
      <c r="AC74" s="21">
        <f t="shared" si="105"/>
        <v>19.421521843032711</v>
      </c>
      <c r="AD74" s="22">
        <f t="shared" si="105"/>
        <v>17.696877870081604</v>
      </c>
      <c r="AE74" s="7"/>
      <c r="AF74" s="7"/>
    </row>
    <row r="75" spans="1:32" ht="17.25">
      <c r="A75" s="864"/>
      <c r="B75" s="62" t="s">
        <v>84</v>
      </c>
      <c r="C75" s="252">
        <v>11.92</v>
      </c>
      <c r="D75" s="287">
        <v>12.39</v>
      </c>
      <c r="E75" s="249">
        <v>12.92</v>
      </c>
      <c r="F75" s="288">
        <v>13</v>
      </c>
      <c r="G75" s="289">
        <v>13.08</v>
      </c>
      <c r="H75" s="258">
        <v>12.79</v>
      </c>
      <c r="I75" s="290">
        <v>12.38</v>
      </c>
      <c r="K75" s="864"/>
      <c r="L75" s="69" t="s">
        <v>84</v>
      </c>
      <c r="M75" s="21">
        <f t="shared" ref="M75:M87" si="106">($M$9*0.514444)/(C75*((PI()/180)))</f>
        <v>494.55486570181415</v>
      </c>
      <c r="N75" s="21">
        <f t="shared" ref="N75:N87" si="107">($N$9*0.514444)/(D75*((PI()/180)))</f>
        <v>594.74313954455442</v>
      </c>
      <c r="O75" s="44">
        <f t="shared" si="98"/>
        <v>684.41493798362524</v>
      </c>
      <c r="P75" s="44">
        <f t="shared" si="99"/>
        <v>793.57034604152625</v>
      </c>
      <c r="Q75" s="21">
        <f t="shared" si="100"/>
        <v>901.39051975009545</v>
      </c>
      <c r="R75" s="44">
        <f t="shared" si="101"/>
        <v>1037.0571929728424</v>
      </c>
      <c r="S75" s="45">
        <f t="shared" si="102"/>
        <v>1190.4470919155135</v>
      </c>
      <c r="V75" s="864"/>
      <c r="W75" s="69" t="s">
        <v>84</v>
      </c>
      <c r="X75" s="21">
        <f t="shared" ref="X75:AD75" si="108">(C75/M75)*100*12.2354989838484</f>
        <v>29.490590023920557</v>
      </c>
      <c r="Y75" s="21">
        <f t="shared" si="108"/>
        <v>25.489631124786591</v>
      </c>
      <c r="Z75" s="21">
        <f t="shared" si="108"/>
        <v>23.097486349005354</v>
      </c>
      <c r="AA75" s="21">
        <f t="shared" si="108"/>
        <v>20.043779052916598</v>
      </c>
      <c r="AB75" s="21">
        <f t="shared" si="108"/>
        <v>17.754826925970686</v>
      </c>
      <c r="AC75" s="21">
        <f t="shared" si="108"/>
        <v>15.090009795392174</v>
      </c>
      <c r="AD75" s="22">
        <f t="shared" si="108"/>
        <v>12.724251119493974</v>
      </c>
      <c r="AE75" s="7"/>
      <c r="AF75" s="7"/>
    </row>
    <row r="76" spans="1:32" ht="17.25">
      <c r="A76" s="864"/>
      <c r="B76" s="291" t="s">
        <v>85</v>
      </c>
      <c r="C76" s="292">
        <v>9.94</v>
      </c>
      <c r="D76" s="293">
        <v>11.66</v>
      </c>
      <c r="E76" s="235">
        <v>12.77</v>
      </c>
      <c r="F76" s="208">
        <v>13.35</v>
      </c>
      <c r="G76" s="259">
        <v>13.75</v>
      </c>
      <c r="H76" s="294">
        <v>14.17</v>
      </c>
      <c r="I76" s="295">
        <v>14.47</v>
      </c>
      <c r="K76" s="864"/>
      <c r="L76" s="61" t="s">
        <v>85</v>
      </c>
      <c r="M76" s="21">
        <f t="shared" si="106"/>
        <v>593.06780675710513</v>
      </c>
      <c r="N76" s="21">
        <f t="shared" si="107"/>
        <v>631.97834467899054</v>
      </c>
      <c r="O76" s="44">
        <f t="shared" si="98"/>
        <v>692.45426771718382</v>
      </c>
      <c r="P76" s="44">
        <f t="shared" si="99"/>
        <v>772.76513097676718</v>
      </c>
      <c r="Q76" s="21">
        <f t="shared" si="100"/>
        <v>857.46821806045443</v>
      </c>
      <c r="R76" s="44">
        <f t="shared" si="101"/>
        <v>936.05938589432992</v>
      </c>
      <c r="S76" s="45">
        <f t="shared" si="102"/>
        <v>1018.5027641958576</v>
      </c>
      <c r="V76" s="864"/>
      <c r="W76" s="61" t="s">
        <v>85</v>
      </c>
      <c r="X76" s="21">
        <f t="shared" ref="X76:AD76" si="109">(C76/M76)*100*12.2354989838484</f>
        <v>20.507074994421966</v>
      </c>
      <c r="Y76" s="21">
        <f t="shared" si="109"/>
        <v>22.574494735913554</v>
      </c>
      <c r="Z76" s="21">
        <f t="shared" si="109"/>
        <v>22.564280315412759</v>
      </c>
      <c r="AA76" s="21">
        <f t="shared" si="109"/>
        <v>21.137588238215553</v>
      </c>
      <c r="AB76" s="21">
        <f t="shared" si="109"/>
        <v>19.620331982503185</v>
      </c>
      <c r="AC76" s="21">
        <f t="shared" si="109"/>
        <v>18.522010805487938</v>
      </c>
      <c r="AD76" s="22">
        <f t="shared" si="109"/>
        <v>17.383131054737145</v>
      </c>
      <c r="AE76" s="7"/>
      <c r="AF76" s="7"/>
    </row>
    <row r="77" spans="1:32" ht="17.25">
      <c r="A77" s="864"/>
      <c r="B77" s="52" t="s">
        <v>86</v>
      </c>
      <c r="C77" s="144">
        <v>11.44</v>
      </c>
      <c r="D77" s="256">
        <v>12.21</v>
      </c>
      <c r="E77" s="258">
        <v>12.8</v>
      </c>
      <c r="F77" s="215">
        <v>13.29</v>
      </c>
      <c r="G77" s="259">
        <v>13.69</v>
      </c>
      <c r="H77" s="260">
        <v>13.65</v>
      </c>
      <c r="I77" s="261">
        <v>13.62</v>
      </c>
      <c r="K77" s="864"/>
      <c r="L77" s="61" t="s">
        <v>86</v>
      </c>
      <c r="M77" s="21">
        <f t="shared" si="106"/>
        <v>515.30541950748466</v>
      </c>
      <c r="N77" s="21">
        <f t="shared" si="107"/>
        <v>603.51085167543238</v>
      </c>
      <c r="O77" s="44">
        <f t="shared" si="98"/>
        <v>690.83132802722162</v>
      </c>
      <c r="P77" s="44">
        <f t="shared" si="99"/>
        <v>776.25391260645927</v>
      </c>
      <c r="Q77" s="21">
        <f t="shared" si="100"/>
        <v>861.22629644494157</v>
      </c>
      <c r="R77" s="44">
        <f t="shared" si="101"/>
        <v>971.71879107125676</v>
      </c>
      <c r="S77" s="45">
        <f t="shared" si="102"/>
        <v>1082.0657120348062</v>
      </c>
      <c r="V77" s="864"/>
      <c r="W77" s="61" t="s">
        <v>86</v>
      </c>
      <c r="X77" s="21">
        <f t="shared" ref="X77:AD77" si="110">(C77/M77)*100*12.2354989838484</f>
        <v>27.163329372512568</v>
      </c>
      <c r="Y77" s="21">
        <f t="shared" si="110"/>
        <v>24.754392100497597</v>
      </c>
      <c r="Z77" s="21">
        <f t="shared" si="110"/>
        <v>22.670423392711029</v>
      </c>
      <c r="AA77" s="21">
        <f t="shared" si="110"/>
        <v>20.948014413137546</v>
      </c>
      <c r="AB77" s="21">
        <f t="shared" si="110"/>
        <v>19.449473591357435</v>
      </c>
      <c r="AC77" s="21">
        <f t="shared" si="110"/>
        <v>17.187540537875982</v>
      </c>
      <c r="AD77" s="22">
        <f t="shared" si="110"/>
        <v>15.400866537637294</v>
      </c>
      <c r="AE77" s="7"/>
      <c r="AF77" s="7"/>
    </row>
    <row r="78" spans="1:32" ht="17.25">
      <c r="A78" s="865"/>
      <c r="B78" s="108" t="s">
        <v>87</v>
      </c>
      <c r="C78" s="296">
        <v>12.33</v>
      </c>
      <c r="D78" s="297">
        <v>12.67</v>
      </c>
      <c r="E78" s="298">
        <v>12.84</v>
      </c>
      <c r="F78" s="241">
        <v>13.26</v>
      </c>
      <c r="G78" s="241">
        <v>13.28</v>
      </c>
      <c r="H78" s="242">
        <v>13.53</v>
      </c>
      <c r="I78" s="299">
        <v>13.95</v>
      </c>
      <c r="K78" s="865"/>
      <c r="L78" s="113" t="s">
        <v>87</v>
      </c>
      <c r="M78" s="32">
        <f t="shared" si="106"/>
        <v>478.10981339542781</v>
      </c>
      <c r="N78" s="32">
        <f t="shared" si="107"/>
        <v>581.59964474798971</v>
      </c>
      <c r="O78" s="78">
        <f t="shared" si="98"/>
        <v>688.67920551000293</v>
      </c>
      <c r="P78" s="78">
        <f t="shared" si="99"/>
        <v>778.01014317796694</v>
      </c>
      <c r="Q78" s="32">
        <f t="shared" si="100"/>
        <v>887.81536132012423</v>
      </c>
      <c r="R78" s="78">
        <f t="shared" si="101"/>
        <v>980.33713955082442</v>
      </c>
      <c r="S78" s="79">
        <f t="shared" si="102"/>
        <v>1056.4684586318324</v>
      </c>
      <c r="V78" s="865"/>
      <c r="W78" s="113" t="s">
        <v>87</v>
      </c>
      <c r="X78" s="32">
        <f t="shared" ref="X78:AD78" si="111">(C78/M78)*100*12.2354989838484</f>
        <v>31.554194924268725</v>
      </c>
      <c r="Y78" s="32">
        <f t="shared" si="111"/>
        <v>26.654722630123317</v>
      </c>
      <c r="Z78" s="32">
        <f t="shared" si="111"/>
        <v>22.812334929768916</v>
      </c>
      <c r="AA78" s="32">
        <f t="shared" si="111"/>
        <v>20.853547726654426</v>
      </c>
      <c r="AB78" s="32">
        <f t="shared" si="111"/>
        <v>18.301939072545267</v>
      </c>
      <c r="AC78" s="32">
        <f t="shared" si="111"/>
        <v>16.886670368044982</v>
      </c>
      <c r="AD78" s="33">
        <f t="shared" si="111"/>
        <v>16.156205084033378</v>
      </c>
      <c r="AE78" s="7"/>
      <c r="AF78" s="7"/>
    </row>
    <row r="79" spans="1:32" ht="17.25">
      <c r="A79" s="863">
        <v>11</v>
      </c>
      <c r="B79" s="80" t="s">
        <v>88</v>
      </c>
      <c r="C79" s="300">
        <v>11.14</v>
      </c>
      <c r="D79" s="301">
        <v>14.16</v>
      </c>
      <c r="E79" s="267">
        <v>15.82</v>
      </c>
      <c r="F79" s="302">
        <v>17.71</v>
      </c>
      <c r="G79" s="303">
        <v>18.09</v>
      </c>
      <c r="H79" s="304">
        <v>17.559999999999999</v>
      </c>
      <c r="I79" s="305">
        <v>16.690000000000001</v>
      </c>
      <c r="K79" s="863">
        <v>11</v>
      </c>
      <c r="L79" s="83" t="s">
        <v>89</v>
      </c>
      <c r="M79" s="122">
        <f t="shared" si="106"/>
        <v>529.18258520337747</v>
      </c>
      <c r="N79" s="122">
        <f t="shared" si="107"/>
        <v>520.40024710148521</v>
      </c>
      <c r="O79" s="123">
        <f t="shared" si="98"/>
        <v>558.95328689939549</v>
      </c>
      <c r="P79" s="123">
        <f t="shared" si="99"/>
        <v>582.51916987802599</v>
      </c>
      <c r="Q79" s="122">
        <f t="shared" si="100"/>
        <v>651.75168592212538</v>
      </c>
      <c r="R79" s="123">
        <f t="shared" si="101"/>
        <v>755.35088258101689</v>
      </c>
      <c r="S79" s="124">
        <f t="shared" si="102"/>
        <v>883.02786086962601</v>
      </c>
      <c r="V79" s="863">
        <v>11</v>
      </c>
      <c r="W79" s="83" t="s">
        <v>90</v>
      </c>
      <c r="X79" s="122">
        <f t="shared" ref="X79:AD79" si="112">(C79/M79)*100*12.2354989838484</f>
        <v>25.757359083856947</v>
      </c>
      <c r="Y79" s="122">
        <f t="shared" si="112"/>
        <v>33.292579428292683</v>
      </c>
      <c r="Z79" s="122">
        <f t="shared" si="112"/>
        <v>34.630012643493238</v>
      </c>
      <c r="AA79" s="122">
        <f t="shared" si="112"/>
        <v>37.198893737579169</v>
      </c>
      <c r="AB79" s="122">
        <f t="shared" si="112"/>
        <v>33.960813818940302</v>
      </c>
      <c r="AC79" s="122">
        <f t="shared" si="112"/>
        <v>28.444444444444411</v>
      </c>
      <c r="AD79" s="125">
        <f t="shared" si="112"/>
        <v>23.126164766683427</v>
      </c>
      <c r="AE79" s="7"/>
      <c r="AF79" s="7"/>
    </row>
    <row r="80" spans="1:32" ht="17.25">
      <c r="A80" s="864"/>
      <c r="B80" s="52" t="s">
        <v>91</v>
      </c>
      <c r="C80" s="306">
        <v>10.78</v>
      </c>
      <c r="D80" s="201">
        <v>13.76</v>
      </c>
      <c r="E80" s="307">
        <v>15.07</v>
      </c>
      <c r="F80" s="56">
        <v>17.14</v>
      </c>
      <c r="G80" s="277">
        <v>17.43</v>
      </c>
      <c r="H80" s="308">
        <v>16.829999999999998</v>
      </c>
      <c r="I80" s="309">
        <v>16.07</v>
      </c>
      <c r="K80" s="864"/>
      <c r="L80" s="61" t="s">
        <v>91</v>
      </c>
      <c r="M80" s="21">
        <f t="shared" si="106"/>
        <v>546.8547309059021</v>
      </c>
      <c r="N80" s="21">
        <f t="shared" si="107"/>
        <v>535.52816126141204</v>
      </c>
      <c r="O80" s="44">
        <f t="shared" si="98"/>
        <v>586.7711346216613</v>
      </c>
      <c r="P80" s="44">
        <f t="shared" si="99"/>
        <v>601.89116094164774</v>
      </c>
      <c r="Q80" s="21">
        <f t="shared" si="100"/>
        <v>676.43075148199932</v>
      </c>
      <c r="R80" s="44">
        <f t="shared" si="101"/>
        <v>788.11417101144707</v>
      </c>
      <c r="S80" s="45">
        <f t="shared" si="102"/>
        <v>917.0961417494749</v>
      </c>
      <c r="V80" s="864"/>
      <c r="W80" s="61" t="s">
        <v>91</v>
      </c>
      <c r="X80" s="21">
        <f t="shared" ref="X80:AD80" si="113">(C80/M80)*100*12.2354989838484</f>
        <v>24.119509550074955</v>
      </c>
      <c r="Y80" s="21">
        <f t="shared" si="113"/>
        <v>31.438209639842022</v>
      </c>
      <c r="Z80" s="21">
        <f t="shared" si="113"/>
        <v>31.424342270259398</v>
      </c>
      <c r="AA80" s="21">
        <f t="shared" si="113"/>
        <v>34.842919483161047</v>
      </c>
      <c r="AB80" s="21">
        <f t="shared" si="113"/>
        <v>31.527949730439307</v>
      </c>
      <c r="AC80" s="21">
        <f t="shared" si="113"/>
        <v>26.128631545083277</v>
      </c>
      <c r="AD80" s="22">
        <f t="shared" si="113"/>
        <v>21.439897053253127</v>
      </c>
      <c r="AE80" s="7"/>
      <c r="AF80" s="7"/>
    </row>
    <row r="81" spans="1:32" ht="17.25">
      <c r="A81" s="864"/>
      <c r="B81" s="62" t="s">
        <v>92</v>
      </c>
      <c r="C81" s="206">
        <v>12.03</v>
      </c>
      <c r="D81" s="207">
        <v>12.53</v>
      </c>
      <c r="E81" s="208">
        <v>13.4</v>
      </c>
      <c r="F81" s="209">
        <v>13.48</v>
      </c>
      <c r="G81" s="210">
        <v>13.55</v>
      </c>
      <c r="H81" s="208">
        <v>13.41</v>
      </c>
      <c r="I81" s="211">
        <v>13.18</v>
      </c>
      <c r="K81" s="864"/>
      <c r="L81" s="69" t="s">
        <v>92</v>
      </c>
      <c r="M81" s="21">
        <f t="shared" si="106"/>
        <v>490.03275138533877</v>
      </c>
      <c r="N81" s="21">
        <f t="shared" si="107"/>
        <v>588.09796480103989</v>
      </c>
      <c r="O81" s="44">
        <f t="shared" si="98"/>
        <v>659.89858199615207</v>
      </c>
      <c r="P81" s="44">
        <f t="shared" si="99"/>
        <v>765.31264825963217</v>
      </c>
      <c r="Q81" s="21">
        <f t="shared" si="100"/>
        <v>870.12457552260128</v>
      </c>
      <c r="R81" s="44">
        <f t="shared" si="101"/>
        <v>989.10973140362819</v>
      </c>
      <c r="S81" s="45">
        <f t="shared" si="102"/>
        <v>1118.1893018144203</v>
      </c>
      <c r="V81" s="864"/>
      <c r="W81" s="69" t="s">
        <v>92</v>
      </c>
      <c r="X81" s="21">
        <f t="shared" ref="X81:AD81" si="114">(C81/M81)*100*12.2354989838484</f>
        <v>30.037390839607475</v>
      </c>
      <c r="Y81" s="21">
        <f t="shared" si="114"/>
        <v>26.068922431909318</v>
      </c>
      <c r="Z81" s="21">
        <f t="shared" si="114"/>
        <v>24.845588527802686</v>
      </c>
      <c r="AA81" s="21">
        <f t="shared" si="114"/>
        <v>21.551261001284594</v>
      </c>
      <c r="AB81" s="21">
        <f t="shared" si="114"/>
        <v>19.053709766968819</v>
      </c>
      <c r="AC81" s="21">
        <f t="shared" si="114"/>
        <v>16.588456888455319</v>
      </c>
      <c r="AD81" s="22">
        <f t="shared" si="114"/>
        <v>14.421876183705965</v>
      </c>
      <c r="AE81" s="7"/>
      <c r="AF81" s="7"/>
    </row>
    <row r="82" spans="1:32" ht="17.25">
      <c r="A82" s="864"/>
      <c r="B82" s="62" t="s">
        <v>93</v>
      </c>
      <c r="C82" s="310">
        <v>13.78</v>
      </c>
      <c r="D82" s="53">
        <v>15.38</v>
      </c>
      <c r="E82" s="156">
        <v>16.260000000000002</v>
      </c>
      <c r="F82" s="55">
        <v>16.510000000000002</v>
      </c>
      <c r="G82" s="55">
        <v>16.579999999999998</v>
      </c>
      <c r="H82" s="91">
        <v>16.41</v>
      </c>
      <c r="I82" s="311">
        <v>15.9</v>
      </c>
      <c r="K82" s="864"/>
      <c r="L82" s="69" t="s">
        <v>93</v>
      </c>
      <c r="M82" s="21">
        <f t="shared" si="106"/>
        <v>427.80072562885522</v>
      </c>
      <c r="N82" s="21">
        <f t="shared" si="107"/>
        <v>479.12012346924769</v>
      </c>
      <c r="O82" s="44">
        <f t="shared" si="98"/>
        <v>543.82785970162581</v>
      </c>
      <c r="P82" s="44">
        <f t="shared" si="99"/>
        <v>624.85854019017825</v>
      </c>
      <c r="Q82" s="21">
        <f t="shared" si="100"/>
        <v>711.10904694398369</v>
      </c>
      <c r="R82" s="44">
        <f t="shared" si="101"/>
        <v>808.28528324939998</v>
      </c>
      <c r="S82" s="45">
        <f t="shared" si="102"/>
        <v>926.90157219585285</v>
      </c>
      <c r="V82" s="864"/>
      <c r="W82" s="69" t="s">
        <v>93</v>
      </c>
      <c r="X82" s="21">
        <f t="shared" ref="X82:AD82" si="115">(C82/M82)*100*12.2354989838484</f>
        <v>39.412082751749892</v>
      </c>
      <c r="Y82" s="21">
        <f t="shared" si="115"/>
        <v>39.276574945127898</v>
      </c>
      <c r="Z82" s="21">
        <f t="shared" si="115"/>
        <v>36.583122752580124</v>
      </c>
      <c r="AA82" s="21">
        <f t="shared" si="115"/>
        <v>32.328611234449177</v>
      </c>
      <c r="AB82" s="21">
        <f t="shared" si="115"/>
        <v>28.527913408502418</v>
      </c>
      <c r="AC82" s="21">
        <f t="shared" si="115"/>
        <v>24.840800950596957</v>
      </c>
      <c r="AD82" s="22">
        <f t="shared" si="115"/>
        <v>20.988683122233674</v>
      </c>
      <c r="AE82" s="7"/>
      <c r="AF82" s="7"/>
    </row>
    <row r="83" spans="1:32" ht="17.25">
      <c r="A83" s="864"/>
      <c r="B83" s="62" t="s">
        <v>94</v>
      </c>
      <c r="C83" s="312">
        <v>12.74</v>
      </c>
      <c r="D83" s="258">
        <v>12.8</v>
      </c>
      <c r="E83" s="249">
        <v>12.88</v>
      </c>
      <c r="F83" s="312">
        <v>12.69</v>
      </c>
      <c r="G83" s="312">
        <v>12.67</v>
      </c>
      <c r="H83" s="102">
        <v>12.35</v>
      </c>
      <c r="I83" s="313">
        <v>12.03</v>
      </c>
      <c r="K83" s="864"/>
      <c r="L83" s="69" t="s">
        <v>94</v>
      </c>
      <c r="M83" s="21">
        <f t="shared" si="106"/>
        <v>462.7232338434556</v>
      </c>
      <c r="N83" s="21">
        <f t="shared" si="107"/>
        <v>575.69277335601794</v>
      </c>
      <c r="O83" s="44">
        <f t="shared" si="98"/>
        <v>686.540450213388</v>
      </c>
      <c r="P83" s="44">
        <f t="shared" si="99"/>
        <v>812.95622525924682</v>
      </c>
      <c r="Q83" s="21">
        <f t="shared" si="100"/>
        <v>930.55943159678361</v>
      </c>
      <c r="R83" s="44">
        <f t="shared" si="101"/>
        <v>1074.0049796050732</v>
      </c>
      <c r="S83" s="45">
        <f t="shared" si="102"/>
        <v>1225.0818784633468</v>
      </c>
      <c r="V83" s="864"/>
      <c r="W83" s="69" t="s">
        <v>94</v>
      </c>
      <c r="X83" s="21">
        <f t="shared" ref="X83:AD83" si="116">(C83/M83)*100*12.2354989838484</f>
        <v>33.687579454236925</v>
      </c>
      <c r="Y83" s="21">
        <f t="shared" si="116"/>
        <v>27.204508071253244</v>
      </c>
      <c r="Z83" s="21">
        <f t="shared" si="116"/>
        <v>22.954689248533697</v>
      </c>
      <c r="AA83" s="21">
        <f t="shared" si="116"/>
        <v>19.099242650552558</v>
      </c>
      <c r="AB83" s="21">
        <f t="shared" si="116"/>
        <v>16.659201643827071</v>
      </c>
      <c r="AC83" s="21">
        <f t="shared" si="116"/>
        <v>14.069619351866733</v>
      </c>
      <c r="AD83" s="22">
        <f t="shared" si="116"/>
        <v>12.014956335842992</v>
      </c>
      <c r="AE83" s="7"/>
      <c r="AF83" s="7"/>
    </row>
    <row r="84" spans="1:32" ht="17.25">
      <c r="A84" s="864"/>
      <c r="B84" s="52" t="s">
        <v>95</v>
      </c>
      <c r="C84" s="314">
        <v>12.8</v>
      </c>
      <c r="D84" s="208">
        <v>13.35</v>
      </c>
      <c r="E84" s="285">
        <v>13.89</v>
      </c>
      <c r="F84" s="173">
        <v>14.4</v>
      </c>
      <c r="G84" s="146">
        <v>14.71</v>
      </c>
      <c r="H84" s="146">
        <v>14.73</v>
      </c>
      <c r="I84" s="315">
        <v>14.71</v>
      </c>
      <c r="K84" s="864"/>
      <c r="L84" s="61" t="s">
        <v>95</v>
      </c>
      <c r="M84" s="21">
        <f t="shared" si="106"/>
        <v>460.55421868481443</v>
      </c>
      <c r="N84" s="21">
        <f t="shared" si="107"/>
        <v>551.97509355483373</v>
      </c>
      <c r="O84" s="44">
        <f t="shared" si="98"/>
        <v>636.61922237209762</v>
      </c>
      <c r="P84" s="44">
        <f t="shared" si="99"/>
        <v>716.41767350971122</v>
      </c>
      <c r="Q84" s="21">
        <f t="shared" si="100"/>
        <v>801.50836154529225</v>
      </c>
      <c r="R84" s="44">
        <f t="shared" si="101"/>
        <v>900.47260679719318</v>
      </c>
      <c r="S84" s="45">
        <f t="shared" si="102"/>
        <v>1001.8854519316152</v>
      </c>
      <c r="V84" s="864"/>
      <c r="W84" s="61" t="s">
        <v>95</v>
      </c>
      <c r="X84" s="21">
        <f t="shared" ref="X84:AD84" si="117">(C84/M84)*100*12.2354989838484</f>
        <v>34.005635089066544</v>
      </c>
      <c r="Y84" s="21">
        <f t="shared" si="117"/>
        <v>29.592623533501769</v>
      </c>
      <c r="Z84" s="21">
        <f t="shared" si="117"/>
        <v>26.695876422392967</v>
      </c>
      <c r="AA84" s="21">
        <f t="shared" si="117"/>
        <v>24.593361091199913</v>
      </c>
      <c r="AB84" s="21">
        <f t="shared" si="117"/>
        <v>22.455684642566176</v>
      </c>
      <c r="AC84" s="21">
        <f t="shared" si="117"/>
        <v>20.014923127214971</v>
      </c>
      <c r="AD84" s="22">
        <f t="shared" si="117"/>
        <v>17.964547714052944</v>
      </c>
      <c r="AE84" s="7"/>
      <c r="AF84" s="7"/>
    </row>
    <row r="85" spans="1:32" ht="17.25">
      <c r="A85" s="864"/>
      <c r="B85" s="52" t="s">
        <v>96</v>
      </c>
      <c r="C85" s="316">
        <v>12.45</v>
      </c>
      <c r="D85" s="249">
        <v>12.85</v>
      </c>
      <c r="E85" s="289">
        <v>13.1</v>
      </c>
      <c r="F85" s="208">
        <v>13.42</v>
      </c>
      <c r="G85" s="209">
        <v>13.47</v>
      </c>
      <c r="H85" s="209">
        <v>13.43</v>
      </c>
      <c r="I85" s="211">
        <v>13.24</v>
      </c>
      <c r="K85" s="864"/>
      <c r="L85" s="61" t="s">
        <v>96</v>
      </c>
      <c r="M85" s="21">
        <f t="shared" si="106"/>
        <v>473.50152603739957</v>
      </c>
      <c r="N85" s="21">
        <f t="shared" si="107"/>
        <v>573.45272365424353</v>
      </c>
      <c r="O85" s="44">
        <f t="shared" si="98"/>
        <v>675.01076326323948</v>
      </c>
      <c r="P85" s="44">
        <f t="shared" si="99"/>
        <v>768.73431434723113</v>
      </c>
      <c r="Q85" s="21">
        <f t="shared" si="100"/>
        <v>875.29235325399031</v>
      </c>
      <c r="R85" s="44">
        <f t="shared" si="101"/>
        <v>987.63674595105397</v>
      </c>
      <c r="S85" s="45">
        <f t="shared" si="102"/>
        <v>1113.1219786944155</v>
      </c>
      <c r="V85" s="864"/>
      <c r="W85" s="61" t="s">
        <v>96</v>
      </c>
      <c r="X85" s="21">
        <f t="shared" ref="X85:AD85" si="118">(C85/M85)*100*12.2354989838484</f>
        <v>32.171377275958477</v>
      </c>
      <c r="Y85" s="21">
        <f t="shared" si="118"/>
        <v>27.417458398410112</v>
      </c>
      <c r="Z85" s="21">
        <f t="shared" si="118"/>
        <v>23.745552724750606</v>
      </c>
      <c r="AA85" s="21">
        <f t="shared" si="118"/>
        <v>21.359836981217093</v>
      </c>
      <c r="AB85" s="21">
        <f t="shared" si="118"/>
        <v>18.82938548471623</v>
      </c>
      <c r="AC85" s="21">
        <f t="shared" si="118"/>
        <v>16.637974642675722</v>
      </c>
      <c r="AD85" s="22">
        <f t="shared" si="118"/>
        <v>14.553481976536016</v>
      </c>
      <c r="AE85" s="7"/>
      <c r="AF85" s="7"/>
    </row>
    <row r="86" spans="1:32" ht="17.25">
      <c r="A86" s="865"/>
      <c r="B86" s="108" t="s">
        <v>97</v>
      </c>
      <c r="C86" s="296">
        <v>12.33</v>
      </c>
      <c r="D86" s="297">
        <v>12.67</v>
      </c>
      <c r="E86" s="298">
        <v>12.84</v>
      </c>
      <c r="F86" s="317">
        <v>12.62</v>
      </c>
      <c r="G86" s="318">
        <v>13</v>
      </c>
      <c r="H86" s="318">
        <v>13.04</v>
      </c>
      <c r="I86" s="243">
        <v>13.73</v>
      </c>
      <c r="K86" s="865"/>
      <c r="L86" s="113" t="s">
        <v>97</v>
      </c>
      <c r="M86" s="32">
        <f t="shared" si="106"/>
        <v>478.10981339542781</v>
      </c>
      <c r="N86" s="32">
        <f t="shared" si="107"/>
        <v>581.59964474798971</v>
      </c>
      <c r="O86" s="78">
        <f t="shared" si="98"/>
        <v>688.67920551000293</v>
      </c>
      <c r="P86" s="78">
        <f t="shared" si="99"/>
        <v>817.46549116797485</v>
      </c>
      <c r="Q86" s="32">
        <f t="shared" si="100"/>
        <v>906.93753833317294</v>
      </c>
      <c r="R86" s="78">
        <f t="shared" si="101"/>
        <v>1017.1749615124735</v>
      </c>
      <c r="S86" s="79">
        <f t="shared" si="102"/>
        <v>1073.3965766871129</v>
      </c>
      <c r="V86" s="865"/>
      <c r="W86" s="113" t="s">
        <v>97</v>
      </c>
      <c r="X86" s="32">
        <f t="shared" ref="X86:AD86" si="119">(C86/M86)*100*12.2354989838484</f>
        <v>31.554194924268725</v>
      </c>
      <c r="Y86" s="32">
        <f t="shared" si="119"/>
        <v>26.654722630123317</v>
      </c>
      <c r="Z86" s="32">
        <f t="shared" si="119"/>
        <v>22.812334929768916</v>
      </c>
      <c r="AA86" s="32">
        <f t="shared" si="119"/>
        <v>18.889115056777097</v>
      </c>
      <c r="AB86" s="32">
        <f t="shared" si="119"/>
        <v>17.538306671302021</v>
      </c>
      <c r="AC86" s="32">
        <f t="shared" si="119"/>
        <v>15.68568956044113</v>
      </c>
      <c r="AD86" s="33">
        <f t="shared" si="119"/>
        <v>15.650636931107648</v>
      </c>
      <c r="AE86" s="7"/>
      <c r="AF86" s="7"/>
    </row>
    <row r="87" spans="1:32" ht="17.25">
      <c r="A87" s="866">
        <v>10.7</v>
      </c>
      <c r="B87" s="80" t="s">
        <v>98</v>
      </c>
      <c r="C87" s="319">
        <v>14.07</v>
      </c>
      <c r="D87" s="267">
        <v>15.83</v>
      </c>
      <c r="E87" s="320">
        <v>12.84</v>
      </c>
      <c r="F87" s="321">
        <v>7.76</v>
      </c>
      <c r="G87" s="322" t="s">
        <v>20</v>
      </c>
      <c r="H87" s="322" t="s">
        <v>20</v>
      </c>
      <c r="I87" s="323" t="s">
        <v>20</v>
      </c>
      <c r="K87" s="863">
        <v>10.7</v>
      </c>
      <c r="L87" s="83" t="s">
        <v>98</v>
      </c>
      <c r="M87" s="122">
        <f t="shared" si="106"/>
        <v>418.98322666422348</v>
      </c>
      <c r="N87" s="122">
        <f t="shared" si="107"/>
        <v>465.50015786209912</v>
      </c>
      <c r="O87" s="123">
        <f t="shared" si="98"/>
        <v>688.67920551000293</v>
      </c>
      <c r="P87" s="123">
        <f t="shared" si="99"/>
        <v>1329.4348580592582</v>
      </c>
      <c r="Q87" s="85" t="s">
        <v>20</v>
      </c>
      <c r="R87" s="85" t="s">
        <v>20</v>
      </c>
      <c r="S87" s="87" t="s">
        <v>20</v>
      </c>
      <c r="V87" s="863">
        <v>10.7</v>
      </c>
      <c r="W87" s="83" t="s">
        <v>98</v>
      </c>
      <c r="X87" s="122">
        <f t="shared" ref="X87:AA87" si="120">(C87/M87)*100*12.2354989838484</f>
        <v>41.088392027853693</v>
      </c>
      <c r="Y87" s="122">
        <f t="shared" si="120"/>
        <v>41.608567826028271</v>
      </c>
      <c r="Z87" s="122">
        <f t="shared" si="120"/>
        <v>22.812334929768916</v>
      </c>
      <c r="AA87" s="122">
        <f t="shared" si="120"/>
        <v>7.1419424230586399</v>
      </c>
      <c r="AB87" s="85" t="s">
        <v>20</v>
      </c>
      <c r="AC87" s="85" t="s">
        <v>20</v>
      </c>
      <c r="AD87" s="87" t="s">
        <v>20</v>
      </c>
      <c r="AE87" s="51"/>
      <c r="AF87" s="51"/>
    </row>
    <row r="88" spans="1:32" ht="15">
      <c r="A88" s="864"/>
      <c r="B88" s="52" t="s">
        <v>99</v>
      </c>
      <c r="C88" s="4" t="s">
        <v>15</v>
      </c>
      <c r="D88" s="4" t="s">
        <v>15</v>
      </c>
      <c r="E88" s="4" t="s">
        <v>15</v>
      </c>
      <c r="F88" s="4" t="s">
        <v>15</v>
      </c>
      <c r="G88" s="4" t="s">
        <v>15</v>
      </c>
      <c r="H88" s="4" t="s">
        <v>15</v>
      </c>
      <c r="I88" s="245" t="s">
        <v>15</v>
      </c>
      <c r="K88" s="864"/>
      <c r="L88" s="61" t="s">
        <v>99</v>
      </c>
      <c r="M88" s="48" t="s">
        <v>20</v>
      </c>
      <c r="N88" s="2" t="s">
        <v>20</v>
      </c>
      <c r="O88" s="2" t="s">
        <v>20</v>
      </c>
      <c r="P88" s="2" t="s">
        <v>20</v>
      </c>
      <c r="Q88" s="2" t="s">
        <v>20</v>
      </c>
      <c r="R88" s="2" t="s">
        <v>20</v>
      </c>
      <c r="S88" s="50" t="s">
        <v>20</v>
      </c>
      <c r="V88" s="864"/>
      <c r="W88" s="61" t="s">
        <v>99</v>
      </c>
      <c r="X88" s="2" t="s">
        <v>20</v>
      </c>
      <c r="Y88" s="2" t="s">
        <v>20</v>
      </c>
      <c r="Z88" s="2" t="s">
        <v>20</v>
      </c>
      <c r="AA88" s="2" t="s">
        <v>20</v>
      </c>
      <c r="AB88" s="2" t="s">
        <v>20</v>
      </c>
      <c r="AC88" s="2" t="s">
        <v>20</v>
      </c>
      <c r="AD88" s="50" t="s">
        <v>20</v>
      </c>
      <c r="AE88" s="51"/>
      <c r="AF88" s="51"/>
    </row>
    <row r="89" spans="1:32" ht="15">
      <c r="A89" s="864"/>
      <c r="B89" s="52" t="s">
        <v>100</v>
      </c>
      <c r="C89" s="4" t="s">
        <v>15</v>
      </c>
      <c r="D89" s="4" t="s">
        <v>15</v>
      </c>
      <c r="E89" s="4" t="s">
        <v>15</v>
      </c>
      <c r="F89" s="4" t="s">
        <v>15</v>
      </c>
      <c r="G89" s="4" t="s">
        <v>15</v>
      </c>
      <c r="H89" s="4" t="s">
        <v>15</v>
      </c>
      <c r="I89" s="245" t="s">
        <v>15</v>
      </c>
      <c r="K89" s="864"/>
      <c r="L89" s="61" t="s">
        <v>100</v>
      </c>
      <c r="M89" s="48" t="s">
        <v>20</v>
      </c>
      <c r="N89" s="2" t="s">
        <v>20</v>
      </c>
      <c r="O89" s="2" t="s">
        <v>20</v>
      </c>
      <c r="P89" s="2" t="s">
        <v>20</v>
      </c>
      <c r="Q89" s="2" t="s">
        <v>20</v>
      </c>
      <c r="R89" s="2" t="s">
        <v>20</v>
      </c>
      <c r="S89" s="50" t="s">
        <v>20</v>
      </c>
      <c r="V89" s="864"/>
      <c r="W89" s="61" t="s">
        <v>100</v>
      </c>
      <c r="X89" s="2" t="s">
        <v>20</v>
      </c>
      <c r="Y89" s="2" t="s">
        <v>20</v>
      </c>
      <c r="Z89" s="2" t="s">
        <v>20</v>
      </c>
      <c r="AA89" s="2" t="s">
        <v>20</v>
      </c>
      <c r="AB89" s="2" t="s">
        <v>20</v>
      </c>
      <c r="AC89" s="2" t="s">
        <v>20</v>
      </c>
      <c r="AD89" s="50" t="s">
        <v>20</v>
      </c>
      <c r="AE89" s="51"/>
      <c r="AF89" s="51"/>
    </row>
    <row r="90" spans="1:32" ht="17.25">
      <c r="A90" s="864"/>
      <c r="B90" s="52" t="s">
        <v>101</v>
      </c>
      <c r="C90" s="4" t="s">
        <v>20</v>
      </c>
      <c r="D90" s="4" t="s">
        <v>15</v>
      </c>
      <c r="E90" s="324">
        <v>11.71</v>
      </c>
      <c r="F90" s="176">
        <v>12.3</v>
      </c>
      <c r="G90" s="325">
        <v>12.45</v>
      </c>
      <c r="H90" s="258">
        <v>12.79</v>
      </c>
      <c r="I90" s="154">
        <v>13.07</v>
      </c>
      <c r="K90" s="864"/>
      <c r="L90" s="61" t="s">
        <v>101</v>
      </c>
      <c r="M90" s="48" t="s">
        <v>20</v>
      </c>
      <c r="N90" s="2" t="s">
        <v>20</v>
      </c>
      <c r="O90" s="44">
        <f t="shared" ref="O90:O107" si="121">($O$9*0.514444)/(E90*((PI()/180)))</f>
        <v>755.1358666736495</v>
      </c>
      <c r="P90" s="44">
        <f t="shared" ref="P90:P107" si="122">($P$9*0.514444)/(F90*((PI()/180)))</f>
        <v>838.73288606014967</v>
      </c>
      <c r="Q90" s="21">
        <f t="shared" ref="Q90:Q107" si="123">($Q$9*0.514444)/(G90*((PI()/180)))</f>
        <v>947.00305207479914</v>
      </c>
      <c r="R90" s="44">
        <f t="shared" ref="R90:R106" si="124">($R$9*0.514444)/(H90*((PI()/180)))</f>
        <v>1037.0571929728424</v>
      </c>
      <c r="S90" s="45">
        <f t="shared" ref="S90:S106" si="125">($S$9*0.514444)/(I90*((PI()/180)))</f>
        <v>1127.6002293736847</v>
      </c>
      <c r="V90" s="864"/>
      <c r="W90" s="61" t="s">
        <v>101</v>
      </c>
      <c r="X90" s="2" t="s">
        <v>20</v>
      </c>
      <c r="Y90" s="2" t="s">
        <v>20</v>
      </c>
      <c r="Z90" s="2" t="s">
        <v>20</v>
      </c>
      <c r="AA90" s="21">
        <f t="shared" ref="AA90:AD90" si="126">(F90/P90)*100*12.2354989838484</f>
        <v>17.943333330862441</v>
      </c>
      <c r="AB90" s="21">
        <f t="shared" si="126"/>
        <v>16.085688637979239</v>
      </c>
      <c r="AC90" s="21">
        <f t="shared" si="126"/>
        <v>15.090009795392174</v>
      </c>
      <c r="AD90" s="22">
        <f t="shared" si="126"/>
        <v>14.182151400210657</v>
      </c>
      <c r="AE90" s="7"/>
      <c r="AF90" s="7"/>
    </row>
    <row r="91" spans="1:32" ht="17.25">
      <c r="A91" s="864"/>
      <c r="B91" s="52" t="s">
        <v>102</v>
      </c>
      <c r="C91" s="4" t="s">
        <v>20</v>
      </c>
      <c r="D91" s="326">
        <v>10.83</v>
      </c>
      <c r="E91" s="325">
        <v>12.47</v>
      </c>
      <c r="F91" s="327">
        <v>12.94</v>
      </c>
      <c r="G91" s="215">
        <v>13.28</v>
      </c>
      <c r="H91" s="210">
        <v>13.53</v>
      </c>
      <c r="I91" s="236">
        <v>13.73</v>
      </c>
      <c r="K91" s="864"/>
      <c r="L91" s="61" t="s">
        <v>102</v>
      </c>
      <c r="M91" s="48" t="s">
        <v>20</v>
      </c>
      <c r="N91" s="21">
        <f t="shared" ref="N91:N92" si="127">($N$9*0.514444)/(D91*((PI()/180)))</f>
        <v>680.41251144570913</v>
      </c>
      <c r="O91" s="44">
        <f t="shared" si="121"/>
        <v>709.11315146338711</v>
      </c>
      <c r="P91" s="44">
        <f t="shared" si="122"/>
        <v>797.24996124728307</v>
      </c>
      <c r="Q91" s="21">
        <f t="shared" si="123"/>
        <v>887.81536132012423</v>
      </c>
      <c r="R91" s="44">
        <f t="shared" si="124"/>
        <v>980.33713955082442</v>
      </c>
      <c r="S91" s="45">
        <f t="shared" si="125"/>
        <v>1073.3965766871129</v>
      </c>
      <c r="V91" s="864"/>
      <c r="W91" s="61" t="s">
        <v>102</v>
      </c>
      <c r="X91" s="2" t="s">
        <v>20</v>
      </c>
      <c r="Y91" s="21">
        <f t="shared" ref="Y91:AD91" si="128">(D91/N91)*100*12.2354989838484</f>
        <v>19.475017252920008</v>
      </c>
      <c r="Z91" s="21">
        <f t="shared" si="128"/>
        <v>21.516548101486929</v>
      </c>
      <c r="AA91" s="21">
        <f t="shared" si="128"/>
        <v>19.859186522041092</v>
      </c>
      <c r="AB91" s="21">
        <f t="shared" si="128"/>
        <v>18.301939072545267</v>
      </c>
      <c r="AC91" s="21">
        <f t="shared" si="128"/>
        <v>16.886670368044982</v>
      </c>
      <c r="AD91" s="22">
        <f t="shared" si="128"/>
        <v>15.650636931107648</v>
      </c>
      <c r="AE91" s="7"/>
      <c r="AF91" s="7"/>
    </row>
    <row r="92" spans="1:32" ht="17.25">
      <c r="A92" s="864"/>
      <c r="B92" s="52" t="s">
        <v>103</v>
      </c>
      <c r="C92" s="328">
        <v>12.5</v>
      </c>
      <c r="D92" s="201">
        <v>13.8</v>
      </c>
      <c r="E92" s="153">
        <v>14.74</v>
      </c>
      <c r="F92" s="141">
        <v>15.16</v>
      </c>
      <c r="G92" s="53">
        <v>15.35</v>
      </c>
      <c r="H92" s="67">
        <v>15.44</v>
      </c>
      <c r="I92" s="329">
        <v>15.46</v>
      </c>
      <c r="K92" s="864"/>
      <c r="L92" s="61" t="s">
        <v>103</v>
      </c>
      <c r="M92" s="21">
        <f>($M$9*0.514444)/(C92*((PI()/180)))</f>
        <v>471.60751993324999</v>
      </c>
      <c r="N92" s="21">
        <f t="shared" si="127"/>
        <v>533.97590572152387</v>
      </c>
      <c r="O92" s="44">
        <f t="shared" si="121"/>
        <v>599.90780181468369</v>
      </c>
      <c r="P92" s="44">
        <f t="shared" si="122"/>
        <v>680.50227562927716</v>
      </c>
      <c r="Q92" s="21">
        <f t="shared" si="123"/>
        <v>768.09042334405535</v>
      </c>
      <c r="R92" s="44">
        <f t="shared" si="124"/>
        <v>859.06486386804761</v>
      </c>
      <c r="S92" s="45">
        <f t="shared" si="125"/>
        <v>953.28169456106457</v>
      </c>
      <c r="V92" s="864"/>
      <c r="W92" s="61" t="s">
        <v>103</v>
      </c>
      <c r="X92" s="21">
        <f t="shared" ref="X92:AD92" si="129">(C92/M92)*100*12.2354989838484</f>
        <v>32.430300797525923</v>
      </c>
      <c r="Y92" s="21">
        <f t="shared" si="129"/>
        <v>31.621255597469894</v>
      </c>
      <c r="Z92" s="21">
        <f t="shared" si="129"/>
        <v>30.063162118641252</v>
      </c>
      <c r="AA92" s="21">
        <f t="shared" si="129"/>
        <v>27.25783163966857</v>
      </c>
      <c r="AB92" s="21">
        <f t="shared" si="129"/>
        <v>24.452187358928168</v>
      </c>
      <c r="AC92" s="21">
        <f t="shared" si="129"/>
        <v>21.990901066538886</v>
      </c>
      <c r="AD92" s="22">
        <f t="shared" si="129"/>
        <v>19.84311829017075</v>
      </c>
      <c r="AE92" s="7"/>
      <c r="AF92" s="7"/>
    </row>
    <row r="93" spans="1:32" ht="17.25">
      <c r="A93" s="864"/>
      <c r="B93" s="52" t="s">
        <v>104</v>
      </c>
      <c r="C93" s="4" t="s">
        <v>20</v>
      </c>
      <c r="D93" s="4" t="s">
        <v>20</v>
      </c>
      <c r="E93" s="330">
        <v>9.66</v>
      </c>
      <c r="F93" s="331">
        <v>11.12</v>
      </c>
      <c r="G93" s="332">
        <v>12.03</v>
      </c>
      <c r="H93" s="214">
        <v>12.65</v>
      </c>
      <c r="I93" s="333">
        <v>13.09</v>
      </c>
      <c r="K93" s="864"/>
      <c r="L93" s="61" t="s">
        <v>104</v>
      </c>
      <c r="M93" s="48" t="s">
        <v>20</v>
      </c>
      <c r="N93" s="2" t="s">
        <v>20</v>
      </c>
      <c r="O93" s="44">
        <f t="shared" si="121"/>
        <v>915.38726695118396</v>
      </c>
      <c r="P93" s="44">
        <f t="shared" si="122"/>
        <v>927.73511677516569</v>
      </c>
      <c r="Q93" s="21">
        <f t="shared" si="123"/>
        <v>980.06550277067754</v>
      </c>
      <c r="R93" s="44">
        <f t="shared" si="124"/>
        <v>1048.534505780447</v>
      </c>
      <c r="S93" s="45">
        <f t="shared" si="125"/>
        <v>1125.87738715921</v>
      </c>
      <c r="V93" s="864"/>
      <c r="W93" s="61" t="s">
        <v>104</v>
      </c>
      <c r="X93" s="2" t="s">
        <v>20</v>
      </c>
      <c r="Y93" s="2" t="s">
        <v>20</v>
      </c>
      <c r="Z93" s="2" t="s">
        <v>20</v>
      </c>
      <c r="AA93" s="21">
        <f t="shared" ref="AA93:AD93" si="130">(F93/P93)*100*12.2354989838484</f>
        <v>14.665689186514612</v>
      </c>
      <c r="AB93" s="21">
        <f t="shared" si="130"/>
        <v>15.018695419803738</v>
      </c>
      <c r="AC93" s="21">
        <f t="shared" si="130"/>
        <v>14.761465768880617</v>
      </c>
      <c r="AD93" s="22">
        <f t="shared" si="130"/>
        <v>14.225588285656457</v>
      </c>
      <c r="AE93" s="7"/>
      <c r="AF93" s="7"/>
    </row>
    <row r="94" spans="1:32" ht="17.25">
      <c r="A94" s="864"/>
      <c r="B94" s="52" t="s">
        <v>105</v>
      </c>
      <c r="C94" s="334">
        <v>12.21</v>
      </c>
      <c r="D94" s="312">
        <v>12.71</v>
      </c>
      <c r="E94" s="215">
        <v>13.33</v>
      </c>
      <c r="F94" s="209">
        <v>13.45</v>
      </c>
      <c r="G94" s="209">
        <v>13.5</v>
      </c>
      <c r="H94" s="149">
        <v>13.24</v>
      </c>
      <c r="I94" s="335">
        <v>12.91</v>
      </c>
      <c r="K94" s="864"/>
      <c r="L94" s="61" t="s">
        <v>105</v>
      </c>
      <c r="M94" s="21">
        <f t="shared" ref="M94:M97" si="131">($M$9*0.514444)/(C94*((PI()/180)))</f>
        <v>482.80868134034597</v>
      </c>
      <c r="N94" s="21">
        <f t="shared" ref="N94:N97" si="132">($N$9*0.514444)/(D94*((PI()/180)))</f>
        <v>579.76927607844448</v>
      </c>
      <c r="O94" s="44">
        <f t="shared" si="121"/>
        <v>663.36391588510401</v>
      </c>
      <c r="P94" s="44">
        <f t="shared" si="122"/>
        <v>767.01966531894743</v>
      </c>
      <c r="Q94" s="21">
        <f t="shared" si="123"/>
        <v>873.34725913564807</v>
      </c>
      <c r="R94" s="44">
        <f t="shared" si="124"/>
        <v>1001.8097808249739</v>
      </c>
      <c r="S94" s="45">
        <f t="shared" si="125"/>
        <v>1141.5751353922587</v>
      </c>
      <c r="V94" s="864"/>
      <c r="W94" s="61" t="s">
        <v>105</v>
      </c>
      <c r="X94" s="21">
        <f t="shared" ref="X94:AD94" si="133">(C94/M94)*100*12.2354989838484</f>
        <v>30.942990125621989</v>
      </c>
      <c r="Y94" s="21">
        <f t="shared" si="133"/>
        <v>26.823289625935921</v>
      </c>
      <c r="Z94" s="21">
        <f t="shared" si="133"/>
        <v>24.586685761627752</v>
      </c>
      <c r="AA94" s="21">
        <f t="shared" si="133"/>
        <v>21.455442249232213</v>
      </c>
      <c r="AB94" s="21">
        <f t="shared" si="133"/>
        <v>18.913351425117117</v>
      </c>
      <c r="AC94" s="21">
        <f t="shared" si="133"/>
        <v>16.170535529484461</v>
      </c>
      <c r="AD94" s="22">
        <f t="shared" si="133"/>
        <v>13.837047337861456</v>
      </c>
      <c r="AE94" s="7"/>
      <c r="AF94" s="7"/>
    </row>
    <row r="95" spans="1:32" ht="17.25">
      <c r="A95" s="864"/>
      <c r="B95" s="62" t="s">
        <v>106</v>
      </c>
      <c r="C95" s="316">
        <v>12.45</v>
      </c>
      <c r="D95" s="327">
        <v>12.94</v>
      </c>
      <c r="E95" s="208">
        <v>13.36</v>
      </c>
      <c r="F95" s="208">
        <v>13.42</v>
      </c>
      <c r="G95" s="209">
        <v>13.44</v>
      </c>
      <c r="H95" s="215">
        <v>13.28</v>
      </c>
      <c r="I95" s="154">
        <v>13.07</v>
      </c>
      <c r="K95" s="864"/>
      <c r="L95" s="69" t="s">
        <v>106</v>
      </c>
      <c r="M95" s="21">
        <f t="shared" si="131"/>
        <v>473.50152603739957</v>
      </c>
      <c r="N95" s="21">
        <f t="shared" si="132"/>
        <v>569.4642580337736</v>
      </c>
      <c r="O95" s="44">
        <f t="shared" si="121"/>
        <v>661.87432625362555</v>
      </c>
      <c r="P95" s="44">
        <f t="shared" si="122"/>
        <v>768.73431434723113</v>
      </c>
      <c r="Q95" s="21">
        <f t="shared" si="123"/>
        <v>877.24613082821793</v>
      </c>
      <c r="R95" s="44">
        <f t="shared" si="124"/>
        <v>998.79228148513971</v>
      </c>
      <c r="S95" s="45">
        <f t="shared" si="125"/>
        <v>1127.6002293736847</v>
      </c>
      <c r="V95" s="864"/>
      <c r="W95" s="69" t="s">
        <v>106</v>
      </c>
      <c r="X95" s="21">
        <f t="shared" ref="X95:AD95" si="134">(C95/M95)*100*12.2354989838484</f>
        <v>32.171377275958477</v>
      </c>
      <c r="Y95" s="21">
        <f t="shared" si="134"/>
        <v>27.802861130857536</v>
      </c>
      <c r="Z95" s="21">
        <f t="shared" si="134"/>
        <v>24.697478046848353</v>
      </c>
      <c r="AA95" s="21">
        <f t="shared" si="134"/>
        <v>21.359836981217093</v>
      </c>
      <c r="AB95" s="21">
        <f t="shared" si="134"/>
        <v>18.745606342847932</v>
      </c>
      <c r="AC95" s="21">
        <f t="shared" si="134"/>
        <v>16.268390286706904</v>
      </c>
      <c r="AD95" s="22">
        <f t="shared" si="134"/>
        <v>14.182151400210657</v>
      </c>
      <c r="AE95" s="7"/>
      <c r="AF95" s="7"/>
    </row>
    <row r="96" spans="1:32" ht="17.25">
      <c r="A96" s="864"/>
      <c r="B96" s="52" t="s">
        <v>107</v>
      </c>
      <c r="C96" s="136">
        <v>11.44</v>
      </c>
      <c r="D96" s="173">
        <v>14.39</v>
      </c>
      <c r="E96" s="90">
        <v>15.82</v>
      </c>
      <c r="F96" s="105">
        <v>17.989999999999998</v>
      </c>
      <c r="G96" s="336">
        <v>18.37</v>
      </c>
      <c r="H96" s="57">
        <v>17.899999999999999</v>
      </c>
      <c r="I96" s="94">
        <v>17.149999999999999</v>
      </c>
      <c r="K96" s="864"/>
      <c r="L96" s="61" t="s">
        <v>107</v>
      </c>
      <c r="M96" s="21">
        <f t="shared" si="131"/>
        <v>515.30541950748466</v>
      </c>
      <c r="N96" s="21">
        <f t="shared" si="132"/>
        <v>512.08252251264969</v>
      </c>
      <c r="O96" s="44">
        <f t="shared" si="121"/>
        <v>558.95328689939549</v>
      </c>
      <c r="P96" s="44">
        <f t="shared" si="122"/>
        <v>573.45272365424364</v>
      </c>
      <c r="Q96" s="21">
        <f t="shared" si="123"/>
        <v>641.81752848836402</v>
      </c>
      <c r="R96" s="44">
        <f t="shared" si="124"/>
        <v>741.00343564931029</v>
      </c>
      <c r="S96" s="45">
        <f t="shared" si="125"/>
        <v>859.34314856641754</v>
      </c>
      <c r="V96" s="864"/>
      <c r="W96" s="61" t="s">
        <v>107</v>
      </c>
      <c r="X96" s="21">
        <f t="shared" ref="X96:AD96" si="135">(C96/M96)*100*12.2354989838484</f>
        <v>27.163329372512568</v>
      </c>
      <c r="Y96" s="21">
        <f t="shared" si="135"/>
        <v>34.382901707649893</v>
      </c>
      <c r="Z96" s="21">
        <f t="shared" si="135"/>
        <v>34.630012643493238</v>
      </c>
      <c r="AA96" s="21">
        <f t="shared" si="135"/>
        <v>38.384441757774155</v>
      </c>
      <c r="AB96" s="21">
        <f t="shared" si="135"/>
        <v>35.020252074242016</v>
      </c>
      <c r="AC96" s="21">
        <f t="shared" si="135"/>
        <v>29.556601396722581</v>
      </c>
      <c r="AD96" s="22">
        <f t="shared" si="135"/>
        <v>24.418511734580015</v>
      </c>
      <c r="AE96" s="7"/>
      <c r="AF96" s="7"/>
    </row>
    <row r="97" spans="1:32" ht="17.25">
      <c r="A97" s="864"/>
      <c r="B97" s="52" t="s">
        <v>108</v>
      </c>
      <c r="C97" s="337">
        <v>11.14</v>
      </c>
      <c r="D97" s="256">
        <v>12.21</v>
      </c>
      <c r="E97" s="260">
        <v>13.59</v>
      </c>
      <c r="F97" s="65">
        <v>14.84</v>
      </c>
      <c r="G97" s="67">
        <v>15.48</v>
      </c>
      <c r="H97" s="338">
        <v>15.73</v>
      </c>
      <c r="I97" s="339">
        <v>15.92</v>
      </c>
      <c r="K97" s="864"/>
      <c r="L97" s="61" t="s">
        <v>108</v>
      </c>
      <c r="M97" s="21">
        <f t="shared" si="131"/>
        <v>529.18258520337747</v>
      </c>
      <c r="N97" s="21">
        <f t="shared" si="132"/>
        <v>603.51085167543238</v>
      </c>
      <c r="O97" s="44">
        <f t="shared" si="121"/>
        <v>650.67262683947285</v>
      </c>
      <c r="P97" s="44">
        <f t="shared" si="122"/>
        <v>695.17617914688969</v>
      </c>
      <c r="Q97" s="21">
        <f t="shared" si="123"/>
        <v>761.6400515717861</v>
      </c>
      <c r="R97" s="44">
        <f t="shared" si="124"/>
        <v>843.22705010315667</v>
      </c>
      <c r="S97" s="45">
        <f t="shared" si="125"/>
        <v>925.73712298455155</v>
      </c>
      <c r="V97" s="864"/>
      <c r="W97" s="61" t="s">
        <v>108</v>
      </c>
      <c r="X97" s="21">
        <f t="shared" ref="X97:AD97" si="136">(C97/M97)*100*12.2354989838484</f>
        <v>25.757359083856947</v>
      </c>
      <c r="Y97" s="21">
        <f t="shared" si="136"/>
        <v>24.754392100497597</v>
      </c>
      <c r="Z97" s="21">
        <f t="shared" si="136"/>
        <v>25.555160050020472</v>
      </c>
      <c r="AA97" s="21">
        <f t="shared" si="136"/>
        <v>26.119250107668574</v>
      </c>
      <c r="AB97" s="21">
        <f t="shared" si="136"/>
        <v>24.868115047140662</v>
      </c>
      <c r="AC97" s="21">
        <f t="shared" si="136"/>
        <v>22.824742042180702</v>
      </c>
      <c r="AD97" s="22">
        <f t="shared" si="136"/>
        <v>21.041518049408189</v>
      </c>
      <c r="AE97" s="7"/>
      <c r="AF97" s="7"/>
    </row>
    <row r="98" spans="1:32" ht="17.25">
      <c r="A98" s="864"/>
      <c r="B98" s="52" t="s">
        <v>77</v>
      </c>
      <c r="C98" s="280" t="s">
        <v>15</v>
      </c>
      <c r="D98" s="4" t="s">
        <v>15</v>
      </c>
      <c r="E98" s="255">
        <v>10.58</v>
      </c>
      <c r="F98" s="282">
        <v>11.34</v>
      </c>
      <c r="G98" s="96">
        <v>11.61</v>
      </c>
      <c r="H98" s="283">
        <v>11.57</v>
      </c>
      <c r="I98" s="284">
        <v>10.86</v>
      </c>
      <c r="K98" s="864"/>
      <c r="L98" s="61" t="s">
        <v>77</v>
      </c>
      <c r="M98" s="48" t="s">
        <v>20</v>
      </c>
      <c r="N98" s="2" t="s">
        <v>20</v>
      </c>
      <c r="O98" s="44">
        <f t="shared" si="121"/>
        <v>835.78837417282011</v>
      </c>
      <c r="P98" s="44">
        <f t="shared" si="122"/>
        <v>909.73672826630002</v>
      </c>
      <c r="Q98" s="21">
        <f t="shared" si="123"/>
        <v>1015.5200687623816</v>
      </c>
      <c r="R98" s="44">
        <f t="shared" si="124"/>
        <v>1146.4098096908085</v>
      </c>
      <c r="S98" s="45">
        <f t="shared" si="125"/>
        <v>1357.0658377453094</v>
      </c>
      <c r="V98" s="864"/>
      <c r="W98" s="61" t="s">
        <v>77</v>
      </c>
      <c r="X98" s="2" t="s">
        <v>20</v>
      </c>
      <c r="Y98" s="2" t="s">
        <v>20</v>
      </c>
      <c r="Z98" s="2" t="s">
        <v>20</v>
      </c>
      <c r="AA98" s="21">
        <f t="shared" ref="AA98:AD98" si="137">(F98/P98)*100*12.2354989838484</f>
        <v>15.251726589214448</v>
      </c>
      <c r="AB98" s="21">
        <f t="shared" si="137"/>
        <v>13.988314714016621</v>
      </c>
      <c r="AC98" s="21">
        <f t="shared" si="137"/>
        <v>12.348526857189629</v>
      </c>
      <c r="AD98" s="22">
        <f t="shared" si="137"/>
        <v>9.7915307620861132</v>
      </c>
      <c r="AE98" s="7"/>
      <c r="AF98" s="7"/>
    </row>
    <row r="99" spans="1:32" ht="17.25">
      <c r="A99" s="864"/>
      <c r="B99" s="62" t="s">
        <v>109</v>
      </c>
      <c r="C99" s="4" t="s">
        <v>15</v>
      </c>
      <c r="D99" s="4" t="s">
        <v>15</v>
      </c>
      <c r="E99" s="325">
        <v>12.47</v>
      </c>
      <c r="F99" s="176">
        <v>12.3</v>
      </c>
      <c r="G99" s="256">
        <v>12.17</v>
      </c>
      <c r="H99" s="340">
        <v>11.81</v>
      </c>
      <c r="I99" s="341">
        <v>11.3</v>
      </c>
      <c r="K99" s="864"/>
      <c r="L99" s="69" t="s">
        <v>109</v>
      </c>
      <c r="M99" s="48" t="s">
        <v>20</v>
      </c>
      <c r="N99" s="2" t="s">
        <v>20</v>
      </c>
      <c r="O99" s="44">
        <f t="shared" si="121"/>
        <v>709.11315146338711</v>
      </c>
      <c r="P99" s="44">
        <f t="shared" si="122"/>
        <v>838.73288606014967</v>
      </c>
      <c r="Q99" s="21">
        <f t="shared" si="123"/>
        <v>968.79112558186114</v>
      </c>
      <c r="R99" s="44">
        <f t="shared" si="124"/>
        <v>1123.1127432788023</v>
      </c>
      <c r="S99" s="45">
        <f t="shared" si="125"/>
        <v>1304.2243360985892</v>
      </c>
      <c r="V99" s="864"/>
      <c r="W99" s="69" t="s">
        <v>109</v>
      </c>
      <c r="X99" s="2" t="s">
        <v>20</v>
      </c>
      <c r="Y99" s="2" t="s">
        <v>20</v>
      </c>
      <c r="Z99" s="2" t="s">
        <v>20</v>
      </c>
      <c r="AA99" s="21">
        <f t="shared" ref="AA99:AD99" si="138">(F99/P99)*100*12.2354989838484</f>
        <v>17.943333330862441</v>
      </c>
      <c r="AB99" s="21">
        <f t="shared" si="138"/>
        <v>15.370291768930198</v>
      </c>
      <c r="AC99" s="21">
        <f t="shared" si="138"/>
        <v>12.866138672542737</v>
      </c>
      <c r="AD99" s="22">
        <f t="shared" si="138"/>
        <v>10.601024278620381</v>
      </c>
      <c r="AE99" s="7"/>
      <c r="AF99" s="7"/>
    </row>
    <row r="100" spans="1:32" ht="17.25">
      <c r="A100" s="864"/>
      <c r="B100" s="52" t="s">
        <v>110</v>
      </c>
      <c r="C100" s="4" t="s">
        <v>20</v>
      </c>
      <c r="D100" s="4" t="s">
        <v>20</v>
      </c>
      <c r="E100" s="88">
        <v>11.75</v>
      </c>
      <c r="F100" s="256">
        <v>12.21</v>
      </c>
      <c r="G100" s="213">
        <v>12.11</v>
      </c>
      <c r="H100" s="342">
        <v>11.84</v>
      </c>
      <c r="I100" s="341">
        <v>11.3</v>
      </c>
      <c r="K100" s="864"/>
      <c r="L100" s="61" t="s">
        <v>110</v>
      </c>
      <c r="M100" s="48" t="s">
        <v>20</v>
      </c>
      <c r="N100" s="2" t="s">
        <v>20</v>
      </c>
      <c r="O100" s="44">
        <f t="shared" si="121"/>
        <v>752.56519138284568</v>
      </c>
      <c r="P100" s="44">
        <f t="shared" si="122"/>
        <v>844.91519234560542</v>
      </c>
      <c r="Q100" s="21">
        <f t="shared" si="123"/>
        <v>973.59108161282006</v>
      </c>
      <c r="R100" s="44">
        <f t="shared" si="124"/>
        <v>1120.2670184225215</v>
      </c>
      <c r="S100" s="45">
        <f t="shared" si="125"/>
        <v>1304.2243360985892</v>
      </c>
      <c r="V100" s="864"/>
      <c r="W100" s="61" t="s">
        <v>110</v>
      </c>
      <c r="X100" s="2" t="s">
        <v>20</v>
      </c>
      <c r="Y100" s="2" t="s">
        <v>20</v>
      </c>
      <c r="Z100" s="2" t="s">
        <v>20</v>
      </c>
      <c r="AA100" s="21">
        <f t="shared" ref="AA100:AD100" si="139">(F100/P100)*100*12.2354989838484</f>
        <v>17.681708643212563</v>
      </c>
      <c r="AB100" s="21">
        <f t="shared" si="139"/>
        <v>15.219109489884321</v>
      </c>
      <c r="AC100" s="21">
        <f t="shared" si="139"/>
        <v>12.931587343592252</v>
      </c>
      <c r="AD100" s="22">
        <f t="shared" si="139"/>
        <v>10.601024278620381</v>
      </c>
      <c r="AE100" s="7"/>
      <c r="AF100" s="7"/>
    </row>
    <row r="101" spans="1:32" ht="17.25">
      <c r="A101" s="864"/>
      <c r="B101" s="62" t="s">
        <v>53</v>
      </c>
      <c r="C101" s="4" t="s">
        <v>20</v>
      </c>
      <c r="D101" s="212">
        <v>11.29</v>
      </c>
      <c r="E101" s="213">
        <v>12.09</v>
      </c>
      <c r="F101" s="214">
        <v>12.62</v>
      </c>
      <c r="G101" s="215">
        <v>13.28</v>
      </c>
      <c r="H101" s="210">
        <v>13.53</v>
      </c>
      <c r="I101" s="205">
        <v>13.51</v>
      </c>
      <c r="K101" s="864"/>
      <c r="L101" s="69" t="s">
        <v>53</v>
      </c>
      <c r="M101" s="48" t="s">
        <v>20</v>
      </c>
      <c r="N101" s="21">
        <f t="shared" ref="N101:N102" si="140">($N$9*0.514444)/(D101*((PI()/180)))</f>
        <v>652.68976961532599</v>
      </c>
      <c r="O101" s="44">
        <f t="shared" si="121"/>
        <v>731.40124059126856</v>
      </c>
      <c r="P101" s="44">
        <f t="shared" si="122"/>
        <v>817.46549116797485</v>
      </c>
      <c r="Q101" s="21">
        <f t="shared" si="123"/>
        <v>887.81536132012423</v>
      </c>
      <c r="R101" s="44">
        <f t="shared" si="124"/>
        <v>980.33713955082442</v>
      </c>
      <c r="S101" s="45">
        <f t="shared" si="125"/>
        <v>1090.8760176102192</v>
      </c>
      <c r="V101" s="864"/>
      <c r="W101" s="69" t="s">
        <v>53</v>
      </c>
      <c r="X101" s="2" t="s">
        <v>20</v>
      </c>
      <c r="Y101" s="21">
        <f t="shared" ref="Y101:AD101" si="141">(D101/N101)*100*12.2354989838484</f>
        <v>21.164539411895934</v>
      </c>
      <c r="Z101" s="21">
        <f t="shared" si="141"/>
        <v>20.225175253345487</v>
      </c>
      <c r="AA101" s="21">
        <f t="shared" si="141"/>
        <v>18.889115056777097</v>
      </c>
      <c r="AB101" s="21">
        <f t="shared" si="141"/>
        <v>18.301939072545267</v>
      </c>
      <c r="AC101" s="21">
        <f t="shared" si="141"/>
        <v>16.886670368044982</v>
      </c>
      <c r="AD101" s="22">
        <f t="shared" si="141"/>
        <v>15.153105266161951</v>
      </c>
      <c r="AE101" s="7"/>
      <c r="AF101" s="7"/>
    </row>
    <row r="102" spans="1:32" ht="17.25">
      <c r="A102" s="864"/>
      <c r="B102" s="52" t="s">
        <v>111</v>
      </c>
      <c r="C102" s="4" t="s">
        <v>20</v>
      </c>
      <c r="D102" s="158">
        <v>15.87</v>
      </c>
      <c r="E102" s="343">
        <v>16.96</v>
      </c>
      <c r="F102" s="98">
        <v>17.239999999999998</v>
      </c>
      <c r="G102" s="98">
        <v>17.190000000000001</v>
      </c>
      <c r="H102" s="56">
        <v>17.12</v>
      </c>
      <c r="I102" s="344">
        <v>16.82</v>
      </c>
      <c r="K102" s="864"/>
      <c r="L102" s="61" t="s">
        <v>111</v>
      </c>
      <c r="M102" s="48" t="s">
        <v>20</v>
      </c>
      <c r="N102" s="21">
        <f t="shared" si="140"/>
        <v>464.32687454045561</v>
      </c>
      <c r="O102" s="44">
        <f t="shared" si="121"/>
        <v>521.38213436016724</v>
      </c>
      <c r="P102" s="44">
        <f t="shared" si="122"/>
        <v>598.39991290834359</v>
      </c>
      <c r="Q102" s="21">
        <f t="shared" si="123"/>
        <v>685.87481083951411</v>
      </c>
      <c r="R102" s="44">
        <f t="shared" si="124"/>
        <v>774.76410619875321</v>
      </c>
      <c r="S102" s="45">
        <f t="shared" si="125"/>
        <v>876.20303198062186</v>
      </c>
      <c r="V102" s="864"/>
      <c r="W102" s="61" t="s">
        <v>111</v>
      </c>
      <c r="X102" s="2" t="s">
        <v>20</v>
      </c>
      <c r="Y102" s="21">
        <f t="shared" ref="Y102:AD102" si="142">(D102/N102)*100*12.2354989838484</f>
        <v>41.819110527653926</v>
      </c>
      <c r="Z102" s="21">
        <f t="shared" si="142"/>
        <v>39.800762068828305</v>
      </c>
      <c r="AA102" s="21">
        <f t="shared" si="142"/>
        <v>35.250673994308535</v>
      </c>
      <c r="AB102" s="21">
        <f t="shared" si="142"/>
        <v>30.665687703986567</v>
      </c>
      <c r="AC102" s="21">
        <f t="shared" si="142"/>
        <v>27.036841398244643</v>
      </c>
      <c r="AD102" s="22">
        <f t="shared" si="142"/>
        <v>23.487831632255936</v>
      </c>
      <c r="AE102" s="7"/>
      <c r="AF102" s="7"/>
    </row>
    <row r="103" spans="1:32" ht="17.25">
      <c r="A103" s="865"/>
      <c r="B103" s="108" t="s">
        <v>112</v>
      </c>
      <c r="C103" s="237" t="s">
        <v>15</v>
      </c>
      <c r="D103" s="237" t="s">
        <v>15</v>
      </c>
      <c r="E103" s="345">
        <v>16.18</v>
      </c>
      <c r="F103" s="346">
        <v>16.73</v>
      </c>
      <c r="G103" s="347">
        <v>16.86</v>
      </c>
      <c r="H103" s="346">
        <v>16.7</v>
      </c>
      <c r="I103" s="348">
        <v>16.14</v>
      </c>
      <c r="K103" s="865"/>
      <c r="L103" s="113" t="s">
        <v>112</v>
      </c>
      <c r="M103" s="114" t="s">
        <v>20</v>
      </c>
      <c r="N103" s="115" t="s">
        <v>20</v>
      </c>
      <c r="O103" s="78">
        <f t="shared" si="121"/>
        <v>546.51674899557713</v>
      </c>
      <c r="P103" s="78">
        <f t="shared" si="122"/>
        <v>616.64163171188545</v>
      </c>
      <c r="Q103" s="32">
        <f t="shared" si="123"/>
        <v>699.29940678121284</v>
      </c>
      <c r="R103" s="78">
        <f t="shared" si="124"/>
        <v>794.24919150435062</v>
      </c>
      <c r="S103" s="79">
        <f t="shared" si="125"/>
        <v>913.11864918922299</v>
      </c>
      <c r="V103" s="865"/>
      <c r="W103" s="113" t="s">
        <v>112</v>
      </c>
      <c r="X103" s="115" t="s">
        <v>20</v>
      </c>
      <c r="Y103" s="115" t="s">
        <v>20</v>
      </c>
      <c r="Z103" s="115" t="s">
        <v>20</v>
      </c>
      <c r="AA103" s="32">
        <f t="shared" ref="AA103:AD103" si="143">(F103/P103)*100*12.2354989838484</f>
        <v>33.195925716450169</v>
      </c>
      <c r="AB103" s="32">
        <f t="shared" si="143"/>
        <v>29.499597864270079</v>
      </c>
      <c r="AC103" s="32">
        <f t="shared" si="143"/>
        <v>25.726539632133701</v>
      </c>
      <c r="AD103" s="33">
        <f t="shared" si="143"/>
        <v>21.627085787226076</v>
      </c>
      <c r="AE103" s="7"/>
      <c r="AF103" s="7"/>
    </row>
    <row r="104" spans="1:32" ht="17.25">
      <c r="A104" s="890">
        <v>10.3</v>
      </c>
      <c r="B104" s="350" t="s">
        <v>113</v>
      </c>
      <c r="C104" s="351">
        <v>11.14</v>
      </c>
      <c r="D104" s="352">
        <v>13.8</v>
      </c>
      <c r="E104" s="353">
        <v>15.22</v>
      </c>
      <c r="F104" s="354">
        <v>15.16</v>
      </c>
      <c r="G104" s="353">
        <v>15.21</v>
      </c>
      <c r="H104" s="355">
        <v>15.12</v>
      </c>
      <c r="I104" s="356">
        <v>15.04</v>
      </c>
      <c r="K104" s="863">
        <v>10.3</v>
      </c>
      <c r="L104" s="83" t="s">
        <v>113</v>
      </c>
      <c r="M104" s="122">
        <f>($M$9*0.514444)/(C104*((PI()/180)))</f>
        <v>529.18258520337747</v>
      </c>
      <c r="N104" s="122">
        <f>($N$9*0.514444)/(D104*((PI()/180)))</f>
        <v>533.97590572152387</v>
      </c>
      <c r="O104" s="123">
        <f t="shared" si="121"/>
        <v>580.98823907676979</v>
      </c>
      <c r="P104" s="123">
        <f t="shared" si="122"/>
        <v>680.50227562927716</v>
      </c>
      <c r="Q104" s="122">
        <f t="shared" si="123"/>
        <v>775.16028917365213</v>
      </c>
      <c r="R104" s="123">
        <f t="shared" si="124"/>
        <v>877.24613082821782</v>
      </c>
      <c r="S104" s="124">
        <f t="shared" si="125"/>
        <v>979.90259294641362</v>
      </c>
      <c r="V104" s="863">
        <v>10.3</v>
      </c>
      <c r="W104" s="83" t="s">
        <v>113</v>
      </c>
      <c r="X104" s="122">
        <f t="shared" ref="X104:AD104" si="144">(C104/M104)*100*12.2354989838484</f>
        <v>25.757359083856947</v>
      </c>
      <c r="Y104" s="122">
        <f t="shared" si="144"/>
        <v>31.621255597469894</v>
      </c>
      <c r="Z104" s="122">
        <f t="shared" si="144"/>
        <v>32.053023109399916</v>
      </c>
      <c r="AA104" s="122">
        <f t="shared" si="144"/>
        <v>27.25783163966857</v>
      </c>
      <c r="AB104" s="122">
        <f t="shared" si="144"/>
        <v>24.008188002345335</v>
      </c>
      <c r="AC104" s="122">
        <f t="shared" si="144"/>
        <v>21.088807135703927</v>
      </c>
      <c r="AD104" s="125">
        <f t="shared" si="144"/>
        <v>18.779611977936998</v>
      </c>
      <c r="AE104" s="7"/>
      <c r="AF104" s="7"/>
    </row>
    <row r="105" spans="1:32" ht="17.25">
      <c r="A105" s="868"/>
      <c r="B105" s="52" t="s">
        <v>114</v>
      </c>
      <c r="C105" s="4" t="s">
        <v>15</v>
      </c>
      <c r="D105" s="4" t="s">
        <v>15</v>
      </c>
      <c r="E105" s="148">
        <v>13.96</v>
      </c>
      <c r="F105" s="215">
        <v>13.26</v>
      </c>
      <c r="G105" s="256">
        <v>12.17</v>
      </c>
      <c r="H105" s="283">
        <v>11.57</v>
      </c>
      <c r="I105" s="357">
        <v>10.86</v>
      </c>
      <c r="K105" s="864"/>
      <c r="L105" s="61" t="s">
        <v>114</v>
      </c>
      <c r="M105" s="48" t="s">
        <v>20</v>
      </c>
      <c r="N105" s="2" t="s">
        <v>20</v>
      </c>
      <c r="O105" s="44">
        <f t="shared" si="121"/>
        <v>633.42700564100539</v>
      </c>
      <c r="P105" s="44">
        <f t="shared" si="122"/>
        <v>778.01014317796694</v>
      </c>
      <c r="Q105" s="21">
        <f t="shared" si="123"/>
        <v>968.79112558186114</v>
      </c>
      <c r="R105" s="44">
        <f t="shared" si="124"/>
        <v>1146.4098096908085</v>
      </c>
      <c r="S105" s="45">
        <f t="shared" si="125"/>
        <v>1357.0658377453094</v>
      </c>
      <c r="V105" s="864"/>
      <c r="W105" s="61" t="s">
        <v>114</v>
      </c>
      <c r="X105" s="2" t="s">
        <v>20</v>
      </c>
      <c r="Y105" s="2" t="s">
        <v>20</v>
      </c>
      <c r="Z105" s="2" t="s">
        <v>20</v>
      </c>
      <c r="AA105" s="21">
        <f t="shared" ref="AA105:AD105" si="145">(F105/P105)*100*12.2354989838484</f>
        <v>20.853547726654426</v>
      </c>
      <c r="AB105" s="21">
        <f t="shared" si="145"/>
        <v>15.370291768930198</v>
      </c>
      <c r="AC105" s="21">
        <f t="shared" si="145"/>
        <v>12.348526857189629</v>
      </c>
      <c r="AD105" s="22">
        <f t="shared" si="145"/>
        <v>9.7915307620861132</v>
      </c>
      <c r="AE105" s="7"/>
      <c r="AF105" s="7"/>
    </row>
    <row r="106" spans="1:32" ht="17.25">
      <c r="A106" s="868"/>
      <c r="B106" s="52" t="s">
        <v>115</v>
      </c>
      <c r="C106" s="358">
        <v>11.02</v>
      </c>
      <c r="D106" s="327">
        <v>12.94</v>
      </c>
      <c r="E106" s="152">
        <v>14.33</v>
      </c>
      <c r="F106" s="65">
        <v>14.87</v>
      </c>
      <c r="G106" s="65">
        <v>14.88</v>
      </c>
      <c r="H106" s="53">
        <v>15.34</v>
      </c>
      <c r="I106" s="359">
        <v>14.8</v>
      </c>
      <c r="K106" s="864"/>
      <c r="L106" s="61" t="s">
        <v>115</v>
      </c>
      <c r="M106" s="21">
        <f t="shared" ref="M106:M107" si="146">($M$9*0.514444)/(C106*((PI()/180)))</f>
        <v>534.94500899869558</v>
      </c>
      <c r="N106" s="21">
        <f t="shared" ref="N106:N107" si="147">($N$9*0.514444)/(D106*((PI()/180)))</f>
        <v>569.4642580337736</v>
      </c>
      <c r="O106" s="44">
        <f t="shared" si="121"/>
        <v>617.0719468770717</v>
      </c>
      <c r="P106" s="44">
        <f t="shared" si="122"/>
        <v>693.77367172426648</v>
      </c>
      <c r="Q106" s="21">
        <f t="shared" si="123"/>
        <v>792.35134397387424</v>
      </c>
      <c r="R106" s="44">
        <f t="shared" si="124"/>
        <v>864.66502595323698</v>
      </c>
      <c r="S106" s="45">
        <f t="shared" si="125"/>
        <v>995.79290526446346</v>
      </c>
      <c r="V106" s="864"/>
      <c r="W106" s="61" t="s">
        <v>115</v>
      </c>
      <c r="X106" s="21">
        <f t="shared" ref="X106:AD106" si="148">(C106/M106)*100*12.2354989838484</f>
        <v>25.205431686219946</v>
      </c>
      <c r="Y106" s="21">
        <f t="shared" si="148"/>
        <v>27.802861130857536</v>
      </c>
      <c r="Z106" s="21">
        <f t="shared" si="148"/>
        <v>28.413980140548567</v>
      </c>
      <c r="AA106" s="21">
        <f t="shared" si="148"/>
        <v>26.224960286780199</v>
      </c>
      <c r="AB106" s="21">
        <f t="shared" si="148"/>
        <v>22.97771389729192</v>
      </c>
      <c r="AC106" s="21">
        <f t="shared" si="148"/>
        <v>21.706967296996382</v>
      </c>
      <c r="AD106" s="22">
        <f t="shared" si="148"/>
        <v>18.185044701926607</v>
      </c>
      <c r="AE106" s="7"/>
      <c r="AF106" s="7"/>
    </row>
    <row r="107" spans="1:32" ht="17.25">
      <c r="A107" s="868"/>
      <c r="B107" s="52" t="s">
        <v>116</v>
      </c>
      <c r="C107" s="360">
        <v>13.55</v>
      </c>
      <c r="D107" s="53">
        <v>15.38</v>
      </c>
      <c r="E107" s="90">
        <v>15.82</v>
      </c>
      <c r="F107" s="142">
        <v>15.32</v>
      </c>
      <c r="G107" s="153">
        <v>14.74</v>
      </c>
      <c r="H107" s="254" t="s">
        <v>20</v>
      </c>
      <c r="I107" s="361" t="s">
        <v>20</v>
      </c>
      <c r="K107" s="864"/>
      <c r="L107" s="61" t="s">
        <v>116</v>
      </c>
      <c r="M107" s="21">
        <f t="shared" si="146"/>
        <v>435.06228776130064</v>
      </c>
      <c r="N107" s="21">
        <f t="shared" si="147"/>
        <v>479.12012346924769</v>
      </c>
      <c r="O107" s="44">
        <f t="shared" si="121"/>
        <v>558.95328689939549</v>
      </c>
      <c r="P107" s="44">
        <f t="shared" si="122"/>
        <v>673.39520225455885</v>
      </c>
      <c r="Q107" s="21">
        <f t="shared" si="123"/>
        <v>799.87706908624489</v>
      </c>
      <c r="R107" s="2" t="s">
        <v>20</v>
      </c>
      <c r="S107" s="50" t="s">
        <v>20</v>
      </c>
      <c r="V107" s="864"/>
      <c r="W107" s="61" t="s">
        <v>116</v>
      </c>
      <c r="X107" s="21">
        <f t="shared" ref="X107:AB107" si="149">(C107/M107)*100*12.2354989838484</f>
        <v>38.107419533937637</v>
      </c>
      <c r="Y107" s="21">
        <f t="shared" si="149"/>
        <v>39.276574945127898</v>
      </c>
      <c r="Z107" s="21">
        <f t="shared" si="149"/>
        <v>34.630012643493238</v>
      </c>
      <c r="AA107" s="21">
        <f t="shared" si="149"/>
        <v>27.836231057924572</v>
      </c>
      <c r="AB107" s="21">
        <f t="shared" si="149"/>
        <v>22.547371588980941</v>
      </c>
      <c r="AC107" s="2" t="s">
        <v>20</v>
      </c>
      <c r="AD107" s="50" t="s">
        <v>20</v>
      </c>
      <c r="AE107" s="51"/>
      <c r="AF107" s="51"/>
    </row>
    <row r="108" spans="1:32" ht="17.25">
      <c r="A108" s="868"/>
      <c r="B108" s="52" t="s">
        <v>117</v>
      </c>
      <c r="C108" s="4" t="s">
        <v>20</v>
      </c>
      <c r="D108" s="4" t="s">
        <v>20</v>
      </c>
      <c r="E108" s="254" t="s">
        <v>20</v>
      </c>
      <c r="F108" s="254" t="s">
        <v>20</v>
      </c>
      <c r="G108" s="254" t="s">
        <v>20</v>
      </c>
      <c r="H108" s="254" t="s">
        <v>20</v>
      </c>
      <c r="I108" s="361" t="s">
        <v>20</v>
      </c>
      <c r="K108" s="864"/>
      <c r="L108" s="61" t="s">
        <v>117</v>
      </c>
      <c r="M108" s="48" t="s">
        <v>20</v>
      </c>
      <c r="N108" s="2" t="s">
        <v>20</v>
      </c>
      <c r="O108" s="2" t="s">
        <v>20</v>
      </c>
      <c r="P108" s="2" t="s">
        <v>20</v>
      </c>
      <c r="Q108" s="2" t="s">
        <v>20</v>
      </c>
      <c r="R108" s="2" t="s">
        <v>20</v>
      </c>
      <c r="S108" s="50" t="s">
        <v>20</v>
      </c>
      <c r="V108" s="864"/>
      <c r="W108" s="61" t="s">
        <v>117</v>
      </c>
      <c r="X108" s="2" t="s">
        <v>20</v>
      </c>
      <c r="Y108" s="2" t="s">
        <v>20</v>
      </c>
      <c r="Z108" s="2" t="s">
        <v>20</v>
      </c>
      <c r="AA108" s="2" t="s">
        <v>20</v>
      </c>
      <c r="AB108" s="2" t="s">
        <v>20</v>
      </c>
      <c r="AC108" s="2" t="s">
        <v>20</v>
      </c>
      <c r="AD108" s="50" t="s">
        <v>20</v>
      </c>
      <c r="AE108" s="51"/>
      <c r="AF108" s="51"/>
    </row>
    <row r="109" spans="1:32" ht="17.25">
      <c r="A109" s="868"/>
      <c r="B109" s="52" t="s">
        <v>118</v>
      </c>
      <c r="C109" s="4" t="s">
        <v>15</v>
      </c>
      <c r="D109" s="4" t="s">
        <v>15</v>
      </c>
      <c r="E109" s="282">
        <v>11.34</v>
      </c>
      <c r="F109" s="362">
        <v>11.98</v>
      </c>
      <c r="G109" s="325">
        <v>12.45</v>
      </c>
      <c r="H109" s="258">
        <v>12.79</v>
      </c>
      <c r="I109" s="363">
        <v>12.18</v>
      </c>
      <c r="K109" s="864"/>
      <c r="L109" s="61" t="s">
        <v>118</v>
      </c>
      <c r="M109" s="48" t="s">
        <v>20</v>
      </c>
      <c r="N109" s="2" t="s">
        <v>20</v>
      </c>
      <c r="O109" s="44">
        <f>($O$9*0.514444)/(E109*((PI()/180)))</f>
        <v>779.77433851397143</v>
      </c>
      <c r="P109" s="44">
        <f>($P$9*0.514444)/(F109*((PI()/180)))</f>
        <v>861.1364356043274</v>
      </c>
      <c r="Q109" s="21">
        <f>($Q$9*0.514444)/(G109*((PI()/180)))</f>
        <v>947.00305207479914</v>
      </c>
      <c r="R109" s="44">
        <f>($R$9*0.514444)/(H109*((PI()/180)))</f>
        <v>1037.0571929728424</v>
      </c>
      <c r="S109" s="45">
        <f>($S$9*0.514444)/(I109*((PI()/180)))</f>
        <v>1209.9946632113351</v>
      </c>
      <c r="V109" s="864"/>
      <c r="W109" s="61" t="s">
        <v>118</v>
      </c>
      <c r="X109" s="2" t="s">
        <v>20</v>
      </c>
      <c r="Y109" s="2" t="s">
        <v>20</v>
      </c>
      <c r="Z109" s="2" t="s">
        <v>20</v>
      </c>
      <c r="AA109" s="21">
        <f t="shared" ref="AA109:AD109" si="150">(F109/P109)*100*12.2354989838484</f>
        <v>17.021841344297108</v>
      </c>
      <c r="AB109" s="21">
        <f t="shared" si="150"/>
        <v>16.085688637979239</v>
      </c>
      <c r="AC109" s="21">
        <f t="shared" si="150"/>
        <v>15.090009795392174</v>
      </c>
      <c r="AD109" s="22">
        <f t="shared" si="150"/>
        <v>12.316449167449305</v>
      </c>
      <c r="AE109" s="7"/>
      <c r="AF109" s="7"/>
    </row>
    <row r="110" spans="1:32" ht="15">
      <c r="A110" s="868"/>
      <c r="B110" s="62" t="s">
        <v>119</v>
      </c>
      <c r="C110" s="4" t="s">
        <v>15</v>
      </c>
      <c r="D110" s="4" t="s">
        <v>15</v>
      </c>
      <c r="E110" s="4" t="s">
        <v>15</v>
      </c>
      <c r="F110" s="4" t="s">
        <v>15</v>
      </c>
      <c r="G110" s="4" t="s">
        <v>15</v>
      </c>
      <c r="H110" s="4" t="s">
        <v>15</v>
      </c>
      <c r="I110" s="364" t="s">
        <v>15</v>
      </c>
      <c r="K110" s="864"/>
      <c r="L110" s="69" t="s">
        <v>119</v>
      </c>
      <c r="M110" s="48" t="s">
        <v>20</v>
      </c>
      <c r="N110" s="2" t="s">
        <v>20</v>
      </c>
      <c r="O110" s="2" t="s">
        <v>20</v>
      </c>
      <c r="P110" s="2" t="s">
        <v>20</v>
      </c>
      <c r="Q110" s="2" t="s">
        <v>20</v>
      </c>
      <c r="R110" s="2" t="s">
        <v>20</v>
      </c>
      <c r="S110" s="50" t="s">
        <v>20</v>
      </c>
      <c r="V110" s="864"/>
      <c r="W110" s="69" t="s">
        <v>119</v>
      </c>
      <c r="X110" s="2" t="s">
        <v>20</v>
      </c>
      <c r="Y110" s="2" t="s">
        <v>20</v>
      </c>
      <c r="Z110" s="2" t="s">
        <v>20</v>
      </c>
      <c r="AA110" s="2" t="s">
        <v>20</v>
      </c>
      <c r="AB110" s="2" t="s">
        <v>20</v>
      </c>
      <c r="AC110" s="2" t="s">
        <v>20</v>
      </c>
      <c r="AD110" s="50" t="s">
        <v>20</v>
      </c>
      <c r="AE110" s="51"/>
      <c r="AF110" s="51"/>
    </row>
    <row r="111" spans="1:32" ht="17.25">
      <c r="A111" s="868"/>
      <c r="B111" s="62" t="s">
        <v>120</v>
      </c>
      <c r="C111" s="249">
        <v>12.91</v>
      </c>
      <c r="D111" s="289">
        <v>13.12</v>
      </c>
      <c r="E111" s="260">
        <v>13.59</v>
      </c>
      <c r="F111" s="365">
        <v>13.58</v>
      </c>
      <c r="G111" s="215">
        <v>13.28</v>
      </c>
      <c r="H111" s="288">
        <v>13.04</v>
      </c>
      <c r="I111" s="366">
        <v>12.85</v>
      </c>
      <c r="K111" s="864"/>
      <c r="L111" s="69" t="s">
        <v>120</v>
      </c>
      <c r="M111" s="21">
        <f>($M$9*0.514444)/(C111*((PI()/180)))</f>
        <v>456.63005415690355</v>
      </c>
      <c r="N111" s="21">
        <f>($N$9*0.514444)/(D111*((PI()/180)))</f>
        <v>561.65148620099319</v>
      </c>
      <c r="O111" s="44">
        <f>($O$9*0.514444)/(E111*((PI()/180)))</f>
        <v>650.67262683947285</v>
      </c>
      <c r="P111" s="44">
        <f>($P$9*0.514444)/(F111*((PI()/180)))</f>
        <v>759.67706174814748</v>
      </c>
      <c r="Q111" s="21">
        <f>($Q$9*0.514444)/(G111*((PI()/180)))</f>
        <v>887.81536132012423</v>
      </c>
      <c r="R111" s="44">
        <f>($R$9*0.514444)/(H111*((PI()/180)))</f>
        <v>1017.1749615124735</v>
      </c>
      <c r="S111" s="45">
        <f>($S$9*0.514444)/(I111*((PI()/180)))</f>
        <v>1146.9054473084871</v>
      </c>
      <c r="V111" s="864"/>
      <c r="W111" s="69" t="s">
        <v>120</v>
      </c>
      <c r="X111" s="21">
        <f t="shared" ref="X111:AD111" si="151">(C111/M111)*100*12.2354989838484</f>
        <v>34.592618344653637</v>
      </c>
      <c r="Y111" s="21">
        <f t="shared" si="151"/>
        <v>28.581736292360429</v>
      </c>
      <c r="Z111" s="21">
        <f t="shared" si="151"/>
        <v>25.555160050020472</v>
      </c>
      <c r="AA111" s="21">
        <f t="shared" si="151"/>
        <v>21.872198670617088</v>
      </c>
      <c r="AB111" s="21">
        <f t="shared" si="151"/>
        <v>18.301939072545267</v>
      </c>
      <c r="AC111" s="21">
        <f t="shared" si="151"/>
        <v>15.68568956044113</v>
      </c>
      <c r="AD111" s="22">
        <f t="shared" si="151"/>
        <v>13.708729199205056</v>
      </c>
      <c r="AE111" s="7"/>
      <c r="AF111" s="7"/>
    </row>
    <row r="112" spans="1:32" ht="15">
      <c r="A112" s="868"/>
      <c r="B112" s="367" t="s">
        <v>121</v>
      </c>
      <c r="C112" s="368" t="s">
        <v>15</v>
      </c>
      <c r="D112" s="368" t="s">
        <v>15</v>
      </c>
      <c r="E112" s="368" t="s">
        <v>15</v>
      </c>
      <c r="F112" s="368" t="s">
        <v>15</v>
      </c>
      <c r="G112" s="368" t="s">
        <v>15</v>
      </c>
      <c r="H112" s="368" t="s">
        <v>15</v>
      </c>
      <c r="I112" s="369" t="s">
        <v>15</v>
      </c>
      <c r="K112" s="865"/>
      <c r="L112" s="113" t="s">
        <v>121</v>
      </c>
      <c r="M112" s="114" t="s">
        <v>20</v>
      </c>
      <c r="N112" s="115" t="s">
        <v>20</v>
      </c>
      <c r="O112" s="115" t="s">
        <v>20</v>
      </c>
      <c r="P112" s="115" t="s">
        <v>20</v>
      </c>
      <c r="Q112" s="115" t="s">
        <v>20</v>
      </c>
      <c r="R112" s="115" t="s">
        <v>20</v>
      </c>
      <c r="S112" s="370" t="s">
        <v>20</v>
      </c>
      <c r="V112" s="865"/>
      <c r="W112" s="113" t="s">
        <v>121</v>
      </c>
      <c r="X112" s="115" t="s">
        <v>20</v>
      </c>
      <c r="Y112" s="115" t="s">
        <v>20</v>
      </c>
      <c r="Z112" s="115" t="s">
        <v>20</v>
      </c>
      <c r="AA112" s="115" t="s">
        <v>20</v>
      </c>
      <c r="AB112" s="115" t="s">
        <v>20</v>
      </c>
      <c r="AC112" s="115" t="s">
        <v>20</v>
      </c>
      <c r="AD112" s="370" t="s">
        <v>20</v>
      </c>
      <c r="AE112" s="51"/>
      <c r="AF112" s="51"/>
    </row>
    <row r="113" spans="1:32" ht="17.25">
      <c r="A113" s="863">
        <v>10</v>
      </c>
      <c r="B113" s="80" t="s">
        <v>122</v>
      </c>
      <c r="C113" s="371">
        <v>12.33</v>
      </c>
      <c r="D113" s="372">
        <v>14.93</v>
      </c>
      <c r="E113" s="267">
        <v>15.82</v>
      </c>
      <c r="F113" s="373">
        <v>16.100000000000001</v>
      </c>
      <c r="G113" s="267">
        <v>15.76</v>
      </c>
      <c r="H113" s="374">
        <v>15.73</v>
      </c>
      <c r="I113" s="375">
        <v>15.48</v>
      </c>
      <c r="K113" s="863">
        <v>10</v>
      </c>
      <c r="L113" s="83" t="s">
        <v>122</v>
      </c>
      <c r="M113" s="122">
        <f t="shared" ref="M113:M115" si="152">($M$9*0.514444)/(C113*((PI()/180)))</f>
        <v>478.10981339542781</v>
      </c>
      <c r="N113" s="122">
        <f t="shared" ref="N113:N115" si="153">($N$9*0.514444)/(D113*((PI()/180)))</f>
        <v>493.56111848339117</v>
      </c>
      <c r="O113" s="123">
        <f t="shared" ref="O113:O116" si="154">($O$9*0.514444)/(E113*((PI()/180)))</f>
        <v>558.95328689939549</v>
      </c>
      <c r="P113" s="123">
        <f t="shared" ref="P113:P116" si="155">($P$9*0.514444)/(F113*((PI()/180)))</f>
        <v>640.77108686582869</v>
      </c>
      <c r="Q113" s="122">
        <f t="shared" ref="Q113:Q116" si="156">($Q$9*0.514444)/(G113*((PI()/180)))</f>
        <v>748.10837552863256</v>
      </c>
      <c r="R113" s="123">
        <f t="shared" ref="R113:R116" si="157">($R$9*0.514444)/(H113*((PI()/180)))</f>
        <v>843.22705010315667</v>
      </c>
      <c r="S113" s="124">
        <f t="shared" ref="S113:S116" si="158">($S$9*0.514444)/(I113*((PI()/180)))</f>
        <v>952.05006446473249</v>
      </c>
      <c r="V113" s="863">
        <v>10</v>
      </c>
      <c r="W113" s="83" t="s">
        <v>122</v>
      </c>
      <c r="X113" s="122">
        <f t="shared" ref="X113:AD113" si="159">(C113/M113)*100*12.2354989838484</f>
        <v>31.554194924268725</v>
      </c>
      <c r="Y113" s="122">
        <f t="shared" si="159"/>
        <v>37.011829535961276</v>
      </c>
      <c r="Z113" s="122">
        <f t="shared" si="159"/>
        <v>34.630012643493238</v>
      </c>
      <c r="AA113" s="122">
        <f t="shared" si="159"/>
        <v>30.742887386429064</v>
      </c>
      <c r="AB113" s="122">
        <f t="shared" si="159"/>
        <v>25.775872893976238</v>
      </c>
      <c r="AC113" s="122">
        <f t="shared" si="159"/>
        <v>22.824742042180702</v>
      </c>
      <c r="AD113" s="125">
        <f t="shared" si="159"/>
        <v>19.894492037712535</v>
      </c>
      <c r="AE113" s="7"/>
      <c r="AF113" s="7"/>
    </row>
    <row r="114" spans="1:32" ht="17.25">
      <c r="A114" s="864"/>
      <c r="B114" s="52" t="s">
        <v>123</v>
      </c>
      <c r="C114" s="334">
        <v>12.21</v>
      </c>
      <c r="D114" s="312">
        <v>12.71</v>
      </c>
      <c r="E114" s="215">
        <v>13.33</v>
      </c>
      <c r="F114" s="209">
        <v>13.45</v>
      </c>
      <c r="G114" s="209">
        <v>13.5</v>
      </c>
      <c r="H114" s="149">
        <v>13.24</v>
      </c>
      <c r="I114" s="335">
        <v>12.91</v>
      </c>
      <c r="K114" s="864"/>
      <c r="L114" s="61" t="s">
        <v>123</v>
      </c>
      <c r="M114" s="21">
        <f t="shared" si="152"/>
        <v>482.80868134034597</v>
      </c>
      <c r="N114" s="21">
        <f t="shared" si="153"/>
        <v>579.76927607844448</v>
      </c>
      <c r="O114" s="44">
        <f t="shared" si="154"/>
        <v>663.36391588510401</v>
      </c>
      <c r="P114" s="44">
        <f t="shared" si="155"/>
        <v>767.01966531894743</v>
      </c>
      <c r="Q114" s="21">
        <f t="shared" si="156"/>
        <v>873.34725913564807</v>
      </c>
      <c r="R114" s="44">
        <f t="shared" si="157"/>
        <v>1001.8097808249739</v>
      </c>
      <c r="S114" s="45">
        <f t="shared" si="158"/>
        <v>1141.5751353922587</v>
      </c>
      <c r="V114" s="864"/>
      <c r="W114" s="61" t="s">
        <v>123</v>
      </c>
      <c r="X114" s="21">
        <f t="shared" ref="X114:AD114" si="160">(C114/M114)*100*12.2354989838484</f>
        <v>30.942990125621989</v>
      </c>
      <c r="Y114" s="21">
        <f t="shared" si="160"/>
        <v>26.823289625935921</v>
      </c>
      <c r="Z114" s="21">
        <f t="shared" si="160"/>
        <v>24.586685761627752</v>
      </c>
      <c r="AA114" s="21">
        <f t="shared" si="160"/>
        <v>21.455442249232213</v>
      </c>
      <c r="AB114" s="21">
        <f t="shared" si="160"/>
        <v>18.913351425117117</v>
      </c>
      <c r="AC114" s="21">
        <f t="shared" si="160"/>
        <v>16.170535529484461</v>
      </c>
      <c r="AD114" s="22">
        <f t="shared" si="160"/>
        <v>13.837047337861456</v>
      </c>
      <c r="AE114" s="7"/>
      <c r="AF114" s="7"/>
    </row>
    <row r="115" spans="1:32" ht="17.25">
      <c r="A115" s="864"/>
      <c r="B115" s="52" t="s">
        <v>124</v>
      </c>
      <c r="C115" s="376">
        <v>10.72</v>
      </c>
      <c r="D115" s="324">
        <v>11.71</v>
      </c>
      <c r="E115" s="377">
        <v>11.79</v>
      </c>
      <c r="F115" s="340">
        <v>11.82</v>
      </c>
      <c r="G115" s="234">
        <v>11.86</v>
      </c>
      <c r="H115" s="88">
        <v>11.74</v>
      </c>
      <c r="I115" s="341">
        <v>11.3</v>
      </c>
      <c r="K115" s="864"/>
      <c r="L115" s="61" t="s">
        <v>124</v>
      </c>
      <c r="M115" s="21">
        <f t="shared" si="152"/>
        <v>549.91548499679334</v>
      </c>
      <c r="N115" s="21">
        <f t="shared" si="153"/>
        <v>629.27988889470782</v>
      </c>
      <c r="O115" s="44">
        <f t="shared" si="154"/>
        <v>750.01195918137716</v>
      </c>
      <c r="P115" s="44">
        <f t="shared" si="155"/>
        <v>872.79310478340449</v>
      </c>
      <c r="Q115" s="21">
        <f t="shared" si="156"/>
        <v>994.11365921848642</v>
      </c>
      <c r="R115" s="44">
        <f t="shared" si="157"/>
        <v>1129.8093269269723</v>
      </c>
      <c r="S115" s="45">
        <f t="shared" si="158"/>
        <v>1304.2243360985892</v>
      </c>
      <c r="V115" s="864"/>
      <c r="W115" s="61" t="s">
        <v>124</v>
      </c>
      <c r="X115" s="21">
        <f t="shared" ref="X115:AD115" si="161">(C115/M115)*100*12.2354989838484</f>
        <v>23.851764986690583</v>
      </c>
      <c r="Y115" s="21">
        <f t="shared" si="161"/>
        <v>22.768516145100936</v>
      </c>
      <c r="Z115" s="21">
        <f t="shared" si="161"/>
        <v>19.233897707047991</v>
      </c>
      <c r="AA115" s="21">
        <f t="shared" si="161"/>
        <v>16.570204003270444</v>
      </c>
      <c r="AB115" s="21">
        <f t="shared" si="161"/>
        <v>14.597226041790968</v>
      </c>
      <c r="AC115" s="21">
        <f t="shared" si="161"/>
        <v>12.714070830083086</v>
      </c>
      <c r="AD115" s="22">
        <f t="shared" si="161"/>
        <v>10.601024278620381</v>
      </c>
      <c r="AE115" s="7"/>
      <c r="AF115" s="7"/>
    </row>
    <row r="116" spans="1:32" ht="17.25">
      <c r="A116" s="864"/>
      <c r="B116" s="52" t="s">
        <v>125</v>
      </c>
      <c r="C116" s="4" t="s">
        <v>15</v>
      </c>
      <c r="D116" s="4" t="s">
        <v>15</v>
      </c>
      <c r="E116" s="260">
        <v>13.59</v>
      </c>
      <c r="F116" s="285">
        <v>13.89</v>
      </c>
      <c r="G116" s="294">
        <v>14.11</v>
      </c>
      <c r="H116" s="201">
        <v>13.77</v>
      </c>
      <c r="I116" s="378">
        <v>13.29</v>
      </c>
      <c r="K116" s="864"/>
      <c r="L116" s="61" t="s">
        <v>125</v>
      </c>
      <c r="M116" s="48" t="s">
        <v>20</v>
      </c>
      <c r="N116" s="2" t="s">
        <v>20</v>
      </c>
      <c r="O116" s="44">
        <f t="shared" si="154"/>
        <v>650.67262683947285</v>
      </c>
      <c r="P116" s="44">
        <f t="shared" si="155"/>
        <v>742.72242610078058</v>
      </c>
      <c r="Q116" s="21">
        <f t="shared" si="156"/>
        <v>835.59092830129339</v>
      </c>
      <c r="R116" s="44">
        <f t="shared" si="157"/>
        <v>963.25065345843541</v>
      </c>
      <c r="S116" s="45">
        <f t="shared" si="158"/>
        <v>1108.9341608663703</v>
      </c>
      <c r="V116" s="864"/>
      <c r="W116" s="61" t="s">
        <v>125</v>
      </c>
      <c r="X116" s="2" t="s">
        <v>20</v>
      </c>
      <c r="Y116" s="2" t="s">
        <v>20</v>
      </c>
      <c r="Z116" s="2" t="s">
        <v>20</v>
      </c>
      <c r="AA116" s="21">
        <f t="shared" ref="AA116:AD116" si="162">(F116/P116)*100*12.2354989838484</f>
        <v>22.882179790622541</v>
      </c>
      <c r="AB116" s="21">
        <f t="shared" si="162"/>
        <v>20.661173406115555</v>
      </c>
      <c r="AC116" s="21">
        <f t="shared" si="162"/>
        <v>17.49106739794831</v>
      </c>
      <c r="AD116" s="22">
        <f t="shared" si="162"/>
        <v>14.663610089196283</v>
      </c>
      <c r="AE116" s="7"/>
      <c r="AF116" s="7"/>
    </row>
    <row r="117" spans="1:32" ht="17.25">
      <c r="A117" s="864"/>
      <c r="B117" s="52" t="s">
        <v>117</v>
      </c>
      <c r="C117" s="4" t="s">
        <v>20</v>
      </c>
      <c r="D117" s="4" t="s">
        <v>20</v>
      </c>
      <c r="E117" s="254" t="s">
        <v>20</v>
      </c>
      <c r="F117" s="254" t="s">
        <v>20</v>
      </c>
      <c r="G117" s="254" t="s">
        <v>20</v>
      </c>
      <c r="H117" s="254" t="s">
        <v>20</v>
      </c>
      <c r="I117" s="107" t="s">
        <v>20</v>
      </c>
      <c r="K117" s="864"/>
      <c r="L117" s="61" t="s">
        <v>117</v>
      </c>
      <c r="M117" s="48" t="s">
        <v>20</v>
      </c>
      <c r="N117" s="2" t="s">
        <v>20</v>
      </c>
      <c r="O117" s="2" t="s">
        <v>20</v>
      </c>
      <c r="P117" s="2" t="s">
        <v>20</v>
      </c>
      <c r="Q117" s="2" t="s">
        <v>20</v>
      </c>
      <c r="R117" s="2" t="s">
        <v>20</v>
      </c>
      <c r="S117" s="50" t="s">
        <v>20</v>
      </c>
      <c r="V117" s="864"/>
      <c r="W117" s="61" t="s">
        <v>117</v>
      </c>
      <c r="X117" s="2" t="s">
        <v>20</v>
      </c>
      <c r="Y117" s="2" t="s">
        <v>20</v>
      </c>
      <c r="Z117" s="2" t="s">
        <v>20</v>
      </c>
      <c r="AA117" s="2" t="s">
        <v>20</v>
      </c>
      <c r="AB117" s="2" t="s">
        <v>20</v>
      </c>
      <c r="AC117" s="2" t="s">
        <v>20</v>
      </c>
      <c r="AD117" s="50" t="s">
        <v>20</v>
      </c>
      <c r="AE117" s="51"/>
      <c r="AF117" s="51"/>
    </row>
    <row r="118" spans="1:32" ht="17.25">
      <c r="A118" s="864"/>
      <c r="B118" s="52" t="s">
        <v>126</v>
      </c>
      <c r="C118" s="4" t="s">
        <v>20</v>
      </c>
      <c r="D118" s="4" t="s">
        <v>20</v>
      </c>
      <c r="E118" s="254" t="s">
        <v>20</v>
      </c>
      <c r="F118" s="254" t="s">
        <v>20</v>
      </c>
      <c r="G118" s="254" t="s">
        <v>20</v>
      </c>
      <c r="H118" s="254" t="s">
        <v>20</v>
      </c>
      <c r="I118" s="107" t="s">
        <v>20</v>
      </c>
      <c r="K118" s="864"/>
      <c r="L118" s="61" t="s">
        <v>126</v>
      </c>
      <c r="M118" s="48" t="s">
        <v>20</v>
      </c>
      <c r="N118" s="2" t="s">
        <v>20</v>
      </c>
      <c r="O118" s="2" t="s">
        <v>20</v>
      </c>
      <c r="P118" s="2" t="s">
        <v>20</v>
      </c>
      <c r="Q118" s="2" t="s">
        <v>20</v>
      </c>
      <c r="R118" s="2" t="s">
        <v>20</v>
      </c>
      <c r="S118" s="50" t="s">
        <v>20</v>
      </c>
      <c r="V118" s="864"/>
      <c r="W118" s="61" t="s">
        <v>126</v>
      </c>
      <c r="X118" s="2" t="s">
        <v>20</v>
      </c>
      <c r="Y118" s="2" t="s">
        <v>20</v>
      </c>
      <c r="Z118" s="2" t="s">
        <v>20</v>
      </c>
      <c r="AA118" s="2" t="s">
        <v>20</v>
      </c>
      <c r="AB118" s="2" t="s">
        <v>20</v>
      </c>
      <c r="AC118" s="2" t="s">
        <v>20</v>
      </c>
      <c r="AD118" s="50" t="s">
        <v>20</v>
      </c>
      <c r="AE118" s="51"/>
      <c r="AF118" s="51"/>
    </row>
    <row r="119" spans="1:32" ht="15">
      <c r="A119" s="864"/>
      <c r="B119" s="52" t="s">
        <v>127</v>
      </c>
      <c r="C119" s="4" t="s">
        <v>20</v>
      </c>
      <c r="D119" s="4" t="s">
        <v>20</v>
      </c>
      <c r="E119" s="4" t="s">
        <v>20</v>
      </c>
      <c r="F119" s="4" t="s">
        <v>20</v>
      </c>
      <c r="G119" s="4" t="s">
        <v>20</v>
      </c>
      <c r="H119" s="4" t="s">
        <v>20</v>
      </c>
      <c r="I119" s="245" t="s">
        <v>20</v>
      </c>
      <c r="K119" s="864"/>
      <c r="L119" s="61" t="s">
        <v>127</v>
      </c>
      <c r="M119" s="48" t="s">
        <v>20</v>
      </c>
      <c r="N119" s="2" t="s">
        <v>20</v>
      </c>
      <c r="O119" s="2" t="s">
        <v>20</v>
      </c>
      <c r="P119" s="2" t="s">
        <v>20</v>
      </c>
      <c r="Q119" s="2" t="s">
        <v>20</v>
      </c>
      <c r="R119" s="2" t="s">
        <v>20</v>
      </c>
      <c r="S119" s="50" t="s">
        <v>20</v>
      </c>
      <c r="V119" s="864"/>
      <c r="W119" s="61" t="s">
        <v>127</v>
      </c>
      <c r="X119" s="2" t="s">
        <v>20</v>
      </c>
      <c r="Y119" s="2" t="s">
        <v>20</v>
      </c>
      <c r="Z119" s="2" t="s">
        <v>20</v>
      </c>
      <c r="AA119" s="2" t="s">
        <v>20</v>
      </c>
      <c r="AB119" s="2" t="s">
        <v>20</v>
      </c>
      <c r="AC119" s="2" t="s">
        <v>20</v>
      </c>
      <c r="AD119" s="50" t="s">
        <v>20</v>
      </c>
      <c r="AE119" s="51"/>
      <c r="AF119" s="51"/>
    </row>
    <row r="120" spans="1:32" ht="17.25">
      <c r="A120" s="865"/>
      <c r="B120" s="108" t="s">
        <v>128</v>
      </c>
      <c r="C120" s="379">
        <v>12.15</v>
      </c>
      <c r="D120" s="317">
        <v>12.62</v>
      </c>
      <c r="E120" s="296">
        <v>12.28</v>
      </c>
      <c r="F120" s="296">
        <v>12.27</v>
      </c>
      <c r="G120" s="380">
        <v>12.22</v>
      </c>
      <c r="H120" s="380">
        <v>12.18</v>
      </c>
      <c r="I120" s="381">
        <v>11.92</v>
      </c>
      <c r="K120" s="865"/>
      <c r="L120" s="113" t="s">
        <v>128</v>
      </c>
      <c r="M120" s="32">
        <f t="shared" ref="M120:M122" si="163">($M$9*0.514444)/(C120*((PI()/180)))</f>
        <v>485.19292174202667</v>
      </c>
      <c r="N120" s="32">
        <f t="shared" ref="N120:N122" si="164">($N$9*0.514444)/(D120*((PI()/180)))</f>
        <v>583.90392226283916</v>
      </c>
      <c r="O120" s="78">
        <f t="shared" ref="O120:O128" si="165">($O$9*0.514444)/(E120*((PI()/180)))</f>
        <v>720.08477188505185</v>
      </c>
      <c r="P120" s="78">
        <f t="shared" ref="P120:P128" si="166">($P$9*0.514444)/(F120*((PI()/180)))</f>
        <v>840.78357771310857</v>
      </c>
      <c r="Q120" s="32">
        <f t="shared" ref="Q120:Q128" si="167">($Q$9*0.514444)/(G120*((PI()/180)))</f>
        <v>964.82716843954563</v>
      </c>
      <c r="R120" s="78">
        <f t="shared" ref="R120:R128" si="168">($R$9*0.514444)/(H120*((PI()/180)))</f>
        <v>1088.9951968902017</v>
      </c>
      <c r="S120" s="79">
        <f t="shared" ref="S120:S128" si="169">($S$9*0.514444)/(I120*((PI()/180)))</f>
        <v>1236.3871642545353</v>
      </c>
      <c r="V120" s="865"/>
      <c r="W120" s="113" t="s">
        <v>128</v>
      </c>
      <c r="X120" s="32">
        <f t="shared" ref="X120:AD120" si="170">(C120/M120)*100*12.2354989838484</f>
        <v>30.639629308689742</v>
      </c>
      <c r="Y120" s="32">
        <f t="shared" si="170"/>
        <v>26.444761079487936</v>
      </c>
      <c r="Z120" s="32">
        <f t="shared" si="170"/>
        <v>20.865866546285371</v>
      </c>
      <c r="AA120" s="32">
        <f t="shared" si="170"/>
        <v>17.855911617608562</v>
      </c>
      <c r="AB120" s="32">
        <f t="shared" si="170"/>
        <v>15.496847774762468</v>
      </c>
      <c r="AC120" s="32">
        <f t="shared" si="170"/>
        <v>13.684943519388115</v>
      </c>
      <c r="AD120" s="33">
        <f t="shared" si="170"/>
        <v>11.796236009568226</v>
      </c>
      <c r="AE120" s="7"/>
      <c r="AF120" s="7"/>
    </row>
    <row r="121" spans="1:32" ht="17.25">
      <c r="A121" s="866">
        <v>9.6999999999999993</v>
      </c>
      <c r="B121" s="35" t="s">
        <v>129</v>
      </c>
      <c r="C121" s="382">
        <v>9.94</v>
      </c>
      <c r="D121" s="383">
        <v>13.12</v>
      </c>
      <c r="E121" s="384">
        <v>14.82</v>
      </c>
      <c r="F121" s="385">
        <v>15.88</v>
      </c>
      <c r="G121" s="37">
        <v>16.559999999999999</v>
      </c>
      <c r="H121" s="386">
        <v>16.95</v>
      </c>
      <c r="I121" s="387">
        <v>17.100000000000001</v>
      </c>
      <c r="K121" s="863">
        <v>9.6999999999999993</v>
      </c>
      <c r="L121" s="43" t="s">
        <v>129</v>
      </c>
      <c r="M121" s="122">
        <f t="shared" si="163"/>
        <v>593.06780675710513</v>
      </c>
      <c r="N121" s="122">
        <f t="shared" si="164"/>
        <v>561.65148620099319</v>
      </c>
      <c r="O121" s="123">
        <f t="shared" si="165"/>
        <v>596.66943311392959</v>
      </c>
      <c r="P121" s="123">
        <f t="shared" si="166"/>
        <v>649.64826817001517</v>
      </c>
      <c r="Q121" s="122">
        <f t="shared" si="167"/>
        <v>711.96787429536528</v>
      </c>
      <c r="R121" s="123">
        <f t="shared" si="168"/>
        <v>782.53460165915374</v>
      </c>
      <c r="S121" s="124">
        <f t="shared" si="169"/>
        <v>861.85584783123147</v>
      </c>
      <c r="V121" s="863">
        <v>9.6999999999999993</v>
      </c>
      <c r="W121" s="43" t="s">
        <v>129</v>
      </c>
      <c r="X121" s="122">
        <f t="shared" ref="X121:AD121" si="171">(C121/M121)*100*12.2354989838484</f>
        <v>20.507074994421966</v>
      </c>
      <c r="Y121" s="122">
        <f t="shared" si="171"/>
        <v>28.581736292360429</v>
      </c>
      <c r="Z121" s="122">
        <f t="shared" si="171"/>
        <v>30.390377800032141</v>
      </c>
      <c r="AA121" s="122">
        <f t="shared" si="171"/>
        <v>29.908449446164568</v>
      </c>
      <c r="AB121" s="122">
        <f t="shared" si="171"/>
        <v>28.4591300377229</v>
      </c>
      <c r="AC121" s="122">
        <f t="shared" si="171"/>
        <v>26.502560696550944</v>
      </c>
      <c r="AD121" s="125">
        <f t="shared" si="171"/>
        <v>24.276337295883671</v>
      </c>
      <c r="AE121" s="7"/>
      <c r="AF121" s="7"/>
    </row>
    <row r="122" spans="1:32" ht="17.25">
      <c r="A122" s="864"/>
      <c r="B122" s="52" t="s">
        <v>130</v>
      </c>
      <c r="C122" s="388">
        <v>9.94</v>
      </c>
      <c r="D122" s="214">
        <v>12.62</v>
      </c>
      <c r="E122" s="294">
        <v>14.15</v>
      </c>
      <c r="F122" s="141">
        <v>15.16</v>
      </c>
      <c r="G122" s="158">
        <v>15.84</v>
      </c>
      <c r="H122" s="97">
        <v>16.170000000000002</v>
      </c>
      <c r="I122" s="275">
        <v>16.41</v>
      </c>
      <c r="K122" s="864"/>
      <c r="L122" s="61" t="s">
        <v>130</v>
      </c>
      <c r="M122" s="21">
        <f t="shared" si="163"/>
        <v>593.06780675710513</v>
      </c>
      <c r="N122" s="21">
        <f t="shared" si="164"/>
        <v>583.90392226283916</v>
      </c>
      <c r="O122" s="44">
        <f t="shared" si="165"/>
        <v>624.92162535324644</v>
      </c>
      <c r="P122" s="44">
        <f t="shared" si="166"/>
        <v>680.50227562927716</v>
      </c>
      <c r="Q122" s="21">
        <f t="shared" si="167"/>
        <v>744.3300503997001</v>
      </c>
      <c r="R122" s="44">
        <f t="shared" si="168"/>
        <v>820.28209635885298</v>
      </c>
      <c r="S122" s="45">
        <f t="shared" si="169"/>
        <v>898.09475916600002</v>
      </c>
      <c r="V122" s="864"/>
      <c r="W122" s="61" t="s">
        <v>130</v>
      </c>
      <c r="X122" s="21">
        <f t="shared" ref="X122:AD122" si="172">(C122/M122)*100*12.2354989838484</f>
        <v>20.507074994421966</v>
      </c>
      <c r="Y122" s="21">
        <f t="shared" si="172"/>
        <v>26.444761079487936</v>
      </c>
      <c r="Z122" s="21">
        <f t="shared" si="172"/>
        <v>27.704643846112575</v>
      </c>
      <c r="AA122" s="21">
        <f t="shared" si="172"/>
        <v>27.25783163966857</v>
      </c>
      <c r="AB122" s="21">
        <f t="shared" si="172"/>
        <v>26.038221055307908</v>
      </c>
      <c r="AC122" s="21">
        <f t="shared" si="172"/>
        <v>24.119509550074962</v>
      </c>
      <c r="AD122" s="22">
        <f t="shared" si="172"/>
        <v>22.356720855537258</v>
      </c>
      <c r="AE122" s="7"/>
      <c r="AF122" s="7"/>
    </row>
    <row r="123" spans="1:32" ht="17.25">
      <c r="A123" s="864"/>
      <c r="B123" s="52" t="s">
        <v>131</v>
      </c>
      <c r="C123" s="4" t="s">
        <v>15</v>
      </c>
      <c r="D123" s="4" t="s">
        <v>15</v>
      </c>
      <c r="E123" s="312">
        <v>12.69</v>
      </c>
      <c r="F123" s="64">
        <v>13.92</v>
      </c>
      <c r="G123" s="152">
        <v>14.27</v>
      </c>
      <c r="H123" s="63">
        <v>14.53</v>
      </c>
      <c r="I123" s="315">
        <v>14.71</v>
      </c>
      <c r="K123" s="864"/>
      <c r="L123" s="61" t="s">
        <v>131</v>
      </c>
      <c r="M123" s="48" t="s">
        <v>20</v>
      </c>
      <c r="N123" s="2" t="s">
        <v>20</v>
      </c>
      <c r="O123" s="44">
        <f t="shared" si="165"/>
        <v>696.81962165078312</v>
      </c>
      <c r="P123" s="44">
        <f t="shared" si="166"/>
        <v>741.12173121694264</v>
      </c>
      <c r="Q123" s="21">
        <f t="shared" si="167"/>
        <v>826.2220040876839</v>
      </c>
      <c r="R123" s="44">
        <f t="shared" si="168"/>
        <v>912.86727447506235</v>
      </c>
      <c r="S123" s="45">
        <f t="shared" si="169"/>
        <v>1001.8854519316152</v>
      </c>
      <c r="V123" s="864"/>
      <c r="W123" s="61" t="s">
        <v>131</v>
      </c>
      <c r="X123" s="2" t="s">
        <v>20</v>
      </c>
      <c r="Y123" s="2" t="s">
        <v>20</v>
      </c>
      <c r="Z123" s="2" t="s">
        <v>20</v>
      </c>
      <c r="AA123" s="21">
        <f t="shared" ref="AA123:AD123" si="173">(F123/P123)*100*12.2354989838484</f>
        <v>22.981129641887918</v>
      </c>
      <c r="AB123" s="21">
        <f t="shared" si="173"/>
        <v>21.132403837672051</v>
      </c>
      <c r="AC123" s="21">
        <f t="shared" si="173"/>
        <v>19.475098429566266</v>
      </c>
      <c r="AD123" s="22">
        <f t="shared" si="173"/>
        <v>17.964547714052944</v>
      </c>
      <c r="AE123" s="7"/>
      <c r="AF123" s="7"/>
    </row>
    <row r="124" spans="1:32" ht="17.25">
      <c r="A124" s="864"/>
      <c r="B124" s="52" t="s">
        <v>132</v>
      </c>
      <c r="C124" s="4" t="s">
        <v>20</v>
      </c>
      <c r="D124" s="4" t="s">
        <v>20</v>
      </c>
      <c r="E124" s="389">
        <v>10.199999999999999</v>
      </c>
      <c r="F124" s="282">
        <v>11.34</v>
      </c>
      <c r="G124" s="256">
        <v>12.17</v>
      </c>
      <c r="H124" s="258">
        <v>12.79</v>
      </c>
      <c r="I124" s="154">
        <v>13.07</v>
      </c>
      <c r="K124" s="864"/>
      <c r="L124" s="61" t="s">
        <v>132</v>
      </c>
      <c r="M124" s="48" t="s">
        <v>20</v>
      </c>
      <c r="N124" s="2" t="s">
        <v>20</v>
      </c>
      <c r="O124" s="44">
        <f t="shared" si="165"/>
        <v>866.92558811259187</v>
      </c>
      <c r="P124" s="44">
        <f t="shared" si="166"/>
        <v>909.73672826630002</v>
      </c>
      <c r="Q124" s="21">
        <f t="shared" si="167"/>
        <v>968.79112558186114</v>
      </c>
      <c r="R124" s="44">
        <f t="shared" si="168"/>
        <v>1037.0571929728424</v>
      </c>
      <c r="S124" s="45">
        <f t="shared" si="169"/>
        <v>1127.6002293736847</v>
      </c>
      <c r="V124" s="864"/>
      <c r="W124" s="61" t="s">
        <v>132</v>
      </c>
      <c r="X124" s="2" t="s">
        <v>20</v>
      </c>
      <c r="Y124" s="2" t="s">
        <v>20</v>
      </c>
      <c r="Z124" s="2" t="s">
        <v>20</v>
      </c>
      <c r="AA124" s="21">
        <f t="shared" ref="AA124:AD124" si="174">(F124/P124)*100*12.2354989838484</f>
        <v>15.251726589214448</v>
      </c>
      <c r="AB124" s="21">
        <f t="shared" si="174"/>
        <v>15.370291768930198</v>
      </c>
      <c r="AC124" s="21">
        <f t="shared" si="174"/>
        <v>15.090009795392174</v>
      </c>
      <c r="AD124" s="22">
        <f t="shared" si="174"/>
        <v>14.182151400210657</v>
      </c>
      <c r="AE124" s="7"/>
      <c r="AF124" s="7"/>
    </row>
    <row r="125" spans="1:32" ht="17.25">
      <c r="A125" s="864"/>
      <c r="B125" s="52" t="s">
        <v>133</v>
      </c>
      <c r="C125" s="4" t="s">
        <v>20</v>
      </c>
      <c r="D125" s="4" t="s">
        <v>20</v>
      </c>
      <c r="E125" s="389">
        <v>10.199999999999999</v>
      </c>
      <c r="F125" s="282">
        <v>11.34</v>
      </c>
      <c r="G125" s="256">
        <v>12.17</v>
      </c>
      <c r="H125" s="258">
        <v>12.79</v>
      </c>
      <c r="I125" s="154">
        <v>13.07</v>
      </c>
      <c r="K125" s="864"/>
      <c r="L125" s="61" t="s">
        <v>133</v>
      </c>
      <c r="M125" s="48" t="s">
        <v>20</v>
      </c>
      <c r="N125" s="2" t="s">
        <v>20</v>
      </c>
      <c r="O125" s="44">
        <f t="shared" si="165"/>
        <v>866.92558811259187</v>
      </c>
      <c r="P125" s="44">
        <f t="shared" si="166"/>
        <v>909.73672826630002</v>
      </c>
      <c r="Q125" s="21">
        <f t="shared" si="167"/>
        <v>968.79112558186114</v>
      </c>
      <c r="R125" s="44">
        <f t="shared" si="168"/>
        <v>1037.0571929728424</v>
      </c>
      <c r="S125" s="45">
        <f t="shared" si="169"/>
        <v>1127.6002293736847</v>
      </c>
      <c r="V125" s="864"/>
      <c r="W125" s="61" t="s">
        <v>133</v>
      </c>
      <c r="X125" s="2" t="s">
        <v>20</v>
      </c>
      <c r="Y125" s="2" t="s">
        <v>20</v>
      </c>
      <c r="Z125" s="2" t="s">
        <v>20</v>
      </c>
      <c r="AA125" s="21">
        <f t="shared" ref="AA125:AD125" si="175">(F125/P125)*100*12.2354989838484</f>
        <v>15.251726589214448</v>
      </c>
      <c r="AB125" s="21">
        <f t="shared" si="175"/>
        <v>15.370291768930198</v>
      </c>
      <c r="AC125" s="21">
        <f t="shared" si="175"/>
        <v>15.090009795392174</v>
      </c>
      <c r="AD125" s="22">
        <f t="shared" si="175"/>
        <v>14.182151400210657</v>
      </c>
      <c r="AE125" s="7"/>
      <c r="AF125" s="7"/>
    </row>
    <row r="126" spans="1:32" ht="17.25">
      <c r="A126" s="864"/>
      <c r="B126" s="52" t="s">
        <v>134</v>
      </c>
      <c r="C126" s="4" t="s">
        <v>15</v>
      </c>
      <c r="D126" s="4" t="s">
        <v>15</v>
      </c>
      <c r="E126" s="255">
        <v>10.58</v>
      </c>
      <c r="F126" s="362">
        <v>11.98</v>
      </c>
      <c r="G126" s="256">
        <v>12.17</v>
      </c>
      <c r="H126" s="332">
        <v>12.06</v>
      </c>
      <c r="I126" s="390">
        <v>11.08</v>
      </c>
      <c r="K126" s="864"/>
      <c r="L126" s="61" t="s">
        <v>134</v>
      </c>
      <c r="M126" s="48" t="s">
        <v>20</v>
      </c>
      <c r="N126" s="2" t="s">
        <v>20</v>
      </c>
      <c r="O126" s="44">
        <f t="shared" si="165"/>
        <v>835.78837417282011</v>
      </c>
      <c r="P126" s="44">
        <f t="shared" si="166"/>
        <v>861.1364356043274</v>
      </c>
      <c r="Q126" s="21">
        <f t="shared" si="167"/>
        <v>968.79112558186114</v>
      </c>
      <c r="R126" s="44">
        <f t="shared" si="168"/>
        <v>1099.8309699935867</v>
      </c>
      <c r="S126" s="45">
        <f t="shared" si="169"/>
        <v>1330.1204871763591</v>
      </c>
      <c r="V126" s="864"/>
      <c r="W126" s="61" t="s">
        <v>134</v>
      </c>
      <c r="X126" s="2" t="s">
        <v>20</v>
      </c>
      <c r="Y126" s="2" t="s">
        <v>20</v>
      </c>
      <c r="Z126" s="2" t="s">
        <v>20</v>
      </c>
      <c r="AA126" s="21">
        <f t="shared" ref="AA126:AD126" si="176">(F126/P126)*100*12.2354989838484</f>
        <v>17.021841344297108</v>
      </c>
      <c r="AB126" s="21">
        <f t="shared" si="176"/>
        <v>15.370291768930198</v>
      </c>
      <c r="AC126" s="21">
        <f t="shared" si="176"/>
        <v>13.416617805013452</v>
      </c>
      <c r="AD126" s="22">
        <f t="shared" si="176"/>
        <v>10.192259276363231</v>
      </c>
      <c r="AE126" s="7"/>
      <c r="AF126" s="7"/>
    </row>
    <row r="127" spans="1:32" ht="17.25">
      <c r="A127" s="864"/>
      <c r="B127" s="52" t="s">
        <v>135</v>
      </c>
      <c r="C127" s="4" t="s">
        <v>15</v>
      </c>
      <c r="D127" s="4" t="s">
        <v>15</v>
      </c>
      <c r="E127" s="255">
        <v>10.58</v>
      </c>
      <c r="F127" s="362">
        <v>11.98</v>
      </c>
      <c r="G127" s="256">
        <v>12.17</v>
      </c>
      <c r="H127" s="332">
        <v>12.06</v>
      </c>
      <c r="I127" s="391">
        <v>11.74</v>
      </c>
      <c r="K127" s="864"/>
      <c r="L127" s="61" t="s">
        <v>135</v>
      </c>
      <c r="M127" s="48" t="s">
        <v>20</v>
      </c>
      <c r="N127" s="2" t="s">
        <v>20</v>
      </c>
      <c r="O127" s="44">
        <f t="shared" si="165"/>
        <v>835.78837417282011</v>
      </c>
      <c r="P127" s="44">
        <f t="shared" si="166"/>
        <v>861.1364356043274</v>
      </c>
      <c r="Q127" s="21">
        <f t="shared" si="167"/>
        <v>968.79112558186114</v>
      </c>
      <c r="R127" s="44">
        <f t="shared" si="168"/>
        <v>1099.8309699935867</v>
      </c>
      <c r="S127" s="45">
        <f t="shared" si="169"/>
        <v>1255.3436965855246</v>
      </c>
      <c r="V127" s="864"/>
      <c r="W127" s="61" t="s">
        <v>135</v>
      </c>
      <c r="X127" s="2" t="s">
        <v>20</v>
      </c>
      <c r="Y127" s="2" t="s">
        <v>20</v>
      </c>
      <c r="Z127" s="2" t="s">
        <v>20</v>
      </c>
      <c r="AA127" s="21">
        <f t="shared" ref="AA127:AD127" si="177">(F127/P127)*100*12.2354989838484</f>
        <v>17.021841344297108</v>
      </c>
      <c r="AB127" s="21">
        <f t="shared" si="177"/>
        <v>15.370291768930198</v>
      </c>
      <c r="AC127" s="21">
        <f t="shared" si="177"/>
        <v>13.416617805013452</v>
      </c>
      <c r="AD127" s="22">
        <f t="shared" si="177"/>
        <v>11.442663747074777</v>
      </c>
      <c r="AE127" s="7"/>
      <c r="AF127" s="7"/>
    </row>
    <row r="128" spans="1:32" ht="17.25">
      <c r="A128" s="864"/>
      <c r="B128" s="52" t="s">
        <v>136</v>
      </c>
      <c r="C128" s="18" t="s">
        <v>20</v>
      </c>
      <c r="D128" s="92">
        <v>16.72</v>
      </c>
      <c r="E128" s="174">
        <v>17.66</v>
      </c>
      <c r="F128" s="162">
        <v>17.68</v>
      </c>
      <c r="G128" s="130">
        <v>18.23</v>
      </c>
      <c r="H128" s="99">
        <v>17.920000000000002</v>
      </c>
      <c r="I128" s="392">
        <v>17.23</v>
      </c>
      <c r="K128" s="864"/>
      <c r="L128" s="61" t="s">
        <v>136</v>
      </c>
      <c r="M128" s="48" t="s">
        <v>20</v>
      </c>
      <c r="N128" s="21">
        <f>($N$9*0.514444)/(D128*((PI()/180)))</f>
        <v>440.72174036824345</v>
      </c>
      <c r="O128" s="44">
        <f t="shared" si="165"/>
        <v>500.71579834362603</v>
      </c>
      <c r="P128" s="44">
        <f t="shared" si="166"/>
        <v>583.50760738347526</v>
      </c>
      <c r="Q128" s="21">
        <f t="shared" si="167"/>
        <v>646.74646178448972</v>
      </c>
      <c r="R128" s="44">
        <f t="shared" si="168"/>
        <v>740.17642288630884</v>
      </c>
      <c r="S128" s="45">
        <f t="shared" si="169"/>
        <v>855.35316296657345</v>
      </c>
      <c r="V128" s="864"/>
      <c r="W128" s="61" t="s">
        <v>136</v>
      </c>
      <c r="X128" s="2" t="s">
        <v>20</v>
      </c>
      <c r="Y128" s="21">
        <f t="shared" ref="Y128:AD128" si="178">(D128/N128)*100*12.2354989838484</f>
        <v>46.418754572672363</v>
      </c>
      <c r="Z128" s="21">
        <f t="shared" si="178"/>
        <v>43.15400328281121</v>
      </c>
      <c r="AA128" s="21">
        <f t="shared" si="178"/>
        <v>37.072973736274534</v>
      </c>
      <c r="AB128" s="21">
        <f t="shared" si="178"/>
        <v>34.488498918125138</v>
      </c>
      <c r="AC128" s="21">
        <f t="shared" si="178"/>
        <v>29.622686566475746</v>
      </c>
      <c r="AD128" s="22">
        <f t="shared" si="178"/>
        <v>24.646854260822614</v>
      </c>
      <c r="AE128" s="7"/>
      <c r="AF128" s="7"/>
    </row>
    <row r="129" spans="1:32" ht="15">
      <c r="A129" s="864"/>
      <c r="B129" s="52" t="s">
        <v>137</v>
      </c>
      <c r="C129" s="4" t="s">
        <v>15</v>
      </c>
      <c r="D129" s="4" t="s">
        <v>15</v>
      </c>
      <c r="E129" s="4" t="s">
        <v>15</v>
      </c>
      <c r="F129" s="4" t="s">
        <v>15</v>
      </c>
      <c r="G129" s="4" t="s">
        <v>15</v>
      </c>
      <c r="H129" s="4" t="s">
        <v>15</v>
      </c>
      <c r="I129" s="245" t="s">
        <v>15</v>
      </c>
      <c r="K129" s="864"/>
      <c r="L129" s="61" t="s">
        <v>137</v>
      </c>
      <c r="M129" s="48" t="s">
        <v>20</v>
      </c>
      <c r="N129" s="2" t="s">
        <v>20</v>
      </c>
      <c r="O129" s="2" t="s">
        <v>20</v>
      </c>
      <c r="P129" s="2" t="s">
        <v>20</v>
      </c>
      <c r="Q129" s="2" t="s">
        <v>20</v>
      </c>
      <c r="R129" s="2" t="s">
        <v>20</v>
      </c>
      <c r="S129" s="50" t="s">
        <v>20</v>
      </c>
      <c r="V129" s="864"/>
      <c r="W129" s="61" t="s">
        <v>137</v>
      </c>
      <c r="X129" s="2" t="s">
        <v>20</v>
      </c>
      <c r="Y129" s="2" t="s">
        <v>20</v>
      </c>
      <c r="Z129" s="2" t="s">
        <v>20</v>
      </c>
      <c r="AA129" s="2" t="s">
        <v>20</v>
      </c>
      <c r="AB129" s="2" t="s">
        <v>20</v>
      </c>
      <c r="AC129" s="2" t="s">
        <v>20</v>
      </c>
      <c r="AD129" s="50" t="s">
        <v>20</v>
      </c>
      <c r="AE129" s="51"/>
      <c r="AF129" s="51"/>
    </row>
    <row r="130" spans="1:32" ht="17.25">
      <c r="A130" s="864"/>
      <c r="B130" s="231" t="s">
        <v>138</v>
      </c>
      <c r="C130" s="271">
        <v>10.24</v>
      </c>
      <c r="D130" s="327">
        <v>12.94</v>
      </c>
      <c r="E130" s="201">
        <v>13.77</v>
      </c>
      <c r="F130" s="66">
        <v>15.13</v>
      </c>
      <c r="G130" s="158">
        <v>15.9</v>
      </c>
      <c r="H130" s="97">
        <v>16.22</v>
      </c>
      <c r="I130" s="261">
        <v>13.66</v>
      </c>
      <c r="K130" s="864"/>
      <c r="L130" s="69" t="s">
        <v>138</v>
      </c>
      <c r="M130" s="21">
        <f>($M$9*0.514444)/(C130*((PI()/180)))</f>
        <v>575.69277335601794</v>
      </c>
      <c r="N130" s="21">
        <f t="shared" ref="N130:N132" si="179">($N$9*0.514444)/(D130*((PI()/180)))</f>
        <v>569.4642580337736</v>
      </c>
      <c r="O130" s="44">
        <f t="shared" ref="O130:O151" si="180">($O$9*0.514444)/(E130*((PI()/180)))</f>
        <v>642.16710230562364</v>
      </c>
      <c r="P130" s="44">
        <f t="shared" ref="P130:P151" si="181">($P$9*0.514444)/(F130*((PI()/180)))</f>
        <v>681.85158615597106</v>
      </c>
      <c r="Q130" s="21">
        <f t="shared" ref="Q130:Q151" si="182">($Q$9*0.514444)/(G130*((PI()/180)))</f>
        <v>741.5212577566823</v>
      </c>
      <c r="R130" s="44">
        <f t="shared" ref="R130:R151" si="183">($R$9*0.514444)/(H130*((PI()/180)))</f>
        <v>817.75348323814148</v>
      </c>
      <c r="S130" s="45">
        <f t="shared" ref="S130:S151" si="184">($S$9*0.514444)/(I130*((PI()/180)))</f>
        <v>1078.8971447960512</v>
      </c>
      <c r="V130" s="864"/>
      <c r="W130" s="69" t="s">
        <v>138</v>
      </c>
      <c r="X130" s="21">
        <f t="shared" ref="X130:AD130" si="185">(C130/M130)*100*12.2354989838484</f>
        <v>21.763606457002592</v>
      </c>
      <c r="Y130" s="21">
        <f t="shared" si="185"/>
        <v>27.802861130857536</v>
      </c>
      <c r="Z130" s="21">
        <f t="shared" si="185"/>
        <v>26.236601096922467</v>
      </c>
      <c r="AA130" s="21">
        <f t="shared" si="185"/>
        <v>27.150057781530194</v>
      </c>
      <c r="AB130" s="21">
        <f t="shared" si="185"/>
        <v>26.235853902792098</v>
      </c>
      <c r="AC130" s="21">
        <f t="shared" si="185"/>
        <v>24.268902253055487</v>
      </c>
      <c r="AD130" s="22">
        <f t="shared" si="185"/>
        <v>15.491459674866764</v>
      </c>
      <c r="AE130" s="7"/>
      <c r="AF130" s="7"/>
    </row>
    <row r="131" spans="1:32" ht="17.25">
      <c r="A131" s="864"/>
      <c r="B131" s="52" t="s">
        <v>139</v>
      </c>
      <c r="C131" s="18" t="s">
        <v>20</v>
      </c>
      <c r="D131" s="90">
        <v>15.83</v>
      </c>
      <c r="E131" s="343">
        <v>16.920000000000002</v>
      </c>
      <c r="F131" s="93">
        <v>17.05</v>
      </c>
      <c r="G131" s="162">
        <v>17.68</v>
      </c>
      <c r="H131" s="277">
        <v>17.43</v>
      </c>
      <c r="I131" s="344">
        <v>16.8</v>
      </c>
      <c r="K131" s="864"/>
      <c r="L131" s="61" t="s">
        <v>139</v>
      </c>
      <c r="M131" s="48" t="s">
        <v>20</v>
      </c>
      <c r="N131" s="21">
        <f t="shared" si="179"/>
        <v>465.50015786209912</v>
      </c>
      <c r="O131" s="44">
        <f t="shared" si="180"/>
        <v>522.61471623808723</v>
      </c>
      <c r="P131" s="44">
        <f t="shared" si="181"/>
        <v>605.06829903459482</v>
      </c>
      <c r="Q131" s="21">
        <f t="shared" si="182"/>
        <v>666.86583700968606</v>
      </c>
      <c r="R131" s="44">
        <f t="shared" si="183"/>
        <v>760.98459541724924</v>
      </c>
      <c r="S131" s="45">
        <f t="shared" si="184"/>
        <v>877.24613082821782</v>
      </c>
      <c r="V131" s="864"/>
      <c r="W131" s="61" t="s">
        <v>139</v>
      </c>
      <c r="X131" s="2" t="s">
        <v>20</v>
      </c>
      <c r="Y131" s="21">
        <f t="shared" ref="Y131:AD131" si="186">(D131/N131)*100*12.2354989838484</f>
        <v>41.608567826028271</v>
      </c>
      <c r="Z131" s="21">
        <f t="shared" si="186"/>
        <v>39.613244015960866</v>
      </c>
      <c r="AA131" s="21">
        <f t="shared" si="186"/>
        <v>34.477968521482175</v>
      </c>
      <c r="AB131" s="21">
        <f t="shared" si="186"/>
        <v>32.438852019240215</v>
      </c>
      <c r="AC131" s="21">
        <f t="shared" si="186"/>
        <v>28.024844204834938</v>
      </c>
      <c r="AD131" s="22">
        <f t="shared" si="186"/>
        <v>23.432007928559916</v>
      </c>
      <c r="AE131" s="7"/>
      <c r="AF131" s="7"/>
    </row>
    <row r="132" spans="1:32" ht="17.25">
      <c r="A132" s="864"/>
      <c r="B132" s="52" t="s">
        <v>140</v>
      </c>
      <c r="C132" s="393">
        <v>11.86</v>
      </c>
      <c r="D132" s="207">
        <v>12.53</v>
      </c>
      <c r="E132" s="214">
        <v>12.65</v>
      </c>
      <c r="F132" s="214">
        <v>12.62</v>
      </c>
      <c r="G132" s="214">
        <v>12.58</v>
      </c>
      <c r="H132" s="325">
        <v>12.43</v>
      </c>
      <c r="I132" s="394">
        <v>11.96</v>
      </c>
      <c r="K132" s="864"/>
      <c r="L132" s="61" t="s">
        <v>140</v>
      </c>
      <c r="M132" s="21">
        <f>($M$9*0.514444)/(C132*((PI()/180)))</f>
        <v>497.05682960924321</v>
      </c>
      <c r="N132" s="21">
        <f t="shared" si="179"/>
        <v>588.09796480103989</v>
      </c>
      <c r="O132" s="44">
        <f t="shared" si="180"/>
        <v>699.02300385363139</v>
      </c>
      <c r="P132" s="44">
        <f t="shared" si="181"/>
        <v>817.46549116797485</v>
      </c>
      <c r="Q132" s="21">
        <f t="shared" si="182"/>
        <v>937.21685201361288</v>
      </c>
      <c r="R132" s="44">
        <f t="shared" si="183"/>
        <v>1067.0926386261187</v>
      </c>
      <c r="S132" s="45">
        <f t="shared" si="184"/>
        <v>1232.2520901265937</v>
      </c>
      <c r="V132" s="864"/>
      <c r="W132" s="61" t="s">
        <v>140</v>
      </c>
      <c r="X132" s="21">
        <f t="shared" ref="X132:AD132" si="187">(C132/M132)*100*12.2354989838484</f>
        <v>29.194452083581936</v>
      </c>
      <c r="Y132" s="21">
        <f t="shared" si="187"/>
        <v>26.068922431909318</v>
      </c>
      <c r="Z132" s="21">
        <f t="shared" si="187"/>
        <v>22.142198653320929</v>
      </c>
      <c r="AA132" s="21">
        <f t="shared" si="187"/>
        <v>18.889115056777097</v>
      </c>
      <c r="AB132" s="21">
        <f t="shared" si="187"/>
        <v>16.423368496427461</v>
      </c>
      <c r="AC132" s="21">
        <f t="shared" si="187"/>
        <v>14.252488196811839</v>
      </c>
      <c r="AD132" s="22">
        <f t="shared" si="187"/>
        <v>11.875538213272026</v>
      </c>
      <c r="AE132" s="7"/>
      <c r="AF132" s="7"/>
    </row>
    <row r="133" spans="1:32" ht="17.25">
      <c r="A133" s="864"/>
      <c r="B133" s="52" t="s">
        <v>141</v>
      </c>
      <c r="C133" s="4" t="s">
        <v>15</v>
      </c>
      <c r="D133" s="4" t="s">
        <v>15</v>
      </c>
      <c r="E133" s="146">
        <v>14.7</v>
      </c>
      <c r="F133" s="141">
        <v>15.16</v>
      </c>
      <c r="G133" s="395">
        <v>15.21</v>
      </c>
      <c r="H133" s="396">
        <v>15</v>
      </c>
      <c r="I133" s="286">
        <v>14.6</v>
      </c>
      <c r="K133" s="864"/>
      <c r="L133" s="61" t="s">
        <v>141</v>
      </c>
      <c r="M133" s="48" t="s">
        <v>20</v>
      </c>
      <c r="N133" s="2" t="s">
        <v>20</v>
      </c>
      <c r="O133" s="44">
        <f t="shared" si="180"/>
        <v>601.54020399649232</v>
      </c>
      <c r="P133" s="44">
        <f t="shared" si="181"/>
        <v>680.50227562927716</v>
      </c>
      <c r="Q133" s="21">
        <f t="shared" si="182"/>
        <v>775.16028917365213</v>
      </c>
      <c r="R133" s="44">
        <f t="shared" si="183"/>
        <v>884.26409987484374</v>
      </c>
      <c r="S133" s="45">
        <f t="shared" si="184"/>
        <v>1009.4339039667163</v>
      </c>
      <c r="V133" s="864"/>
      <c r="W133" s="61" t="s">
        <v>141</v>
      </c>
      <c r="X133" s="2" t="s">
        <v>20</v>
      </c>
      <c r="Y133" s="2" t="s">
        <v>20</v>
      </c>
      <c r="Z133" s="2" t="s">
        <v>20</v>
      </c>
      <c r="AA133" s="21">
        <f t="shared" ref="AA133:AD133" si="188">(F133/P133)*100*12.2354989838484</f>
        <v>27.25783163966857</v>
      </c>
      <c r="AB133" s="21">
        <f t="shared" si="188"/>
        <v>24.008188002345335</v>
      </c>
      <c r="AC133" s="21">
        <f t="shared" si="188"/>
        <v>20.755392510416591</v>
      </c>
      <c r="AD133" s="22">
        <f t="shared" si="188"/>
        <v>17.696877870081604</v>
      </c>
      <c r="AE133" s="7"/>
      <c r="AF133" s="7"/>
    </row>
    <row r="134" spans="1:32" ht="17.25">
      <c r="A134" s="864"/>
      <c r="B134" s="52" t="s">
        <v>142</v>
      </c>
      <c r="C134" s="4" t="s">
        <v>15</v>
      </c>
      <c r="D134" s="4" t="s">
        <v>15</v>
      </c>
      <c r="E134" s="307">
        <v>15.07</v>
      </c>
      <c r="F134" s="127">
        <v>16.420000000000002</v>
      </c>
      <c r="G134" s="157">
        <v>16.03</v>
      </c>
      <c r="H134" s="92">
        <v>16.7</v>
      </c>
      <c r="I134" s="275">
        <v>16.36</v>
      </c>
      <c r="K134" s="864"/>
      <c r="L134" s="61" t="s">
        <v>142</v>
      </c>
      <c r="M134" s="48" t="s">
        <v>20</v>
      </c>
      <c r="N134" s="2" t="s">
        <v>20</v>
      </c>
      <c r="O134" s="44">
        <f t="shared" si="180"/>
        <v>586.7711346216613</v>
      </c>
      <c r="P134" s="44">
        <f t="shared" si="181"/>
        <v>628.28346519731065</v>
      </c>
      <c r="Q134" s="21">
        <f t="shared" si="182"/>
        <v>735.50767300881148</v>
      </c>
      <c r="R134" s="44">
        <f t="shared" si="183"/>
        <v>794.24919150435062</v>
      </c>
      <c r="S134" s="45">
        <f t="shared" si="184"/>
        <v>900.83954754975912</v>
      </c>
      <c r="V134" s="864"/>
      <c r="W134" s="61" t="s">
        <v>142</v>
      </c>
      <c r="X134" s="2" t="s">
        <v>20</v>
      </c>
      <c r="Y134" s="2" t="s">
        <v>20</v>
      </c>
      <c r="Z134" s="2" t="s">
        <v>20</v>
      </c>
      <c r="AA134" s="21">
        <f t="shared" ref="AA134:AD134" si="189">(F134/P134)*100*12.2354989838484</f>
        <v>31.97710976711706</v>
      </c>
      <c r="AB134" s="21">
        <f t="shared" si="189"/>
        <v>26.666621696649539</v>
      </c>
      <c r="AC134" s="21">
        <f t="shared" si="189"/>
        <v>25.726539632133701</v>
      </c>
      <c r="AD134" s="22">
        <f t="shared" si="189"/>
        <v>22.22069001302399</v>
      </c>
      <c r="AE134" s="7"/>
      <c r="AF134" s="7"/>
    </row>
    <row r="135" spans="1:32" ht="17.25">
      <c r="A135" s="864"/>
      <c r="B135" s="52" t="s">
        <v>143</v>
      </c>
      <c r="C135" s="4" t="s">
        <v>15</v>
      </c>
      <c r="D135" s="4" t="s">
        <v>15</v>
      </c>
      <c r="E135" s="325">
        <v>12.47</v>
      </c>
      <c r="F135" s="215">
        <v>13.26</v>
      </c>
      <c r="G135" s="215">
        <v>13.28</v>
      </c>
      <c r="H135" s="215">
        <v>13.28</v>
      </c>
      <c r="I135" s="154">
        <v>13.07</v>
      </c>
      <c r="K135" s="864"/>
      <c r="L135" s="61" t="s">
        <v>143</v>
      </c>
      <c r="M135" s="48" t="s">
        <v>20</v>
      </c>
      <c r="N135" s="2" t="s">
        <v>20</v>
      </c>
      <c r="O135" s="44">
        <f t="shared" si="180"/>
        <v>709.11315146338711</v>
      </c>
      <c r="P135" s="44">
        <f t="shared" si="181"/>
        <v>778.01014317796694</v>
      </c>
      <c r="Q135" s="21">
        <f t="shared" si="182"/>
        <v>887.81536132012423</v>
      </c>
      <c r="R135" s="44">
        <f t="shared" si="183"/>
        <v>998.79228148513971</v>
      </c>
      <c r="S135" s="45">
        <f t="shared" si="184"/>
        <v>1127.6002293736847</v>
      </c>
      <c r="V135" s="864"/>
      <c r="W135" s="61" t="s">
        <v>143</v>
      </c>
      <c r="X135" s="2" t="s">
        <v>20</v>
      </c>
      <c r="Y135" s="2" t="s">
        <v>20</v>
      </c>
      <c r="Z135" s="2" t="s">
        <v>20</v>
      </c>
      <c r="AA135" s="21">
        <f t="shared" ref="AA135:AD135" si="190">(F135/P135)*100*12.2354989838484</f>
        <v>20.853547726654426</v>
      </c>
      <c r="AB135" s="21">
        <f t="shared" si="190"/>
        <v>18.301939072545267</v>
      </c>
      <c r="AC135" s="21">
        <f t="shared" si="190"/>
        <v>16.268390286706904</v>
      </c>
      <c r="AD135" s="22">
        <f t="shared" si="190"/>
        <v>14.182151400210657</v>
      </c>
      <c r="AE135" s="7"/>
      <c r="AF135" s="7"/>
    </row>
    <row r="136" spans="1:32" ht="17.25">
      <c r="A136" s="864"/>
      <c r="B136" s="52" t="s">
        <v>144</v>
      </c>
      <c r="C136" s="4" t="s">
        <v>15</v>
      </c>
      <c r="D136" s="4" t="s">
        <v>15</v>
      </c>
      <c r="E136" s="255">
        <v>10.58</v>
      </c>
      <c r="F136" s="362">
        <v>11.98</v>
      </c>
      <c r="G136" s="256">
        <v>12.17</v>
      </c>
      <c r="H136" s="332">
        <v>12.06</v>
      </c>
      <c r="I136" s="390">
        <v>11.08</v>
      </c>
      <c r="K136" s="864"/>
      <c r="L136" s="61" t="s">
        <v>144</v>
      </c>
      <c r="M136" s="48" t="s">
        <v>20</v>
      </c>
      <c r="N136" s="2" t="s">
        <v>20</v>
      </c>
      <c r="O136" s="44">
        <f t="shared" si="180"/>
        <v>835.78837417282011</v>
      </c>
      <c r="P136" s="44">
        <f t="shared" si="181"/>
        <v>861.1364356043274</v>
      </c>
      <c r="Q136" s="21">
        <f t="shared" si="182"/>
        <v>968.79112558186114</v>
      </c>
      <c r="R136" s="44">
        <f t="shared" si="183"/>
        <v>1099.8309699935867</v>
      </c>
      <c r="S136" s="45">
        <f t="shared" si="184"/>
        <v>1330.1204871763591</v>
      </c>
      <c r="V136" s="864"/>
      <c r="W136" s="61" t="s">
        <v>144</v>
      </c>
      <c r="X136" s="2" t="s">
        <v>20</v>
      </c>
      <c r="Y136" s="2" t="s">
        <v>20</v>
      </c>
      <c r="Z136" s="2" t="s">
        <v>20</v>
      </c>
      <c r="AA136" s="21">
        <f t="shared" ref="AA136:AD136" si="191">(F136/P136)*100*12.2354989838484</f>
        <v>17.021841344297108</v>
      </c>
      <c r="AB136" s="21">
        <f t="shared" si="191"/>
        <v>15.370291768930198</v>
      </c>
      <c r="AC136" s="21">
        <f t="shared" si="191"/>
        <v>13.416617805013452</v>
      </c>
      <c r="AD136" s="22">
        <f t="shared" si="191"/>
        <v>10.192259276363231</v>
      </c>
      <c r="AE136" s="7"/>
      <c r="AF136" s="7"/>
    </row>
    <row r="137" spans="1:32" ht="17.25">
      <c r="A137" s="864"/>
      <c r="B137" s="52" t="s">
        <v>145</v>
      </c>
      <c r="C137" s="4" t="s">
        <v>15</v>
      </c>
      <c r="D137" s="4" t="s">
        <v>15</v>
      </c>
      <c r="E137" s="282">
        <v>11.34</v>
      </c>
      <c r="F137" s="362">
        <v>11.98</v>
      </c>
      <c r="G137" s="325">
        <v>12.45</v>
      </c>
      <c r="H137" s="258">
        <v>12.79</v>
      </c>
      <c r="I137" s="150">
        <v>12.18</v>
      </c>
      <c r="K137" s="864"/>
      <c r="L137" s="61" t="s">
        <v>145</v>
      </c>
      <c r="M137" s="48" t="s">
        <v>20</v>
      </c>
      <c r="N137" s="2" t="s">
        <v>20</v>
      </c>
      <c r="O137" s="44">
        <f t="shared" si="180"/>
        <v>779.77433851397143</v>
      </c>
      <c r="P137" s="44">
        <f t="shared" si="181"/>
        <v>861.1364356043274</v>
      </c>
      <c r="Q137" s="21">
        <f t="shared" si="182"/>
        <v>947.00305207479914</v>
      </c>
      <c r="R137" s="44">
        <f t="shared" si="183"/>
        <v>1037.0571929728424</v>
      </c>
      <c r="S137" s="45">
        <f t="shared" si="184"/>
        <v>1209.9946632113351</v>
      </c>
      <c r="V137" s="864"/>
      <c r="W137" s="61" t="s">
        <v>145</v>
      </c>
      <c r="X137" s="2" t="s">
        <v>20</v>
      </c>
      <c r="Y137" s="2" t="s">
        <v>20</v>
      </c>
      <c r="Z137" s="2" t="s">
        <v>20</v>
      </c>
      <c r="AA137" s="21">
        <f t="shared" ref="AA137:AD137" si="192">(F137/P137)*100*12.2354989838484</f>
        <v>17.021841344297108</v>
      </c>
      <c r="AB137" s="21">
        <f t="shared" si="192"/>
        <v>16.085688637979239</v>
      </c>
      <c r="AC137" s="21">
        <f t="shared" si="192"/>
        <v>15.090009795392174</v>
      </c>
      <c r="AD137" s="22">
        <f t="shared" si="192"/>
        <v>12.316449167449305</v>
      </c>
      <c r="AE137" s="7"/>
      <c r="AF137" s="7"/>
    </row>
    <row r="138" spans="1:32" ht="17.25">
      <c r="A138" s="864"/>
      <c r="B138" s="62" t="s">
        <v>146</v>
      </c>
      <c r="C138" s="397">
        <v>10.96</v>
      </c>
      <c r="D138" s="234">
        <v>11.84</v>
      </c>
      <c r="E138" s="362">
        <v>11.98</v>
      </c>
      <c r="F138" s="213">
        <v>12.14</v>
      </c>
      <c r="G138" s="256">
        <v>12.17</v>
      </c>
      <c r="H138" s="332">
        <v>12.03</v>
      </c>
      <c r="I138" s="398">
        <v>11.61</v>
      </c>
      <c r="K138" s="864"/>
      <c r="L138" s="69" t="s">
        <v>146</v>
      </c>
      <c r="M138" s="21">
        <f>($M$9*0.514444)/(C138*((PI()/180)))</f>
        <v>537.87354006985629</v>
      </c>
      <c r="N138" s="21">
        <f>($N$9*0.514444)/(D138*((PI()/180)))</f>
        <v>622.37056579028967</v>
      </c>
      <c r="O138" s="44">
        <f t="shared" si="180"/>
        <v>738.1169448037092</v>
      </c>
      <c r="P138" s="44">
        <f t="shared" si="181"/>
        <v>849.7870262388667</v>
      </c>
      <c r="Q138" s="21">
        <f t="shared" si="182"/>
        <v>968.79112558186114</v>
      </c>
      <c r="R138" s="44">
        <f t="shared" si="183"/>
        <v>1102.5736906170121</v>
      </c>
      <c r="S138" s="45">
        <f t="shared" si="184"/>
        <v>1269.4000859529767</v>
      </c>
      <c r="V138" s="864"/>
      <c r="W138" s="69" t="s">
        <v>146</v>
      </c>
      <c r="X138" s="21">
        <f t="shared" ref="X138:AD138" si="193">(C138/M138)*100*12.2354989838484</f>
        <v>24.931709569792577</v>
      </c>
      <c r="Y138" s="21">
        <f t="shared" si="193"/>
        <v>23.276857218466052</v>
      </c>
      <c r="Z138" s="21">
        <f t="shared" si="193"/>
        <v>19.858814901679956</v>
      </c>
      <c r="AA138" s="21">
        <f t="shared" si="193"/>
        <v>17.479551120161105</v>
      </c>
      <c r="AB138" s="21">
        <f t="shared" si="193"/>
        <v>15.370291768930198</v>
      </c>
      <c r="AC138" s="21">
        <f t="shared" si="193"/>
        <v>13.349951484269994</v>
      </c>
      <c r="AD138" s="22">
        <f t="shared" si="193"/>
        <v>11.190651771213298</v>
      </c>
      <c r="AE138" s="7"/>
      <c r="AF138" s="7"/>
    </row>
    <row r="139" spans="1:32" ht="17.25">
      <c r="A139" s="864"/>
      <c r="B139" s="399" t="s">
        <v>147</v>
      </c>
      <c r="C139" s="4" t="s">
        <v>15</v>
      </c>
      <c r="D139" s="4" t="s">
        <v>15</v>
      </c>
      <c r="E139" s="55">
        <v>16.55</v>
      </c>
      <c r="F139" s="93">
        <v>17.05</v>
      </c>
      <c r="G139" s="55">
        <v>16.579999999999998</v>
      </c>
      <c r="H139" s="97">
        <v>16.22</v>
      </c>
      <c r="I139" s="257">
        <v>14.39</v>
      </c>
      <c r="K139" s="864"/>
      <c r="L139" s="61" t="s">
        <v>147</v>
      </c>
      <c r="M139" s="48" t="s">
        <v>20</v>
      </c>
      <c r="N139" s="2" t="s">
        <v>20</v>
      </c>
      <c r="O139" s="44">
        <f t="shared" si="180"/>
        <v>534.29854977331945</v>
      </c>
      <c r="P139" s="44">
        <f t="shared" si="181"/>
        <v>605.06829903459482</v>
      </c>
      <c r="Q139" s="21">
        <f t="shared" si="182"/>
        <v>711.10904694398369</v>
      </c>
      <c r="R139" s="44">
        <f t="shared" si="183"/>
        <v>817.75348323814148</v>
      </c>
      <c r="S139" s="45">
        <f t="shared" si="184"/>
        <v>1024.1650450252994</v>
      </c>
      <c r="V139" s="864"/>
      <c r="W139" s="61" t="s">
        <v>147</v>
      </c>
      <c r="X139" s="2" t="s">
        <v>20</v>
      </c>
      <c r="Y139" s="2" t="s">
        <v>20</v>
      </c>
      <c r="Z139" s="2" t="s">
        <v>20</v>
      </c>
      <c r="AA139" s="21">
        <f t="shared" ref="AA139:AD139" si="194">(F139/P139)*100*12.2354989838484</f>
        <v>34.477968521482175</v>
      </c>
      <c r="AB139" s="21">
        <f t="shared" si="194"/>
        <v>28.527913408502418</v>
      </c>
      <c r="AC139" s="21">
        <f t="shared" si="194"/>
        <v>24.268902253055487</v>
      </c>
      <c r="AD139" s="22">
        <f t="shared" si="194"/>
        <v>17.191450853824946</v>
      </c>
      <c r="AE139" s="7"/>
      <c r="AF139" s="7"/>
    </row>
    <row r="140" spans="1:32" ht="17.25">
      <c r="A140" s="864"/>
      <c r="B140" s="52" t="s">
        <v>148</v>
      </c>
      <c r="C140" s="4" t="s">
        <v>15</v>
      </c>
      <c r="D140" s="4" t="s">
        <v>15</v>
      </c>
      <c r="E140" s="67">
        <v>15.45</v>
      </c>
      <c r="F140" s="93">
        <v>17.05</v>
      </c>
      <c r="G140" s="162">
        <v>17.68</v>
      </c>
      <c r="H140" s="278">
        <v>18.649999999999999</v>
      </c>
      <c r="I140" s="400">
        <v>17.670000000000002</v>
      </c>
      <c r="K140" s="864"/>
      <c r="L140" s="61" t="s">
        <v>148</v>
      </c>
      <c r="M140" s="48" t="s">
        <v>20</v>
      </c>
      <c r="N140" s="2" t="s">
        <v>20</v>
      </c>
      <c r="O140" s="44">
        <f t="shared" si="180"/>
        <v>572.33922321996363</v>
      </c>
      <c r="P140" s="44">
        <f t="shared" si="181"/>
        <v>605.06829903459482</v>
      </c>
      <c r="Q140" s="21">
        <f t="shared" si="182"/>
        <v>666.86583700968606</v>
      </c>
      <c r="R140" s="44">
        <f t="shared" si="183"/>
        <v>711.20436987252845</v>
      </c>
      <c r="S140" s="45">
        <f t="shared" si="184"/>
        <v>834.05404628828853</v>
      </c>
      <c r="V140" s="864"/>
      <c r="W140" s="61" t="s">
        <v>148</v>
      </c>
      <c r="X140" s="2" t="s">
        <v>20</v>
      </c>
      <c r="Y140" s="2" t="s">
        <v>20</v>
      </c>
      <c r="Z140" s="2" t="s">
        <v>20</v>
      </c>
      <c r="AA140" s="21">
        <f t="shared" ref="AA140:AD140" si="195">(F140/P140)*100*12.2354989838484</f>
        <v>34.477968521482175</v>
      </c>
      <c r="AB140" s="21">
        <f t="shared" si="195"/>
        <v>32.438852019240215</v>
      </c>
      <c r="AC140" s="21">
        <f t="shared" si="195"/>
        <v>32.08530005090833</v>
      </c>
      <c r="AD140" s="22">
        <f t="shared" si="195"/>
        <v>25.921733490382451</v>
      </c>
      <c r="AE140" s="7"/>
      <c r="AF140" s="7"/>
    </row>
    <row r="141" spans="1:32" ht="17.25">
      <c r="A141" s="865"/>
      <c r="B141" s="70" t="s">
        <v>149</v>
      </c>
      <c r="C141" s="237" t="s">
        <v>15</v>
      </c>
      <c r="D141" s="237" t="s">
        <v>15</v>
      </c>
      <c r="E141" s="401">
        <v>13.96</v>
      </c>
      <c r="F141" s="240">
        <v>12.94</v>
      </c>
      <c r="G141" s="239">
        <v>12.45</v>
      </c>
      <c r="H141" s="402">
        <v>11.57</v>
      </c>
      <c r="I141" s="403">
        <v>10.64</v>
      </c>
      <c r="K141" s="865"/>
      <c r="L141" s="77" t="s">
        <v>149</v>
      </c>
      <c r="M141" s="114" t="s">
        <v>20</v>
      </c>
      <c r="N141" s="115" t="s">
        <v>20</v>
      </c>
      <c r="O141" s="78">
        <f t="shared" si="180"/>
        <v>633.42700564100539</v>
      </c>
      <c r="P141" s="78">
        <f t="shared" si="181"/>
        <v>797.24996124728307</v>
      </c>
      <c r="Q141" s="32">
        <f t="shared" si="182"/>
        <v>947.00305207479914</v>
      </c>
      <c r="R141" s="78">
        <f t="shared" si="183"/>
        <v>1146.4098096908085</v>
      </c>
      <c r="S141" s="79">
        <f t="shared" si="184"/>
        <v>1385.125469728765</v>
      </c>
      <c r="V141" s="865"/>
      <c r="W141" s="77" t="s">
        <v>149</v>
      </c>
      <c r="X141" s="115" t="s">
        <v>20</v>
      </c>
      <c r="Y141" s="115" t="s">
        <v>20</v>
      </c>
      <c r="Z141" s="115" t="s">
        <v>20</v>
      </c>
      <c r="AA141" s="32">
        <f t="shared" ref="AA141:AD141" si="196">(F141/P141)*100*12.2354989838484</f>
        <v>19.859186522041092</v>
      </c>
      <c r="AB141" s="32">
        <f t="shared" si="196"/>
        <v>16.085688637979239</v>
      </c>
      <c r="AC141" s="32">
        <f t="shared" si="196"/>
        <v>12.348526857189629</v>
      </c>
      <c r="AD141" s="33">
        <f t="shared" si="196"/>
        <v>9.3988387357890346</v>
      </c>
      <c r="AE141" s="7"/>
      <c r="AF141" s="7"/>
    </row>
    <row r="142" spans="1:32" ht="17.25">
      <c r="A142" s="866">
        <v>9.3000000000000007</v>
      </c>
      <c r="B142" s="80" t="s">
        <v>150</v>
      </c>
      <c r="C142" s="224" t="s">
        <v>15</v>
      </c>
      <c r="D142" s="224" t="s">
        <v>15</v>
      </c>
      <c r="E142" s="404">
        <v>13.59</v>
      </c>
      <c r="F142" s="266">
        <v>14.21</v>
      </c>
      <c r="G142" s="229">
        <v>13.28</v>
      </c>
      <c r="H142" s="405">
        <v>12.55</v>
      </c>
      <c r="I142" s="406">
        <v>12.41</v>
      </c>
      <c r="K142" s="863">
        <v>9.3000000000000007</v>
      </c>
      <c r="L142" s="83" t="s">
        <v>150</v>
      </c>
      <c r="M142" s="84" t="s">
        <v>20</v>
      </c>
      <c r="N142" s="85" t="s">
        <v>20</v>
      </c>
      <c r="O142" s="123">
        <f t="shared" si="180"/>
        <v>650.67262683947285</v>
      </c>
      <c r="P142" s="123">
        <f t="shared" si="181"/>
        <v>725.99679792680092</v>
      </c>
      <c r="Q142" s="122">
        <f t="shared" si="182"/>
        <v>887.81536132012423</v>
      </c>
      <c r="R142" s="123">
        <f t="shared" si="183"/>
        <v>1056.8893624002114</v>
      </c>
      <c r="S142" s="124">
        <f t="shared" si="184"/>
        <v>1187.5692987843722</v>
      </c>
      <c r="V142" s="863">
        <v>9.3000000000000007</v>
      </c>
      <c r="W142" s="83" t="s">
        <v>150</v>
      </c>
      <c r="X142" s="85" t="s">
        <v>20</v>
      </c>
      <c r="Y142" s="85" t="s">
        <v>20</v>
      </c>
      <c r="Z142" s="85" t="s">
        <v>20</v>
      </c>
      <c r="AA142" s="122">
        <f t="shared" ref="AA142:AD142" si="197">(F142/P142)*100*12.2354989838484</f>
        <v>23.948651158929209</v>
      </c>
      <c r="AB142" s="122">
        <f t="shared" si="197"/>
        <v>18.301939072545267</v>
      </c>
      <c r="AC142" s="122">
        <f t="shared" si="197"/>
        <v>14.529005372763953</v>
      </c>
      <c r="AD142" s="125">
        <f t="shared" si="197"/>
        <v>12.785994261133959</v>
      </c>
      <c r="AE142" s="7"/>
      <c r="AF142" s="7"/>
    </row>
    <row r="143" spans="1:32" ht="17.25">
      <c r="A143" s="864"/>
      <c r="B143" s="52" t="s">
        <v>151</v>
      </c>
      <c r="C143" s="337">
        <v>11.14</v>
      </c>
      <c r="D143" s="256">
        <v>12.21</v>
      </c>
      <c r="E143" s="324">
        <v>11.71</v>
      </c>
      <c r="F143" s="282">
        <v>11.34</v>
      </c>
      <c r="G143" s="407">
        <v>10.5</v>
      </c>
      <c r="H143" s="408">
        <v>9.84</v>
      </c>
      <c r="I143" s="409">
        <v>8.86</v>
      </c>
      <c r="K143" s="864"/>
      <c r="L143" s="61" t="s">
        <v>151</v>
      </c>
      <c r="M143" s="21">
        <f t="shared" ref="M143:M144" si="198">($M$9*0.514444)/(C143*((PI()/180)))</f>
        <v>529.18258520337747</v>
      </c>
      <c r="N143" s="21">
        <f t="shared" ref="N143:N144" si="199">($N$9*0.514444)/(D143*((PI()/180)))</f>
        <v>603.51085167543238</v>
      </c>
      <c r="O143" s="44">
        <f t="shared" si="180"/>
        <v>755.1358666736495</v>
      </c>
      <c r="P143" s="44">
        <f t="shared" si="181"/>
        <v>909.73672826630002</v>
      </c>
      <c r="Q143" s="21">
        <f t="shared" si="182"/>
        <v>1122.875047460119</v>
      </c>
      <c r="R143" s="44">
        <f t="shared" si="183"/>
        <v>1347.9635668823835</v>
      </c>
      <c r="S143" s="45">
        <f t="shared" si="184"/>
        <v>1663.4012412995555</v>
      </c>
      <c r="V143" s="864"/>
      <c r="W143" s="61" t="s">
        <v>151</v>
      </c>
      <c r="X143" s="21">
        <f t="shared" ref="X143:AD143" si="200">(C143/M143)*100*12.2354989838484</f>
        <v>25.757359083856947</v>
      </c>
      <c r="Y143" s="21">
        <f t="shared" si="200"/>
        <v>24.754392100497597</v>
      </c>
      <c r="Z143" s="21">
        <f t="shared" si="200"/>
        <v>18.973763454250776</v>
      </c>
      <c r="AA143" s="21">
        <f t="shared" si="200"/>
        <v>15.251726589214448</v>
      </c>
      <c r="AB143" s="21">
        <f t="shared" si="200"/>
        <v>11.441410121367145</v>
      </c>
      <c r="AC143" s="21">
        <f t="shared" si="200"/>
        <v>8.9317925913626368</v>
      </c>
      <c r="AD143" s="22">
        <f t="shared" si="200"/>
        <v>6.5171600396427918</v>
      </c>
      <c r="AE143" s="7"/>
      <c r="AF143" s="7"/>
    </row>
    <row r="144" spans="1:32" ht="17.25">
      <c r="A144" s="864"/>
      <c r="B144" s="52" t="s">
        <v>152</v>
      </c>
      <c r="C144" s="410">
        <v>16.350000000000001</v>
      </c>
      <c r="D144" s="411">
        <v>18.05</v>
      </c>
      <c r="E144" s="411">
        <v>18.03</v>
      </c>
      <c r="F144" s="105">
        <v>17.989999999999998</v>
      </c>
      <c r="G144" s="272">
        <v>16.86</v>
      </c>
      <c r="H144" s="127">
        <v>16.46</v>
      </c>
      <c r="I144" s="412">
        <v>15.7</v>
      </c>
      <c r="K144" s="864"/>
      <c r="L144" s="61" t="s">
        <v>152</v>
      </c>
      <c r="M144" s="21">
        <f t="shared" si="198"/>
        <v>360.5562079000382</v>
      </c>
      <c r="N144" s="21">
        <f t="shared" si="199"/>
        <v>408.2475068674255</v>
      </c>
      <c r="O144" s="44">
        <f t="shared" si="180"/>
        <v>490.44043254289721</v>
      </c>
      <c r="P144" s="44">
        <f t="shared" si="181"/>
        <v>573.45272365424364</v>
      </c>
      <c r="Q144" s="21">
        <f t="shared" si="182"/>
        <v>699.29940678121284</v>
      </c>
      <c r="R144" s="44">
        <f t="shared" si="183"/>
        <v>805.82998165994252</v>
      </c>
      <c r="S144" s="45">
        <f t="shared" si="184"/>
        <v>938.70923553592741</v>
      </c>
      <c r="V144" s="864"/>
      <c r="W144" s="61" t="s">
        <v>152</v>
      </c>
      <c r="X144" s="21">
        <f t="shared" ref="X144:AD144" si="201">(C144/M144)*100*12.2354989838484</f>
        <v>55.483834143658406</v>
      </c>
      <c r="Y144" s="21">
        <f t="shared" si="201"/>
        <v>54.097270147000017</v>
      </c>
      <c r="Z144" s="21">
        <f t="shared" si="201"/>
        <v>44.981211180929897</v>
      </c>
      <c r="AA144" s="21">
        <f t="shared" si="201"/>
        <v>38.384441757774155</v>
      </c>
      <c r="AB144" s="21">
        <f t="shared" si="201"/>
        <v>29.499597864270079</v>
      </c>
      <c r="AC144" s="21">
        <f t="shared" si="201"/>
        <v>24.992407562111932</v>
      </c>
      <c r="AD144" s="22">
        <f t="shared" si="201"/>
        <v>20.463986799570343</v>
      </c>
      <c r="AE144" s="7"/>
      <c r="AF144" s="7"/>
    </row>
    <row r="145" spans="1:32" ht="17.25">
      <c r="A145" s="864"/>
      <c r="B145" s="52" t="s">
        <v>153</v>
      </c>
      <c r="C145" s="4" t="s">
        <v>15</v>
      </c>
      <c r="D145" s="4" t="s">
        <v>15</v>
      </c>
      <c r="E145" s="343">
        <v>16.920000000000002</v>
      </c>
      <c r="F145" s="92">
        <v>16.73</v>
      </c>
      <c r="G145" s="90">
        <v>15.76</v>
      </c>
      <c r="H145" s="396">
        <v>15</v>
      </c>
      <c r="I145" s="413">
        <v>13.95</v>
      </c>
      <c r="K145" s="864"/>
      <c r="L145" s="61" t="s">
        <v>153</v>
      </c>
      <c r="M145" s="48" t="s">
        <v>20</v>
      </c>
      <c r="N145" s="2" t="s">
        <v>20</v>
      </c>
      <c r="O145" s="44">
        <f t="shared" si="180"/>
        <v>522.61471623808723</v>
      </c>
      <c r="P145" s="44">
        <f t="shared" si="181"/>
        <v>616.64163171188545</v>
      </c>
      <c r="Q145" s="21">
        <f t="shared" si="182"/>
        <v>748.10837552863256</v>
      </c>
      <c r="R145" s="44">
        <f t="shared" si="183"/>
        <v>884.26409987484374</v>
      </c>
      <c r="S145" s="45">
        <f t="shared" si="184"/>
        <v>1056.4684586318324</v>
      </c>
      <c r="V145" s="864"/>
      <c r="W145" s="61" t="s">
        <v>153</v>
      </c>
      <c r="X145" s="2" t="s">
        <v>20</v>
      </c>
      <c r="Y145" s="2" t="s">
        <v>20</v>
      </c>
      <c r="Z145" s="2" t="s">
        <v>20</v>
      </c>
      <c r="AA145" s="21">
        <f t="shared" ref="AA145:AD145" si="202">(F145/P145)*100*12.2354989838484</f>
        <v>33.195925716450169</v>
      </c>
      <c r="AB145" s="21">
        <f t="shared" si="202"/>
        <v>25.775872893976238</v>
      </c>
      <c r="AC145" s="21">
        <f t="shared" si="202"/>
        <v>20.755392510416591</v>
      </c>
      <c r="AD145" s="22">
        <f t="shared" si="202"/>
        <v>16.156205084033378</v>
      </c>
      <c r="AE145" s="7"/>
      <c r="AF145" s="7"/>
    </row>
    <row r="146" spans="1:32" ht="17.25">
      <c r="A146" s="864"/>
      <c r="B146" s="52" t="s">
        <v>154</v>
      </c>
      <c r="C146" s="414">
        <v>18.05</v>
      </c>
      <c r="D146" s="415">
        <v>18.940000000000001</v>
      </c>
      <c r="E146" s="195">
        <v>18.760000000000002</v>
      </c>
      <c r="F146" s="105">
        <v>17.989999999999998</v>
      </c>
      <c r="G146" s="55">
        <v>16.579999999999998</v>
      </c>
      <c r="H146" s="92">
        <v>16.7</v>
      </c>
      <c r="I146" s="413">
        <v>13.95</v>
      </c>
      <c r="K146" s="864"/>
      <c r="L146" s="61" t="s">
        <v>154</v>
      </c>
      <c r="M146" s="21">
        <f>($M$9*0.514444)/(C146*((PI()/180)))</f>
        <v>326.59800549394043</v>
      </c>
      <c r="N146" s="21">
        <f>($N$9*0.514444)/(D146*((PI()/180)))</f>
        <v>389.06375390480622</v>
      </c>
      <c r="O146" s="44">
        <f t="shared" si="180"/>
        <v>471.35612999725146</v>
      </c>
      <c r="P146" s="44">
        <f t="shared" si="181"/>
        <v>573.45272365424364</v>
      </c>
      <c r="Q146" s="21">
        <f t="shared" si="182"/>
        <v>711.10904694398369</v>
      </c>
      <c r="R146" s="44">
        <f t="shared" si="183"/>
        <v>794.24919150435062</v>
      </c>
      <c r="S146" s="45">
        <f t="shared" si="184"/>
        <v>1056.4684586318324</v>
      </c>
      <c r="V146" s="864"/>
      <c r="W146" s="61" t="s">
        <v>154</v>
      </c>
      <c r="X146" s="21">
        <f t="shared" ref="X146:AD146" si="203">(C146/M146)*100*12.2354989838484</f>
        <v>67.621587683750022</v>
      </c>
      <c r="Y146" s="21">
        <f t="shared" si="203"/>
        <v>59.563592965997429</v>
      </c>
      <c r="Z146" s="21">
        <f t="shared" si="203"/>
        <v>48.697353514493273</v>
      </c>
      <c r="AA146" s="21">
        <f t="shared" si="203"/>
        <v>38.384441757774155</v>
      </c>
      <c r="AB146" s="21">
        <f t="shared" si="203"/>
        <v>28.527913408502418</v>
      </c>
      <c r="AC146" s="21">
        <f t="shared" si="203"/>
        <v>25.726539632133701</v>
      </c>
      <c r="AD146" s="22">
        <f t="shared" si="203"/>
        <v>16.156205084033378</v>
      </c>
      <c r="AE146" s="7"/>
      <c r="AF146" s="7"/>
    </row>
    <row r="147" spans="1:32" ht="17.25">
      <c r="A147" s="864"/>
      <c r="B147" s="52" t="s">
        <v>155</v>
      </c>
      <c r="C147" s="4" t="s">
        <v>15</v>
      </c>
      <c r="D147" s="4" t="s">
        <v>15</v>
      </c>
      <c r="E147" s="416">
        <v>8.65</v>
      </c>
      <c r="F147" s="417">
        <v>9.08</v>
      </c>
      <c r="G147" s="418">
        <v>9.09</v>
      </c>
      <c r="H147" s="419">
        <v>8.59</v>
      </c>
      <c r="I147" s="420">
        <v>8.6300000000000008</v>
      </c>
      <c r="K147" s="864"/>
      <c r="L147" s="61" t="s">
        <v>155</v>
      </c>
      <c r="M147" s="48" t="s">
        <v>20</v>
      </c>
      <c r="N147" s="2" t="s">
        <v>20</v>
      </c>
      <c r="O147" s="44">
        <f t="shared" si="180"/>
        <v>1022.2706356934608</v>
      </c>
      <c r="P147" s="44">
        <f t="shared" si="181"/>
        <v>1136.1689976365465</v>
      </c>
      <c r="Q147" s="21">
        <f t="shared" si="182"/>
        <v>1297.0503848549229</v>
      </c>
      <c r="R147" s="44">
        <f t="shared" si="183"/>
        <v>1544.116588838493</v>
      </c>
      <c r="S147" s="45">
        <f t="shared" si="184"/>
        <v>1707.7329082171564</v>
      </c>
      <c r="V147" s="864"/>
      <c r="W147" s="61" t="s">
        <v>155</v>
      </c>
      <c r="X147" s="2" t="s">
        <v>20</v>
      </c>
      <c r="Y147" s="2" t="s">
        <v>20</v>
      </c>
      <c r="Z147" s="2" t="s">
        <v>20</v>
      </c>
      <c r="AA147" s="21">
        <f t="shared" ref="AA147:AD147" si="204">(F147/P147)*100*12.2354989838484</f>
        <v>9.7783279604046314</v>
      </c>
      <c r="AB147" s="21">
        <f t="shared" si="204"/>
        <v>8.5748932394497661</v>
      </c>
      <c r="AC147" s="21">
        <f t="shared" si="204"/>
        <v>6.8066710137683124</v>
      </c>
      <c r="AD147" s="22">
        <f t="shared" si="204"/>
        <v>6.1831891698361829</v>
      </c>
      <c r="AE147" s="7"/>
      <c r="AF147" s="7"/>
    </row>
    <row r="148" spans="1:32" ht="17.25">
      <c r="A148" s="864"/>
      <c r="B148" s="52" t="s">
        <v>156</v>
      </c>
      <c r="C148" s="4" t="s">
        <v>15</v>
      </c>
      <c r="D148" s="4" t="s">
        <v>15</v>
      </c>
      <c r="E148" s="421">
        <v>9.0399999999999991</v>
      </c>
      <c r="F148" s="422">
        <v>9.41</v>
      </c>
      <c r="G148" s="422">
        <v>9.3699999999999992</v>
      </c>
      <c r="H148" s="423">
        <v>8.84</v>
      </c>
      <c r="I148" s="409">
        <v>8.86</v>
      </c>
      <c r="K148" s="864"/>
      <c r="L148" s="61" t="s">
        <v>156</v>
      </c>
      <c r="M148" s="48" t="s">
        <v>20</v>
      </c>
      <c r="N148" s="2" t="s">
        <v>20</v>
      </c>
      <c r="O148" s="44">
        <f t="shared" si="180"/>
        <v>978.1682520739422</v>
      </c>
      <c r="P148" s="44">
        <f t="shared" si="181"/>
        <v>1096.3246013326082</v>
      </c>
      <c r="Q148" s="21">
        <f t="shared" si="182"/>
        <v>1258.2911417642742</v>
      </c>
      <c r="R148" s="44">
        <f t="shared" si="183"/>
        <v>1500.4481332717935</v>
      </c>
      <c r="S148" s="45">
        <f t="shared" si="184"/>
        <v>1663.4012412995555</v>
      </c>
      <c r="V148" s="864"/>
      <c r="W148" s="61" t="s">
        <v>156</v>
      </c>
      <c r="X148" s="2" t="s">
        <v>20</v>
      </c>
      <c r="Y148" s="2" t="s">
        <v>20</v>
      </c>
      <c r="Z148" s="2" t="s">
        <v>20</v>
      </c>
      <c r="AA148" s="21">
        <f t="shared" ref="AA148:AD148" si="205">(F148/P148)*100*12.2354989838484</f>
        <v>10.502003266009254</v>
      </c>
      <c r="AB148" s="21">
        <f t="shared" si="205"/>
        <v>9.1112956034889709</v>
      </c>
      <c r="AC148" s="21">
        <f t="shared" si="205"/>
        <v>7.2086337820533819</v>
      </c>
      <c r="AD148" s="22">
        <f t="shared" si="205"/>
        <v>6.5171600396427918</v>
      </c>
      <c r="AE148" s="7"/>
      <c r="AF148" s="7"/>
    </row>
    <row r="149" spans="1:32" ht="17.25">
      <c r="A149" s="864"/>
      <c r="B149" s="52" t="s">
        <v>157</v>
      </c>
      <c r="C149" s="4" t="s">
        <v>15</v>
      </c>
      <c r="D149" s="200">
        <v>14.48</v>
      </c>
      <c r="E149" s="90">
        <v>15.82</v>
      </c>
      <c r="F149" s="67">
        <v>15.47</v>
      </c>
      <c r="G149" s="67">
        <v>15.48</v>
      </c>
      <c r="H149" s="395">
        <v>15.24</v>
      </c>
      <c r="I149" s="424">
        <v>14.82</v>
      </c>
      <c r="K149" s="864"/>
      <c r="L149" s="61" t="s">
        <v>157</v>
      </c>
      <c r="M149" s="48" t="s">
        <v>20</v>
      </c>
      <c r="N149" s="21">
        <f>($N$9*0.514444)/(D149*((PI()/180)))</f>
        <v>508.89968915449106</v>
      </c>
      <c r="O149" s="44">
        <f t="shared" si="180"/>
        <v>558.95328689939549</v>
      </c>
      <c r="P149" s="44">
        <f t="shared" si="181"/>
        <v>666.86583700968595</v>
      </c>
      <c r="Q149" s="21">
        <f t="shared" si="182"/>
        <v>761.6400515717861</v>
      </c>
      <c r="R149" s="44">
        <f t="shared" si="183"/>
        <v>870.33868097917684</v>
      </c>
      <c r="S149" s="45">
        <f t="shared" si="184"/>
        <v>994.44905518988253</v>
      </c>
      <c r="V149" s="864"/>
      <c r="W149" s="61" t="s">
        <v>157</v>
      </c>
      <c r="X149" s="2" t="s">
        <v>20</v>
      </c>
      <c r="Y149" s="21">
        <f t="shared" ref="Y149:AD149" si="206">(D149/N149)*100*12.2354989838484</f>
        <v>34.814331598528412</v>
      </c>
      <c r="Z149" s="21">
        <f t="shared" si="206"/>
        <v>34.630012643493238</v>
      </c>
      <c r="AA149" s="21">
        <f t="shared" si="206"/>
        <v>28.383995516835192</v>
      </c>
      <c r="AB149" s="21">
        <f t="shared" si="206"/>
        <v>24.868115047140662</v>
      </c>
      <c r="AC149" s="21">
        <f t="shared" si="206"/>
        <v>21.42487845123259</v>
      </c>
      <c r="AD149" s="22">
        <f t="shared" si="206"/>
        <v>18.234226680019287</v>
      </c>
      <c r="AE149" s="7"/>
      <c r="AF149" s="7"/>
    </row>
    <row r="150" spans="1:32" ht="17.25">
      <c r="A150" s="864"/>
      <c r="B150" s="52" t="s">
        <v>158</v>
      </c>
      <c r="C150" s="4" t="s">
        <v>20</v>
      </c>
      <c r="D150" s="4" t="s">
        <v>20</v>
      </c>
      <c r="E150" s="325">
        <v>12.47</v>
      </c>
      <c r="F150" s="214">
        <v>12.62</v>
      </c>
      <c r="G150" s="312">
        <v>12.72</v>
      </c>
      <c r="H150" s="176">
        <v>12.3</v>
      </c>
      <c r="I150" s="425">
        <v>11.52</v>
      </c>
      <c r="K150" s="864"/>
      <c r="L150" s="61" t="s">
        <v>158</v>
      </c>
      <c r="M150" s="48" t="s">
        <v>20</v>
      </c>
      <c r="N150" s="2" t="s">
        <v>20</v>
      </c>
      <c r="O150" s="44">
        <f t="shared" si="180"/>
        <v>709.11315146338711</v>
      </c>
      <c r="P150" s="44">
        <f t="shared" si="181"/>
        <v>817.46549116797485</v>
      </c>
      <c r="Q150" s="21">
        <f t="shared" si="182"/>
        <v>926.90157219585285</v>
      </c>
      <c r="R150" s="44">
        <f t="shared" si="183"/>
        <v>1078.3708535059068</v>
      </c>
      <c r="S150" s="45">
        <f t="shared" si="184"/>
        <v>1279.3172741244846</v>
      </c>
      <c r="V150" s="864"/>
      <c r="W150" s="61" t="s">
        <v>158</v>
      </c>
      <c r="X150" s="2" t="s">
        <v>20</v>
      </c>
      <c r="Y150" s="2" t="s">
        <v>20</v>
      </c>
      <c r="Z150" s="2" t="s">
        <v>20</v>
      </c>
      <c r="AA150" s="21">
        <f t="shared" ref="AA150:AD150" si="207">(F150/P150)*100*12.2354989838484</f>
        <v>18.889115056777097</v>
      </c>
      <c r="AB150" s="21">
        <f t="shared" si="207"/>
        <v>16.79094649778694</v>
      </c>
      <c r="AC150" s="21">
        <f t="shared" si="207"/>
        <v>13.95592592400412</v>
      </c>
      <c r="AD150" s="22">
        <f t="shared" si="207"/>
        <v>11.017825768857559</v>
      </c>
      <c r="AE150" s="7"/>
      <c r="AF150" s="7"/>
    </row>
    <row r="151" spans="1:32" ht="17.25">
      <c r="A151" s="864"/>
      <c r="B151" s="52" t="s">
        <v>159</v>
      </c>
      <c r="C151" s="4" t="s">
        <v>15</v>
      </c>
      <c r="D151" s="4" t="s">
        <v>15</v>
      </c>
      <c r="E151" s="343">
        <v>16.920000000000002</v>
      </c>
      <c r="F151" s="90">
        <v>15.79</v>
      </c>
      <c r="G151" s="395">
        <v>15.21</v>
      </c>
      <c r="H151" s="152">
        <v>14.26</v>
      </c>
      <c r="I151" s="335">
        <v>12.85</v>
      </c>
      <c r="K151" s="864"/>
      <c r="L151" s="61" t="s">
        <v>159</v>
      </c>
      <c r="M151" s="48" t="s">
        <v>20</v>
      </c>
      <c r="N151" s="2" t="s">
        <v>20</v>
      </c>
      <c r="O151" s="44">
        <f t="shared" si="180"/>
        <v>522.61471623808723</v>
      </c>
      <c r="P151" s="44">
        <f t="shared" si="181"/>
        <v>653.35113986952763</v>
      </c>
      <c r="Q151" s="21">
        <f t="shared" si="182"/>
        <v>775.16028917365213</v>
      </c>
      <c r="R151" s="44">
        <f t="shared" si="183"/>
        <v>930.15157770846099</v>
      </c>
      <c r="S151" s="45">
        <f t="shared" si="184"/>
        <v>1146.9054473084871</v>
      </c>
      <c r="V151" s="864"/>
      <c r="W151" s="61" t="s">
        <v>159</v>
      </c>
      <c r="X151" s="2" t="s">
        <v>20</v>
      </c>
      <c r="Y151" s="2" t="s">
        <v>20</v>
      </c>
      <c r="Z151" s="2" t="s">
        <v>20</v>
      </c>
      <c r="AA151" s="21">
        <f t="shared" ref="AA151:AD151" si="208">(F151/P151)*100*12.2354989838484</f>
        <v>29.570397473179185</v>
      </c>
      <c r="AB151" s="21">
        <f t="shared" si="208"/>
        <v>24.008188002345335</v>
      </c>
      <c r="AC151" s="21">
        <f t="shared" si="208"/>
        <v>18.758041129116396</v>
      </c>
      <c r="AD151" s="22">
        <f t="shared" si="208"/>
        <v>13.708729199205056</v>
      </c>
      <c r="AE151" s="7"/>
      <c r="AF151" s="7"/>
    </row>
    <row r="152" spans="1:32" ht="15">
      <c r="A152" s="864"/>
      <c r="B152" s="62" t="s">
        <v>160</v>
      </c>
      <c r="C152" s="4" t="s">
        <v>15</v>
      </c>
      <c r="D152" s="4" t="s">
        <v>15</v>
      </c>
      <c r="E152" s="4" t="s">
        <v>15</v>
      </c>
      <c r="F152" s="4" t="s">
        <v>15</v>
      </c>
      <c r="G152" s="4" t="s">
        <v>15</v>
      </c>
      <c r="H152" s="4" t="s">
        <v>15</v>
      </c>
      <c r="I152" s="245" t="s">
        <v>15</v>
      </c>
      <c r="K152" s="864"/>
      <c r="L152" s="69" t="s">
        <v>160</v>
      </c>
      <c r="M152" s="48" t="s">
        <v>20</v>
      </c>
      <c r="N152" s="2" t="s">
        <v>20</v>
      </c>
      <c r="O152" s="2" t="s">
        <v>20</v>
      </c>
      <c r="P152" s="2" t="s">
        <v>20</v>
      </c>
      <c r="Q152" s="2" t="s">
        <v>20</v>
      </c>
      <c r="R152" s="2" t="s">
        <v>20</v>
      </c>
      <c r="S152" s="50" t="s">
        <v>20</v>
      </c>
      <c r="V152" s="864"/>
      <c r="W152" s="69" t="s">
        <v>160</v>
      </c>
      <c r="X152" s="2" t="s">
        <v>20</v>
      </c>
      <c r="Y152" s="2" t="s">
        <v>20</v>
      </c>
      <c r="Z152" s="2" t="s">
        <v>20</v>
      </c>
      <c r="AA152" s="2" t="s">
        <v>20</v>
      </c>
      <c r="AB152" s="2" t="s">
        <v>20</v>
      </c>
      <c r="AC152" s="2" t="s">
        <v>20</v>
      </c>
      <c r="AD152" s="50" t="s">
        <v>20</v>
      </c>
      <c r="AE152" s="51"/>
      <c r="AF152" s="51"/>
    </row>
    <row r="153" spans="1:32" ht="15">
      <c r="A153" s="864"/>
      <c r="B153" s="62" t="s">
        <v>161</v>
      </c>
      <c r="C153" s="4" t="s">
        <v>15</v>
      </c>
      <c r="D153" s="4" t="s">
        <v>15</v>
      </c>
      <c r="E153" s="4" t="s">
        <v>15</v>
      </c>
      <c r="F153" s="4" t="s">
        <v>15</v>
      </c>
      <c r="G153" s="4" t="s">
        <v>15</v>
      </c>
      <c r="H153" s="4" t="s">
        <v>15</v>
      </c>
      <c r="I153" s="245" t="s">
        <v>15</v>
      </c>
      <c r="K153" s="864"/>
      <c r="L153" s="69" t="s">
        <v>161</v>
      </c>
      <c r="M153" s="48" t="s">
        <v>20</v>
      </c>
      <c r="N153" s="2" t="s">
        <v>20</v>
      </c>
      <c r="O153" s="2" t="s">
        <v>20</v>
      </c>
      <c r="P153" s="2" t="s">
        <v>20</v>
      </c>
      <c r="Q153" s="2" t="s">
        <v>20</v>
      </c>
      <c r="R153" s="2" t="s">
        <v>20</v>
      </c>
      <c r="S153" s="50" t="s">
        <v>20</v>
      </c>
      <c r="V153" s="864"/>
      <c r="W153" s="69" t="s">
        <v>161</v>
      </c>
      <c r="X153" s="2" t="s">
        <v>20</v>
      </c>
      <c r="Y153" s="2" t="s">
        <v>20</v>
      </c>
      <c r="Z153" s="2" t="s">
        <v>20</v>
      </c>
      <c r="AA153" s="2" t="s">
        <v>20</v>
      </c>
      <c r="AB153" s="2" t="s">
        <v>20</v>
      </c>
      <c r="AC153" s="2" t="s">
        <v>20</v>
      </c>
      <c r="AD153" s="50" t="s">
        <v>20</v>
      </c>
      <c r="AE153" s="51"/>
      <c r="AF153" s="51"/>
    </row>
    <row r="154" spans="1:32" ht="15">
      <c r="A154" s="864"/>
      <c r="B154" s="62" t="s">
        <v>162</v>
      </c>
      <c r="C154" s="4" t="s">
        <v>15</v>
      </c>
      <c r="D154" s="4" t="s">
        <v>15</v>
      </c>
      <c r="E154" s="4" t="s">
        <v>15</v>
      </c>
      <c r="F154" s="4" t="s">
        <v>15</v>
      </c>
      <c r="G154" s="4" t="s">
        <v>15</v>
      </c>
      <c r="H154" s="4" t="s">
        <v>15</v>
      </c>
      <c r="I154" s="245" t="s">
        <v>15</v>
      </c>
      <c r="K154" s="864"/>
      <c r="L154" s="69" t="s">
        <v>162</v>
      </c>
      <c r="M154" s="48" t="s">
        <v>20</v>
      </c>
      <c r="N154" s="2" t="s">
        <v>20</v>
      </c>
      <c r="O154" s="2" t="s">
        <v>20</v>
      </c>
      <c r="P154" s="2" t="s">
        <v>20</v>
      </c>
      <c r="Q154" s="2" t="s">
        <v>20</v>
      </c>
      <c r="R154" s="2" t="s">
        <v>20</v>
      </c>
      <c r="S154" s="50" t="s">
        <v>20</v>
      </c>
      <c r="V154" s="864"/>
      <c r="W154" s="69" t="s">
        <v>162</v>
      </c>
      <c r="X154" s="2" t="s">
        <v>20</v>
      </c>
      <c r="Y154" s="2" t="s">
        <v>20</v>
      </c>
      <c r="Z154" s="2" t="s">
        <v>20</v>
      </c>
      <c r="AA154" s="2" t="s">
        <v>20</v>
      </c>
      <c r="AB154" s="2" t="s">
        <v>20</v>
      </c>
      <c r="AC154" s="2" t="s">
        <v>20</v>
      </c>
      <c r="AD154" s="50" t="s">
        <v>20</v>
      </c>
      <c r="AE154" s="51"/>
      <c r="AF154" s="51"/>
    </row>
    <row r="155" spans="1:32" ht="17.25">
      <c r="A155" s="864"/>
      <c r="B155" s="52" t="s">
        <v>163</v>
      </c>
      <c r="C155" s="4" t="s">
        <v>15</v>
      </c>
      <c r="D155" s="4" t="s">
        <v>15</v>
      </c>
      <c r="E155" s="149">
        <v>13.21</v>
      </c>
      <c r="F155" s="253">
        <v>14.21</v>
      </c>
      <c r="G155" s="294">
        <v>14.11</v>
      </c>
      <c r="H155" s="210">
        <v>13.53</v>
      </c>
      <c r="I155" s="154">
        <v>13.07</v>
      </c>
      <c r="K155" s="864"/>
      <c r="L155" s="61" t="s">
        <v>163</v>
      </c>
      <c r="M155" s="48" t="s">
        <v>20</v>
      </c>
      <c r="N155" s="2" t="s">
        <v>20</v>
      </c>
      <c r="O155" s="44">
        <f>($O$9*0.514444)/(E155*((PI()/180)))</f>
        <v>669.38993177505199</v>
      </c>
      <c r="P155" s="44">
        <f>($P$9*0.514444)/(F155*((PI()/180)))</f>
        <v>725.99679792680092</v>
      </c>
      <c r="Q155" s="21">
        <f>($Q$9*0.514444)/(G155*((PI()/180)))</f>
        <v>835.59092830129339</v>
      </c>
      <c r="R155" s="44">
        <f>($R$9*0.514444)/(H155*((PI()/180)))</f>
        <v>980.33713955082442</v>
      </c>
      <c r="S155" s="45">
        <f>($S$9*0.514444)/(I155*((PI()/180)))</f>
        <v>1127.6002293736847</v>
      </c>
      <c r="V155" s="864"/>
      <c r="W155" s="61" t="s">
        <v>163</v>
      </c>
      <c r="X155" s="2" t="s">
        <v>20</v>
      </c>
      <c r="Y155" s="2" t="s">
        <v>20</v>
      </c>
      <c r="Z155" s="2" t="s">
        <v>20</v>
      </c>
      <c r="AA155" s="21">
        <f t="shared" ref="AA155:AD155" si="209">(F155/P155)*100*12.2354989838484</f>
        <v>23.948651158929209</v>
      </c>
      <c r="AB155" s="21">
        <f t="shared" si="209"/>
        <v>20.661173406115555</v>
      </c>
      <c r="AC155" s="21">
        <f t="shared" si="209"/>
        <v>16.886670368044982</v>
      </c>
      <c r="AD155" s="22">
        <f t="shared" si="209"/>
        <v>14.182151400210657</v>
      </c>
      <c r="AE155" s="7"/>
      <c r="AF155" s="7"/>
    </row>
    <row r="156" spans="1:32" ht="15">
      <c r="A156" s="864"/>
      <c r="B156" s="52" t="s">
        <v>164</v>
      </c>
      <c r="C156" s="4" t="s">
        <v>15</v>
      </c>
      <c r="D156" s="4" t="s">
        <v>15</v>
      </c>
      <c r="E156" s="4" t="s">
        <v>15</v>
      </c>
      <c r="F156" s="4" t="s">
        <v>15</v>
      </c>
      <c r="G156" s="4" t="s">
        <v>15</v>
      </c>
      <c r="H156" s="4" t="s">
        <v>15</v>
      </c>
      <c r="I156" s="245" t="s">
        <v>15</v>
      </c>
      <c r="K156" s="864"/>
      <c r="L156" s="61" t="s">
        <v>164</v>
      </c>
      <c r="M156" s="48" t="s">
        <v>20</v>
      </c>
      <c r="N156" s="2" t="s">
        <v>20</v>
      </c>
      <c r="O156" s="2" t="s">
        <v>20</v>
      </c>
      <c r="P156" s="2" t="s">
        <v>20</v>
      </c>
      <c r="Q156" s="2" t="s">
        <v>20</v>
      </c>
      <c r="R156" s="2" t="s">
        <v>20</v>
      </c>
      <c r="S156" s="50" t="s">
        <v>20</v>
      </c>
      <c r="V156" s="864"/>
      <c r="W156" s="61" t="s">
        <v>164</v>
      </c>
      <c r="X156" s="2" t="s">
        <v>20</v>
      </c>
      <c r="Y156" s="2" t="s">
        <v>20</v>
      </c>
      <c r="Z156" s="2" t="s">
        <v>20</v>
      </c>
      <c r="AA156" s="2" t="s">
        <v>20</v>
      </c>
      <c r="AB156" s="2" t="s">
        <v>20</v>
      </c>
      <c r="AC156" s="2" t="s">
        <v>20</v>
      </c>
      <c r="AD156" s="50" t="s">
        <v>20</v>
      </c>
      <c r="AE156" s="51"/>
      <c r="AF156" s="51"/>
    </row>
    <row r="157" spans="1:32" ht="17.25">
      <c r="A157" s="865"/>
      <c r="B157" s="70" t="s">
        <v>144</v>
      </c>
      <c r="C157" s="237" t="s">
        <v>15</v>
      </c>
      <c r="D157" s="237" t="s">
        <v>15</v>
      </c>
      <c r="E157" s="426">
        <v>10.58</v>
      </c>
      <c r="F157" s="427">
        <v>11.98</v>
      </c>
      <c r="G157" s="380">
        <v>12.17</v>
      </c>
      <c r="H157" s="428">
        <v>12.06</v>
      </c>
      <c r="I157" s="429">
        <v>11.08</v>
      </c>
      <c r="K157" s="865"/>
      <c r="L157" s="77" t="s">
        <v>144</v>
      </c>
      <c r="M157" s="114" t="s">
        <v>20</v>
      </c>
      <c r="N157" s="115" t="s">
        <v>20</v>
      </c>
      <c r="O157" s="78">
        <f t="shared" ref="O157:O161" si="210">($O$9*0.514444)/(E157*((PI()/180)))</f>
        <v>835.78837417282011</v>
      </c>
      <c r="P157" s="78">
        <f t="shared" ref="P157:P161" si="211">($P$9*0.514444)/(F157*((PI()/180)))</f>
        <v>861.1364356043274</v>
      </c>
      <c r="Q157" s="32">
        <f t="shared" ref="Q157:Q161" si="212">($Q$9*0.514444)/(G157*((PI()/180)))</f>
        <v>968.79112558186114</v>
      </c>
      <c r="R157" s="78">
        <f t="shared" ref="R157:R161" si="213">($R$9*0.514444)/(H157*((PI()/180)))</f>
        <v>1099.8309699935867</v>
      </c>
      <c r="S157" s="79">
        <f t="shared" ref="S157:S161" si="214">($S$9*0.514444)/(I157*((PI()/180)))</f>
        <v>1330.1204871763591</v>
      </c>
      <c r="V157" s="865"/>
      <c r="W157" s="77" t="s">
        <v>144</v>
      </c>
      <c r="X157" s="115" t="s">
        <v>20</v>
      </c>
      <c r="Y157" s="115" t="s">
        <v>20</v>
      </c>
      <c r="Z157" s="115" t="s">
        <v>20</v>
      </c>
      <c r="AA157" s="32">
        <f t="shared" ref="AA157:AD157" si="215">(F157/P157)*100*12.2354989838484</f>
        <v>17.021841344297108</v>
      </c>
      <c r="AB157" s="32">
        <f t="shared" si="215"/>
        <v>15.370291768930198</v>
      </c>
      <c r="AC157" s="32">
        <f t="shared" si="215"/>
        <v>13.416617805013452</v>
      </c>
      <c r="AD157" s="33">
        <f t="shared" si="215"/>
        <v>10.192259276363231</v>
      </c>
      <c r="AE157" s="7"/>
      <c r="AF157" s="7"/>
    </row>
    <row r="158" spans="1:32" ht="17.25">
      <c r="A158" s="863">
        <v>9</v>
      </c>
      <c r="B158" s="80" t="s">
        <v>165</v>
      </c>
      <c r="C158" s="224" t="s">
        <v>15</v>
      </c>
      <c r="D158" s="224" t="s">
        <v>15</v>
      </c>
      <c r="E158" s="430">
        <v>16.18</v>
      </c>
      <c r="F158" s="373">
        <v>16.100000000000001</v>
      </c>
      <c r="G158" s="431">
        <v>15.48</v>
      </c>
      <c r="H158" s="432">
        <v>13.77</v>
      </c>
      <c r="I158" s="406">
        <v>12.41</v>
      </c>
      <c r="K158" s="863">
        <v>9</v>
      </c>
      <c r="L158" s="83" t="s">
        <v>165</v>
      </c>
      <c r="M158" s="84" t="s">
        <v>20</v>
      </c>
      <c r="N158" s="85" t="s">
        <v>20</v>
      </c>
      <c r="O158" s="123">
        <f t="shared" si="210"/>
        <v>546.51674899557713</v>
      </c>
      <c r="P158" s="123">
        <f t="shared" si="211"/>
        <v>640.77108686582869</v>
      </c>
      <c r="Q158" s="122">
        <f t="shared" si="212"/>
        <v>761.6400515717861</v>
      </c>
      <c r="R158" s="123">
        <f t="shared" si="213"/>
        <v>963.25065345843541</v>
      </c>
      <c r="S158" s="124">
        <f t="shared" si="214"/>
        <v>1187.5692987843722</v>
      </c>
      <c r="V158" s="863">
        <v>9</v>
      </c>
      <c r="W158" s="83" t="s">
        <v>165</v>
      </c>
      <c r="X158" s="85" t="s">
        <v>20</v>
      </c>
      <c r="Y158" s="85" t="s">
        <v>20</v>
      </c>
      <c r="Z158" s="85" t="s">
        <v>20</v>
      </c>
      <c r="AA158" s="122">
        <f t="shared" ref="AA158:AD158" si="216">(F158/P158)*100*12.2354989838484</f>
        <v>30.742887386429064</v>
      </c>
      <c r="AB158" s="122">
        <f t="shared" si="216"/>
        <v>24.868115047140662</v>
      </c>
      <c r="AC158" s="122">
        <f t="shared" si="216"/>
        <v>17.49106739794831</v>
      </c>
      <c r="AD158" s="125">
        <f t="shared" si="216"/>
        <v>12.785994261133959</v>
      </c>
      <c r="AE158" s="7"/>
      <c r="AF158" s="7"/>
    </row>
    <row r="159" spans="1:32" ht="17.25">
      <c r="A159" s="864"/>
      <c r="B159" s="52" t="s">
        <v>166</v>
      </c>
      <c r="C159" s="101">
        <v>11.74</v>
      </c>
      <c r="D159" s="312">
        <v>12.67</v>
      </c>
      <c r="E159" s="325">
        <v>12.47</v>
      </c>
      <c r="F159" s="362">
        <v>11.98</v>
      </c>
      <c r="G159" s="433">
        <v>11.06</v>
      </c>
      <c r="H159" s="133">
        <v>10.08</v>
      </c>
      <c r="I159" s="409">
        <v>8.86</v>
      </c>
      <c r="K159" s="864"/>
      <c r="L159" s="61" t="s">
        <v>166</v>
      </c>
      <c r="M159" s="21">
        <f t="shared" ref="M159:M160" si="217">($M$9*0.514444)/(C159*((PI()/180)))</f>
        <v>502.13747863420997</v>
      </c>
      <c r="N159" s="21">
        <f t="shared" ref="N159:N160" si="218">($N$9*0.514444)/(D159*((PI()/180)))</f>
        <v>581.59964474798971</v>
      </c>
      <c r="O159" s="44">
        <f t="shared" si="210"/>
        <v>709.11315146338711</v>
      </c>
      <c r="P159" s="44">
        <f t="shared" si="211"/>
        <v>861.1364356043274</v>
      </c>
      <c r="Q159" s="21">
        <f t="shared" si="212"/>
        <v>1066.020614677328</v>
      </c>
      <c r="R159" s="44">
        <f t="shared" si="213"/>
        <v>1315.869196242327</v>
      </c>
      <c r="S159" s="45">
        <f t="shared" si="214"/>
        <v>1663.4012412995555</v>
      </c>
      <c r="V159" s="864"/>
      <c r="W159" s="61" t="s">
        <v>166</v>
      </c>
      <c r="X159" s="21">
        <f t="shared" ref="X159:AD159" si="219">(C159/M159)*100*12.2354989838484</f>
        <v>28.606659367686934</v>
      </c>
      <c r="Y159" s="21">
        <f t="shared" si="219"/>
        <v>26.654722630123317</v>
      </c>
      <c r="Z159" s="21">
        <f t="shared" si="219"/>
        <v>21.516548101486929</v>
      </c>
      <c r="AA159" s="21">
        <f t="shared" si="219"/>
        <v>17.021841344297108</v>
      </c>
      <c r="AB159" s="21">
        <f t="shared" si="219"/>
        <v>12.694371656435978</v>
      </c>
      <c r="AC159" s="21">
        <f t="shared" si="219"/>
        <v>9.3728031714239659</v>
      </c>
      <c r="AD159" s="22">
        <f t="shared" si="219"/>
        <v>6.5171600396427918</v>
      </c>
      <c r="AE159" s="7"/>
      <c r="AF159" s="7"/>
    </row>
    <row r="160" spans="1:32" ht="17.25">
      <c r="A160" s="864"/>
      <c r="B160" s="52" t="s">
        <v>167</v>
      </c>
      <c r="C160" s="434">
        <v>12.91</v>
      </c>
      <c r="D160" s="200">
        <v>14.48</v>
      </c>
      <c r="E160" s="146">
        <v>14.7</v>
      </c>
      <c r="F160" s="65">
        <v>14.84</v>
      </c>
      <c r="G160" s="173">
        <v>14.38</v>
      </c>
      <c r="H160" s="145">
        <v>14.02</v>
      </c>
      <c r="I160" s="378">
        <v>13.29</v>
      </c>
      <c r="K160" s="864"/>
      <c r="L160" s="61" t="s">
        <v>167</v>
      </c>
      <c r="M160" s="21">
        <f t="shared" si="217"/>
        <v>456.63005415690355</v>
      </c>
      <c r="N160" s="21">
        <f t="shared" si="218"/>
        <v>508.89968915449106</v>
      </c>
      <c r="O160" s="44">
        <f t="shared" si="210"/>
        <v>601.54020399649232</v>
      </c>
      <c r="P160" s="44">
        <f t="shared" si="211"/>
        <v>695.17617914688969</v>
      </c>
      <c r="Q160" s="21">
        <f t="shared" si="212"/>
        <v>819.90180795071262</v>
      </c>
      <c r="R160" s="44">
        <f t="shared" si="213"/>
        <v>946.0742865993335</v>
      </c>
      <c r="S160" s="45">
        <f t="shared" si="214"/>
        <v>1108.9341608663703</v>
      </c>
      <c r="V160" s="864"/>
      <c r="W160" s="61" t="s">
        <v>167</v>
      </c>
      <c r="X160" s="21">
        <f t="shared" ref="X160:AD160" si="220">(C160/M160)*100*12.2354989838484</f>
        <v>34.592618344653637</v>
      </c>
      <c r="Y160" s="21">
        <f t="shared" si="220"/>
        <v>34.814331598528412</v>
      </c>
      <c r="Z160" s="21">
        <f t="shared" si="220"/>
        <v>29.900218450506141</v>
      </c>
      <c r="AA160" s="21">
        <f t="shared" si="220"/>
        <v>26.119250107668574</v>
      </c>
      <c r="AB160" s="21">
        <f t="shared" si="220"/>
        <v>21.45945693515495</v>
      </c>
      <c r="AC160" s="21">
        <f t="shared" si="220"/>
        <v>18.13194779557551</v>
      </c>
      <c r="AD160" s="22">
        <f t="shared" si="220"/>
        <v>14.663610089196283</v>
      </c>
      <c r="AE160" s="7"/>
      <c r="AF160" s="7"/>
    </row>
    <row r="161" spans="1:32" ht="17.25">
      <c r="A161" s="864"/>
      <c r="B161" s="52" t="s">
        <v>168</v>
      </c>
      <c r="C161" s="4" t="s">
        <v>15</v>
      </c>
      <c r="D161" s="4" t="s">
        <v>15</v>
      </c>
      <c r="E161" s="67">
        <v>15.45</v>
      </c>
      <c r="F161" s="253">
        <v>14.21</v>
      </c>
      <c r="G161" s="215">
        <v>13.28</v>
      </c>
      <c r="H161" s="283">
        <v>11.57</v>
      </c>
      <c r="I161" s="435">
        <v>9.5299999999999994</v>
      </c>
      <c r="K161" s="864"/>
      <c r="L161" s="61" t="s">
        <v>168</v>
      </c>
      <c r="M161" s="48" t="s">
        <v>20</v>
      </c>
      <c r="N161" s="2" t="s">
        <v>20</v>
      </c>
      <c r="O161" s="44">
        <f t="shared" si="210"/>
        <v>572.33922321996363</v>
      </c>
      <c r="P161" s="44">
        <f t="shared" si="211"/>
        <v>725.99679792680092</v>
      </c>
      <c r="Q161" s="21">
        <f t="shared" si="212"/>
        <v>887.81536132012423</v>
      </c>
      <c r="R161" s="44">
        <f t="shared" si="213"/>
        <v>1146.4098096908085</v>
      </c>
      <c r="S161" s="45">
        <f t="shared" si="214"/>
        <v>1546.4569777454419</v>
      </c>
      <c r="V161" s="864"/>
      <c r="W161" s="61" t="s">
        <v>168</v>
      </c>
      <c r="X161" s="2" t="s">
        <v>20</v>
      </c>
      <c r="Y161" s="2" t="s">
        <v>20</v>
      </c>
      <c r="Z161" s="2" t="s">
        <v>20</v>
      </c>
      <c r="AA161" s="21">
        <f t="shared" ref="AA161:AD161" si="221">(F161/P161)*100*12.2354989838484</f>
        <v>23.948651158929209</v>
      </c>
      <c r="AB161" s="21">
        <f t="shared" si="221"/>
        <v>18.301939072545267</v>
      </c>
      <c r="AC161" s="21">
        <f t="shared" si="221"/>
        <v>12.348526857189629</v>
      </c>
      <c r="AD161" s="22">
        <f t="shared" si="221"/>
        <v>7.5400937105971764</v>
      </c>
      <c r="AE161" s="7"/>
      <c r="AF161" s="7"/>
    </row>
    <row r="162" spans="1:32" ht="15">
      <c r="A162" s="864"/>
      <c r="B162" s="52" t="s">
        <v>169</v>
      </c>
      <c r="C162" s="4" t="s">
        <v>15</v>
      </c>
      <c r="D162" s="4" t="s">
        <v>15</v>
      </c>
      <c r="E162" s="4" t="s">
        <v>15</v>
      </c>
      <c r="F162" s="4" t="s">
        <v>15</v>
      </c>
      <c r="G162" s="4" t="s">
        <v>15</v>
      </c>
      <c r="H162" s="4" t="s">
        <v>15</v>
      </c>
      <c r="I162" s="245" t="s">
        <v>15</v>
      </c>
      <c r="K162" s="864"/>
      <c r="L162" s="61" t="s">
        <v>169</v>
      </c>
      <c r="M162" s="48" t="s">
        <v>20</v>
      </c>
      <c r="N162" s="2" t="s">
        <v>20</v>
      </c>
      <c r="O162" s="2" t="s">
        <v>20</v>
      </c>
      <c r="P162" s="2" t="s">
        <v>20</v>
      </c>
      <c r="Q162" s="2" t="s">
        <v>20</v>
      </c>
      <c r="R162" s="2" t="s">
        <v>20</v>
      </c>
      <c r="S162" s="50" t="s">
        <v>20</v>
      </c>
      <c r="V162" s="864"/>
      <c r="W162" s="61" t="s">
        <v>169</v>
      </c>
      <c r="X162" s="2" t="s">
        <v>20</v>
      </c>
      <c r="Y162" s="2" t="s">
        <v>20</v>
      </c>
      <c r="Z162" s="2" t="s">
        <v>20</v>
      </c>
      <c r="AA162" s="2" t="s">
        <v>20</v>
      </c>
      <c r="AB162" s="2" t="s">
        <v>20</v>
      </c>
      <c r="AC162" s="2" t="s">
        <v>20</v>
      </c>
      <c r="AD162" s="50" t="s">
        <v>20</v>
      </c>
      <c r="AE162" s="51"/>
      <c r="AF162" s="51"/>
    </row>
    <row r="163" spans="1:32" ht="17.25">
      <c r="A163" s="864"/>
      <c r="B163" s="350" t="s">
        <v>170</v>
      </c>
      <c r="C163" s="4" t="s">
        <v>15</v>
      </c>
      <c r="D163" s="4" t="s">
        <v>15</v>
      </c>
      <c r="E163" s="343">
        <v>16.920000000000002</v>
      </c>
      <c r="F163" s="436">
        <v>17.36</v>
      </c>
      <c r="G163" s="437">
        <v>16.309999999999999</v>
      </c>
      <c r="H163" s="338">
        <v>15.73</v>
      </c>
      <c r="I163" s="205">
        <v>13.51</v>
      </c>
      <c r="K163" s="864"/>
      <c r="L163" s="61" t="s">
        <v>170</v>
      </c>
      <c r="M163" s="48" t="s">
        <v>20</v>
      </c>
      <c r="N163" s="2" t="s">
        <v>20</v>
      </c>
      <c r="O163" s="44">
        <f t="shared" ref="O163:O164" si="222">($O$9*0.514444)/(E163*((PI()/180)))</f>
        <v>522.61471623808723</v>
      </c>
      <c r="P163" s="44">
        <f t="shared" ref="P163:P164" si="223">($P$9*0.514444)/(F163*((PI()/180)))</f>
        <v>594.26350798040573</v>
      </c>
      <c r="Q163" s="21">
        <f t="shared" ref="Q163:Q164" si="224">($Q$9*0.514444)/(G163*((PI()/180)))</f>
        <v>722.88093184127831</v>
      </c>
      <c r="R163" s="44">
        <f t="shared" ref="R163:R164" si="225">($R$9*0.514444)/(H163*((PI()/180)))</f>
        <v>843.22705010315667</v>
      </c>
      <c r="S163" s="45">
        <f t="shared" ref="S163:S164" si="226">($S$9*0.514444)/(I163*((PI()/180)))</f>
        <v>1090.8760176102192</v>
      </c>
      <c r="V163" s="864"/>
      <c r="W163" s="61" t="s">
        <v>170</v>
      </c>
      <c r="X163" s="2" t="s">
        <v>20</v>
      </c>
      <c r="Y163" s="2" t="s">
        <v>20</v>
      </c>
      <c r="Z163" s="2" t="s">
        <v>20</v>
      </c>
      <c r="AA163" s="21">
        <f t="shared" ref="AA163:AD163" si="227">(F163/P163)*100*12.2354989838484</f>
        <v>35.743110506898532</v>
      </c>
      <c r="AB163" s="21">
        <f t="shared" si="227"/>
        <v>27.606342847951154</v>
      </c>
      <c r="AC163" s="21">
        <f t="shared" si="227"/>
        <v>22.824742042180702</v>
      </c>
      <c r="AD163" s="22">
        <f t="shared" si="227"/>
        <v>15.153105266161951</v>
      </c>
      <c r="AE163" s="7"/>
      <c r="AF163" s="7"/>
    </row>
    <row r="164" spans="1:32" ht="17.25">
      <c r="A164" s="864"/>
      <c r="B164" s="52" t="s">
        <v>171</v>
      </c>
      <c r="C164" s="438">
        <v>14.07</v>
      </c>
      <c r="D164" s="338">
        <v>15.74</v>
      </c>
      <c r="E164" s="97">
        <v>16.18</v>
      </c>
      <c r="F164" s="55">
        <v>16.579999999999998</v>
      </c>
      <c r="G164" s="97">
        <v>16.2</v>
      </c>
      <c r="H164" s="141">
        <v>15.14</v>
      </c>
      <c r="I164" s="439">
        <v>13.86</v>
      </c>
      <c r="K164" s="864"/>
      <c r="L164" s="61" t="s">
        <v>171</v>
      </c>
      <c r="M164" s="21">
        <f>($M$9*0.514444)/(C164*((PI()/180)))</f>
        <v>418.98322666422348</v>
      </c>
      <c r="N164" s="21">
        <f>($N$9*0.514444)/(D164*((PI()/180)))</f>
        <v>468.161848726622</v>
      </c>
      <c r="O164" s="44">
        <f t="shared" si="222"/>
        <v>546.51674899557713</v>
      </c>
      <c r="P164" s="44">
        <f t="shared" si="223"/>
        <v>622.22041607598567</v>
      </c>
      <c r="Q164" s="21">
        <f t="shared" si="224"/>
        <v>727.78938261304006</v>
      </c>
      <c r="R164" s="44">
        <f t="shared" si="225"/>
        <v>876.08728521285695</v>
      </c>
      <c r="S164" s="45">
        <f t="shared" si="226"/>
        <v>1063.3286434281429</v>
      </c>
      <c r="V164" s="864"/>
      <c r="W164" s="61" t="s">
        <v>171</v>
      </c>
      <c r="X164" s="21">
        <f t="shared" ref="X164:AD164" si="228">(C164/M164)*100*12.2354989838484</f>
        <v>41.088392027853693</v>
      </c>
      <c r="Y164" s="21">
        <f t="shared" si="228"/>
        <v>41.13678945210949</v>
      </c>
      <c r="Z164" s="21">
        <f t="shared" si="228"/>
        <v>36.224026788293223</v>
      </c>
      <c r="AA164" s="21">
        <f t="shared" si="228"/>
        <v>32.603329609717051</v>
      </c>
      <c r="AB164" s="21">
        <f t="shared" si="228"/>
        <v>27.235226052168652</v>
      </c>
      <c r="AC164" s="21">
        <f t="shared" si="228"/>
        <v>21.144634529247504</v>
      </c>
      <c r="AD164" s="22">
        <f t="shared" si="228"/>
        <v>15.948410396376094</v>
      </c>
      <c r="AE164" s="7"/>
      <c r="AF164" s="7"/>
    </row>
    <row r="165" spans="1:32" ht="15">
      <c r="A165" s="864"/>
      <c r="B165" s="350" t="s">
        <v>172</v>
      </c>
      <c r="C165" s="4" t="s">
        <v>15</v>
      </c>
      <c r="D165" s="4" t="s">
        <v>15</v>
      </c>
      <c r="E165" s="4" t="s">
        <v>15</v>
      </c>
      <c r="F165" s="4" t="s">
        <v>15</v>
      </c>
      <c r="G165" s="4" t="s">
        <v>15</v>
      </c>
      <c r="H165" s="4" t="s">
        <v>15</v>
      </c>
      <c r="I165" s="245" t="s">
        <v>15</v>
      </c>
      <c r="K165" s="864"/>
      <c r="L165" s="61" t="s">
        <v>172</v>
      </c>
      <c r="M165" s="48" t="s">
        <v>20</v>
      </c>
      <c r="N165" s="2" t="s">
        <v>20</v>
      </c>
      <c r="O165" s="2" t="s">
        <v>20</v>
      </c>
      <c r="P165" s="2" t="s">
        <v>20</v>
      </c>
      <c r="Q165" s="2" t="s">
        <v>20</v>
      </c>
      <c r="R165" s="2" t="s">
        <v>20</v>
      </c>
      <c r="S165" s="50" t="s">
        <v>20</v>
      </c>
      <c r="V165" s="864"/>
      <c r="W165" s="61" t="s">
        <v>172</v>
      </c>
      <c r="X165" s="2" t="s">
        <v>20</v>
      </c>
      <c r="Y165" s="2" t="s">
        <v>20</v>
      </c>
      <c r="Z165" s="2" t="s">
        <v>20</v>
      </c>
      <c r="AA165" s="2" t="s">
        <v>20</v>
      </c>
      <c r="AB165" s="2" t="s">
        <v>20</v>
      </c>
      <c r="AC165" s="2" t="s">
        <v>20</v>
      </c>
      <c r="AD165" s="50" t="s">
        <v>20</v>
      </c>
      <c r="AE165" s="51"/>
      <c r="AF165" s="51"/>
    </row>
    <row r="166" spans="1:32" ht="17.25">
      <c r="A166" s="864"/>
      <c r="B166" s="52" t="s">
        <v>173</v>
      </c>
      <c r="C166" s="395">
        <v>15.22</v>
      </c>
      <c r="D166" s="415">
        <v>18.940000000000001</v>
      </c>
      <c r="E166" s="336">
        <v>18.39</v>
      </c>
      <c r="F166" s="93">
        <v>17.05</v>
      </c>
      <c r="G166" s="272">
        <v>16.86</v>
      </c>
      <c r="H166" s="396">
        <v>15</v>
      </c>
      <c r="I166" s="205">
        <v>13.51</v>
      </c>
      <c r="K166" s="864"/>
      <c r="L166" s="61" t="s">
        <v>173</v>
      </c>
      <c r="M166" s="21">
        <f>($M$9*0.514444)/(C166*((PI()/180)))</f>
        <v>387.32549271784654</v>
      </c>
      <c r="N166" s="21">
        <f t="shared" ref="N166:N167" si="229">($N$9*0.514444)/(D166*((PI()/180)))</f>
        <v>389.06375390480622</v>
      </c>
      <c r="O166" s="44">
        <f t="shared" ref="O166:O170" si="230">($O$9*0.514444)/(E166*((PI()/180)))</f>
        <v>480.8396410412418</v>
      </c>
      <c r="P166" s="44">
        <f t="shared" ref="P166:P170" si="231">($P$9*0.514444)/(F166*((PI()/180)))</f>
        <v>605.06829903459482</v>
      </c>
      <c r="Q166" s="21">
        <f t="shared" ref="Q166:Q170" si="232">($Q$9*0.514444)/(G166*((PI()/180)))</f>
        <v>699.29940678121284</v>
      </c>
      <c r="R166" s="44">
        <f t="shared" ref="R166:R170" si="233">($R$9*0.514444)/(H166*((PI()/180)))</f>
        <v>884.26409987484374</v>
      </c>
      <c r="S166" s="45">
        <f t="shared" ref="S166:S170" si="234">($S$9*0.514444)/(I166*((PI()/180)))</f>
        <v>1090.8760176102192</v>
      </c>
      <c r="V166" s="864"/>
      <c r="W166" s="61" t="s">
        <v>173</v>
      </c>
      <c r="X166" s="21">
        <f t="shared" ref="X166:AD166" si="235">(C166/M166)*100*12.2354989838484</f>
        <v>48.079534664099874</v>
      </c>
      <c r="Y166" s="21">
        <f t="shared" si="235"/>
        <v>59.563592965997429</v>
      </c>
      <c r="Z166" s="21">
        <f t="shared" si="235"/>
        <v>46.795398529480394</v>
      </c>
      <c r="AA166" s="21">
        <f t="shared" si="235"/>
        <v>34.477968521482175</v>
      </c>
      <c r="AB166" s="21">
        <f t="shared" si="235"/>
        <v>29.499597864270079</v>
      </c>
      <c r="AC166" s="21">
        <f t="shared" si="235"/>
        <v>20.755392510416591</v>
      </c>
      <c r="AD166" s="22">
        <f t="shared" si="235"/>
        <v>15.153105266161951</v>
      </c>
      <c r="AE166" s="7"/>
      <c r="AF166" s="7"/>
    </row>
    <row r="167" spans="1:32" ht="17.25">
      <c r="A167" s="864"/>
      <c r="B167" s="52" t="s">
        <v>174</v>
      </c>
      <c r="C167" s="4" t="s">
        <v>15</v>
      </c>
      <c r="D167" s="145">
        <v>14.03</v>
      </c>
      <c r="E167" s="260">
        <v>13.59</v>
      </c>
      <c r="F167" s="215">
        <v>13.26</v>
      </c>
      <c r="G167" s="96">
        <v>11.61</v>
      </c>
      <c r="H167" s="255">
        <v>10.58</v>
      </c>
      <c r="I167" s="440">
        <v>9.75</v>
      </c>
      <c r="K167" s="864"/>
      <c r="L167" s="61" t="s">
        <v>174</v>
      </c>
      <c r="M167" s="48" t="s">
        <v>20</v>
      </c>
      <c r="N167" s="21">
        <f t="shared" si="229"/>
        <v>525.22220234903989</v>
      </c>
      <c r="O167" s="44">
        <f t="shared" si="230"/>
        <v>650.67262683947285</v>
      </c>
      <c r="P167" s="44">
        <f t="shared" si="231"/>
        <v>778.01014317796694</v>
      </c>
      <c r="Q167" s="21">
        <f t="shared" si="232"/>
        <v>1015.5200687623816</v>
      </c>
      <c r="R167" s="44">
        <f t="shared" si="233"/>
        <v>1253.6825612592302</v>
      </c>
      <c r="S167" s="45">
        <f t="shared" si="234"/>
        <v>1511.5625638886215</v>
      </c>
      <c r="V167" s="864"/>
      <c r="W167" s="61" t="s">
        <v>174</v>
      </c>
      <c r="X167" s="2" t="s">
        <v>20</v>
      </c>
      <c r="Y167" s="21">
        <f t="shared" ref="Y167:AD167" si="236">(D167/N167)*100*12.2354989838484</f>
        <v>32.684081132829292</v>
      </c>
      <c r="Z167" s="21">
        <f t="shared" si="236"/>
        <v>25.555160050020472</v>
      </c>
      <c r="AA167" s="21">
        <f t="shared" si="236"/>
        <v>20.853547726654426</v>
      </c>
      <c r="AB167" s="21">
        <f t="shared" si="236"/>
        <v>13.988314714016621</v>
      </c>
      <c r="AC167" s="21">
        <f t="shared" si="236"/>
        <v>10.325706303124425</v>
      </c>
      <c r="AD167" s="22">
        <f t="shared" si="236"/>
        <v>7.8922380020859109</v>
      </c>
      <c r="AE167" s="7"/>
      <c r="AF167" s="7"/>
    </row>
    <row r="168" spans="1:32" ht="17.25">
      <c r="A168" s="864"/>
      <c r="B168" s="52" t="s">
        <v>175</v>
      </c>
      <c r="C168" s="4" t="s">
        <v>15</v>
      </c>
      <c r="D168" s="4" t="s">
        <v>15</v>
      </c>
      <c r="E168" s="152">
        <v>14.33</v>
      </c>
      <c r="F168" s="65">
        <v>14.84</v>
      </c>
      <c r="G168" s="147">
        <v>14.66</v>
      </c>
      <c r="H168" s="152">
        <v>14.26</v>
      </c>
      <c r="I168" s="205">
        <v>13.51</v>
      </c>
      <c r="K168" s="864"/>
      <c r="L168" s="61" t="s">
        <v>175</v>
      </c>
      <c r="M168" s="48" t="s">
        <v>20</v>
      </c>
      <c r="N168" s="2" t="s">
        <v>20</v>
      </c>
      <c r="O168" s="44">
        <f t="shared" si="230"/>
        <v>617.0719468770717</v>
      </c>
      <c r="P168" s="44">
        <f t="shared" si="231"/>
        <v>695.17617914688969</v>
      </c>
      <c r="Q168" s="21">
        <f t="shared" si="232"/>
        <v>804.24201898576052</v>
      </c>
      <c r="R168" s="44">
        <f t="shared" si="233"/>
        <v>930.15157770846099</v>
      </c>
      <c r="S168" s="45">
        <f t="shared" si="234"/>
        <v>1090.8760176102192</v>
      </c>
      <c r="V168" s="864"/>
      <c r="W168" s="61" t="s">
        <v>175</v>
      </c>
      <c r="X168" s="2" t="s">
        <v>20</v>
      </c>
      <c r="Y168" s="2" t="s">
        <v>20</v>
      </c>
      <c r="Z168" s="2" t="s">
        <v>20</v>
      </c>
      <c r="AA168" s="21">
        <f t="shared" ref="AA168:AD168" si="237">(F168/P168)*100*12.2354989838484</f>
        <v>26.119250107668574</v>
      </c>
      <c r="AB168" s="21">
        <f t="shared" si="237"/>
        <v>22.303288173058441</v>
      </c>
      <c r="AC168" s="21">
        <f t="shared" si="237"/>
        <v>18.758041129116396</v>
      </c>
      <c r="AD168" s="22">
        <f t="shared" si="237"/>
        <v>15.153105266161951</v>
      </c>
      <c r="AE168" s="7"/>
      <c r="AF168" s="7"/>
    </row>
    <row r="169" spans="1:32" ht="17.25">
      <c r="A169" s="864"/>
      <c r="B169" s="52" t="s">
        <v>142</v>
      </c>
      <c r="C169" s="4" t="s">
        <v>15</v>
      </c>
      <c r="D169" s="4" t="s">
        <v>15</v>
      </c>
      <c r="E169" s="307">
        <v>15.07</v>
      </c>
      <c r="F169" s="127">
        <v>16.420000000000002</v>
      </c>
      <c r="G169" s="157">
        <v>16.03</v>
      </c>
      <c r="H169" s="92">
        <v>16.7</v>
      </c>
      <c r="I169" s="275">
        <v>16.36</v>
      </c>
      <c r="K169" s="864"/>
      <c r="L169" s="61" t="s">
        <v>142</v>
      </c>
      <c r="M169" s="48" t="s">
        <v>20</v>
      </c>
      <c r="N169" s="2" t="s">
        <v>20</v>
      </c>
      <c r="O169" s="44">
        <f t="shared" si="230"/>
        <v>586.7711346216613</v>
      </c>
      <c r="P169" s="44">
        <f t="shared" si="231"/>
        <v>628.28346519731065</v>
      </c>
      <c r="Q169" s="21">
        <f t="shared" si="232"/>
        <v>735.50767300881148</v>
      </c>
      <c r="R169" s="44">
        <f t="shared" si="233"/>
        <v>794.24919150435062</v>
      </c>
      <c r="S169" s="45">
        <f t="shared" si="234"/>
        <v>900.83954754975912</v>
      </c>
      <c r="V169" s="864"/>
      <c r="W169" s="61" t="s">
        <v>142</v>
      </c>
      <c r="X169" s="2" t="s">
        <v>20</v>
      </c>
      <c r="Y169" s="2" t="s">
        <v>20</v>
      </c>
      <c r="Z169" s="2" t="s">
        <v>20</v>
      </c>
      <c r="AA169" s="21">
        <f t="shared" ref="AA169:AD169" si="238">(F169/P169)*100*12.2354989838484</f>
        <v>31.97710976711706</v>
      </c>
      <c r="AB169" s="21">
        <f t="shared" si="238"/>
        <v>26.666621696649539</v>
      </c>
      <c r="AC169" s="21">
        <f t="shared" si="238"/>
        <v>25.726539632133701</v>
      </c>
      <c r="AD169" s="22">
        <f t="shared" si="238"/>
        <v>22.22069001302399</v>
      </c>
      <c r="AE169" s="7"/>
      <c r="AF169" s="7"/>
    </row>
    <row r="170" spans="1:32" ht="17.25">
      <c r="A170" s="864"/>
      <c r="B170" s="52" t="s">
        <v>176</v>
      </c>
      <c r="C170" s="4" t="s">
        <v>15</v>
      </c>
      <c r="D170" s="174">
        <v>17.61</v>
      </c>
      <c r="E170" s="104">
        <v>17.29</v>
      </c>
      <c r="F170" s="127">
        <v>16.420000000000002</v>
      </c>
      <c r="G170" s="147">
        <v>14.66</v>
      </c>
      <c r="H170" s="288">
        <v>13.04</v>
      </c>
      <c r="I170" s="441">
        <v>10.19</v>
      </c>
      <c r="K170" s="864"/>
      <c r="L170" s="61" t="s">
        <v>176</v>
      </c>
      <c r="M170" s="48" t="s">
        <v>20</v>
      </c>
      <c r="N170" s="21">
        <f>($N$9*0.514444)/(D170*((PI()/180)))</f>
        <v>418.44789886184162</v>
      </c>
      <c r="O170" s="44">
        <f t="shared" si="230"/>
        <v>511.43094266908253</v>
      </c>
      <c r="P170" s="44">
        <f t="shared" si="231"/>
        <v>628.28346519731065</v>
      </c>
      <c r="Q170" s="21">
        <f t="shared" si="232"/>
        <v>804.24201898576052</v>
      </c>
      <c r="R170" s="44">
        <f t="shared" si="233"/>
        <v>1017.1749615124735</v>
      </c>
      <c r="S170" s="45">
        <f t="shared" si="234"/>
        <v>1446.2939153988284</v>
      </c>
      <c r="V170" s="864"/>
      <c r="W170" s="61" t="s">
        <v>176</v>
      </c>
      <c r="X170" s="2" t="s">
        <v>20</v>
      </c>
      <c r="Y170" s="21">
        <f t="shared" ref="Y170:AD170" si="239">(D170/N170)*100*12.2354989838484</f>
        <v>51.491986861836487</v>
      </c>
      <c r="Z170" s="21">
        <f t="shared" si="239"/>
        <v>41.364680894488195</v>
      </c>
      <c r="AA170" s="21">
        <f t="shared" si="239"/>
        <v>31.97710976711706</v>
      </c>
      <c r="AB170" s="21">
        <f t="shared" si="239"/>
        <v>22.303288173058441</v>
      </c>
      <c r="AC170" s="21">
        <f t="shared" si="239"/>
        <v>15.68568956044113</v>
      </c>
      <c r="AD170" s="22">
        <f t="shared" si="239"/>
        <v>8.6206360490034726</v>
      </c>
      <c r="AE170" s="7"/>
      <c r="AF170" s="7"/>
    </row>
    <row r="171" spans="1:32" ht="15">
      <c r="A171" s="864"/>
      <c r="B171" s="52" t="s">
        <v>177</v>
      </c>
      <c r="C171" s="4" t="s">
        <v>15</v>
      </c>
      <c r="D171" s="4" t="s">
        <v>15</v>
      </c>
      <c r="E171" s="4" t="s">
        <v>15</v>
      </c>
      <c r="F171" s="4" t="s">
        <v>15</v>
      </c>
      <c r="G171" s="4" t="s">
        <v>15</v>
      </c>
      <c r="H171" s="4" t="s">
        <v>15</v>
      </c>
      <c r="I171" s="245" t="s">
        <v>15</v>
      </c>
      <c r="K171" s="864"/>
      <c r="L171" s="61" t="s">
        <v>177</v>
      </c>
      <c r="M171" s="48" t="s">
        <v>20</v>
      </c>
      <c r="N171" s="2" t="s">
        <v>20</v>
      </c>
      <c r="O171" s="2" t="s">
        <v>20</v>
      </c>
      <c r="P171" s="2" t="s">
        <v>20</v>
      </c>
      <c r="Q171" s="2" t="s">
        <v>20</v>
      </c>
      <c r="R171" s="2" t="s">
        <v>20</v>
      </c>
      <c r="S171" s="50" t="s">
        <v>20</v>
      </c>
      <c r="V171" s="864"/>
      <c r="W171" s="61" t="s">
        <v>177</v>
      </c>
      <c r="X171" s="2" t="s">
        <v>20</v>
      </c>
      <c r="Y171" s="2" t="s">
        <v>20</v>
      </c>
      <c r="Z171" s="2" t="s">
        <v>20</v>
      </c>
      <c r="AA171" s="2" t="s">
        <v>20</v>
      </c>
      <c r="AB171" s="2" t="s">
        <v>20</v>
      </c>
      <c r="AC171" s="2" t="s">
        <v>20</v>
      </c>
      <c r="AD171" s="50" t="s">
        <v>20</v>
      </c>
      <c r="AE171" s="51"/>
      <c r="AF171" s="51"/>
    </row>
    <row r="172" spans="1:32" ht="17.25">
      <c r="A172" s="864"/>
      <c r="B172" s="52" t="s">
        <v>178</v>
      </c>
      <c r="C172" s="90">
        <v>15.79</v>
      </c>
      <c r="D172" s="174">
        <v>17.61</v>
      </c>
      <c r="E172" s="55">
        <v>16.55</v>
      </c>
      <c r="F172" s="203">
        <v>16.100000000000001</v>
      </c>
      <c r="G172" s="396">
        <v>14.93</v>
      </c>
      <c r="H172" s="215">
        <v>13.28</v>
      </c>
      <c r="I172" s="394">
        <v>11.96</v>
      </c>
      <c r="K172" s="864"/>
      <c r="L172" s="61" t="s">
        <v>178</v>
      </c>
      <c r="M172" s="21">
        <f t="shared" ref="M172:M173" si="240">($M$9*0.514444)/(C172*((PI()/180)))</f>
        <v>373.34350849687297</v>
      </c>
      <c r="N172" s="21">
        <f t="shared" ref="N172:N173" si="241">($N$9*0.514444)/(D172*((PI()/180)))</f>
        <v>418.44789886184162</v>
      </c>
      <c r="O172" s="44">
        <f t="shared" ref="O172:O193" si="242">($O$9*0.514444)/(E172*((PI()/180)))</f>
        <v>534.29854977331945</v>
      </c>
      <c r="P172" s="44">
        <f t="shared" ref="P172:P193" si="243">($P$9*0.514444)/(F172*((PI()/180)))</f>
        <v>640.77108686582869</v>
      </c>
      <c r="Q172" s="21">
        <f t="shared" ref="Q172:Q193" si="244">($Q$9*0.514444)/(G172*((PI()/180)))</f>
        <v>789.69778957342589</v>
      </c>
      <c r="R172" s="44">
        <f t="shared" ref="R172:R193" si="245">($R$9*0.514444)/(H172*((PI()/180)))</f>
        <v>998.79228148513971</v>
      </c>
      <c r="S172" s="45">
        <f t="shared" ref="S172:S193" si="246">($S$9*0.514444)/(I172*((PI()/180)))</f>
        <v>1232.2520901265937</v>
      </c>
      <c r="V172" s="864"/>
      <c r="W172" s="61" t="s">
        <v>178</v>
      </c>
      <c r="X172" s="21">
        <f t="shared" ref="X172:AD172" si="247">(C172/M172)*100*12.2354989838484</f>
        <v>51.748195578063566</v>
      </c>
      <c r="Y172" s="21">
        <f t="shared" si="247"/>
        <v>51.491986861836487</v>
      </c>
      <c r="Z172" s="21">
        <f t="shared" si="247"/>
        <v>37.899692647229209</v>
      </c>
      <c r="AA172" s="21">
        <f t="shared" si="247"/>
        <v>30.742887386429064</v>
      </c>
      <c r="AB172" s="21">
        <f t="shared" si="247"/>
        <v>23.132393459975795</v>
      </c>
      <c r="AC172" s="21">
        <f t="shared" si="247"/>
        <v>16.268390286706904</v>
      </c>
      <c r="AD172" s="22">
        <f t="shared" si="247"/>
        <v>11.875538213272026</v>
      </c>
      <c r="AE172" s="7"/>
      <c r="AF172" s="7"/>
    </row>
    <row r="173" spans="1:32" ht="17.25">
      <c r="A173" s="864"/>
      <c r="B173" s="52" t="s">
        <v>179</v>
      </c>
      <c r="C173" s="442">
        <v>19.45</v>
      </c>
      <c r="D173" s="443">
        <v>20.399999999999999</v>
      </c>
      <c r="E173" s="444">
        <v>19.82</v>
      </c>
      <c r="F173" s="415">
        <v>18.989999999999998</v>
      </c>
      <c r="G173" s="445">
        <v>18.45</v>
      </c>
      <c r="H173" s="98">
        <v>17.170000000000002</v>
      </c>
      <c r="I173" s="446">
        <v>15.61</v>
      </c>
      <c r="K173" s="864"/>
      <c r="L173" s="61" t="s">
        <v>179</v>
      </c>
      <c r="M173" s="21">
        <f t="shared" si="240"/>
        <v>303.08966576687016</v>
      </c>
      <c r="N173" s="21">
        <f t="shared" si="241"/>
        <v>361.21899504691322</v>
      </c>
      <c r="O173" s="44">
        <f t="shared" si="242"/>
        <v>446.14737632434088</v>
      </c>
      <c r="P173" s="44">
        <f t="shared" si="243"/>
        <v>543.2551078746626</v>
      </c>
      <c r="Q173" s="21">
        <f t="shared" si="244"/>
        <v>639.03457985535226</v>
      </c>
      <c r="R173" s="44">
        <f t="shared" si="245"/>
        <v>772.50794980329965</v>
      </c>
      <c r="S173" s="45">
        <f t="shared" si="246"/>
        <v>944.12139640705072</v>
      </c>
      <c r="V173" s="864"/>
      <c r="W173" s="61" t="s">
        <v>179</v>
      </c>
      <c r="X173" s="21">
        <f t="shared" ref="X173:AD173" si="248">(C173/M173)*100*12.2354989838484</f>
        <v>78.518168751718733</v>
      </c>
      <c r="Y173" s="21">
        <f t="shared" si="248"/>
        <v>69.100513177079748</v>
      </c>
      <c r="Z173" s="21">
        <f t="shared" si="248"/>
        <v>54.355937685393172</v>
      </c>
      <c r="AA173" s="21">
        <f t="shared" si="248"/>
        <v>42.770352700832468</v>
      </c>
      <c r="AB173" s="21">
        <f t="shared" si="248"/>
        <v>35.32593749513542</v>
      </c>
      <c r="AC173" s="21">
        <f t="shared" si="248"/>
        <v>27.194997489174025</v>
      </c>
      <c r="AD173" s="22">
        <f t="shared" si="248"/>
        <v>20.230040317349928</v>
      </c>
      <c r="AE173" s="7"/>
      <c r="AF173" s="7"/>
    </row>
    <row r="174" spans="1:32" ht="17.25">
      <c r="A174" s="864"/>
      <c r="B174" s="52" t="s">
        <v>180</v>
      </c>
      <c r="C174" s="4" t="s">
        <v>15</v>
      </c>
      <c r="D174" s="4" t="s">
        <v>15</v>
      </c>
      <c r="E174" s="90">
        <v>15.82</v>
      </c>
      <c r="F174" s="203">
        <v>16.100000000000001</v>
      </c>
      <c r="G174" s="55">
        <v>16.579999999999998</v>
      </c>
      <c r="H174" s="67">
        <v>15.49</v>
      </c>
      <c r="I174" s="257">
        <v>14.39</v>
      </c>
      <c r="K174" s="864"/>
      <c r="L174" s="61" t="s">
        <v>180</v>
      </c>
      <c r="M174" s="48" t="s">
        <v>20</v>
      </c>
      <c r="N174" s="2" t="s">
        <v>20</v>
      </c>
      <c r="O174" s="44">
        <f t="shared" si="242"/>
        <v>558.95328689939549</v>
      </c>
      <c r="P174" s="44">
        <f t="shared" si="243"/>
        <v>640.77108686582869</v>
      </c>
      <c r="Q174" s="21">
        <f t="shared" si="244"/>
        <v>711.10904694398369</v>
      </c>
      <c r="R174" s="44">
        <f t="shared" si="245"/>
        <v>856.29189787751159</v>
      </c>
      <c r="S174" s="45">
        <f t="shared" si="246"/>
        <v>1024.1650450252994</v>
      </c>
      <c r="V174" s="864"/>
      <c r="W174" s="61" t="s">
        <v>180</v>
      </c>
      <c r="X174" s="2" t="s">
        <v>20</v>
      </c>
      <c r="Y174" s="2" t="s">
        <v>20</v>
      </c>
      <c r="Z174" s="2" t="s">
        <v>20</v>
      </c>
      <c r="AA174" s="21">
        <f t="shared" ref="AA174:AD174" si="249">(F174/P174)*100*12.2354989838484</f>
        <v>30.742887386429064</v>
      </c>
      <c r="AB174" s="21">
        <f t="shared" si="249"/>
        <v>28.527913408502418</v>
      </c>
      <c r="AC174" s="21">
        <f t="shared" si="249"/>
        <v>22.133559797727148</v>
      </c>
      <c r="AD174" s="22">
        <f t="shared" si="249"/>
        <v>17.191450853824946</v>
      </c>
      <c r="AE174" s="7"/>
      <c r="AF174" s="7"/>
    </row>
    <row r="175" spans="1:32" ht="17.25">
      <c r="A175" s="865"/>
      <c r="B175" s="70" t="s">
        <v>181</v>
      </c>
      <c r="C175" s="237" t="s">
        <v>15</v>
      </c>
      <c r="D175" s="237" t="s">
        <v>15</v>
      </c>
      <c r="E175" s="447">
        <v>10.96</v>
      </c>
      <c r="F175" s="448">
        <v>11.66</v>
      </c>
      <c r="G175" s="449">
        <v>11.61</v>
      </c>
      <c r="H175" s="402">
        <v>11.57</v>
      </c>
      <c r="I175" s="450">
        <v>11.3</v>
      </c>
      <c r="K175" s="865"/>
      <c r="L175" s="77" t="s">
        <v>181</v>
      </c>
      <c r="M175" s="114" t="s">
        <v>20</v>
      </c>
      <c r="N175" s="115" t="s">
        <v>20</v>
      </c>
      <c r="O175" s="78">
        <f t="shared" si="242"/>
        <v>806.81031010478432</v>
      </c>
      <c r="P175" s="78">
        <f t="shared" si="243"/>
        <v>884.76968255058682</v>
      </c>
      <c r="Q175" s="32">
        <f t="shared" si="244"/>
        <v>1015.5200687623816</v>
      </c>
      <c r="R175" s="78">
        <f t="shared" si="245"/>
        <v>1146.4098096908085</v>
      </c>
      <c r="S175" s="79">
        <f t="shared" si="246"/>
        <v>1304.2243360985892</v>
      </c>
      <c r="V175" s="865"/>
      <c r="W175" s="77" t="s">
        <v>181</v>
      </c>
      <c r="X175" s="115" t="s">
        <v>20</v>
      </c>
      <c r="Y175" s="115" t="s">
        <v>20</v>
      </c>
      <c r="Z175" s="115" t="s">
        <v>20</v>
      </c>
      <c r="AA175" s="32">
        <f t="shared" ref="AA175:AD175" si="250">(F175/P175)*100*12.2354989838484</f>
        <v>16.124639097081111</v>
      </c>
      <c r="AB175" s="32">
        <f t="shared" si="250"/>
        <v>13.988314714016621</v>
      </c>
      <c r="AC175" s="32">
        <f t="shared" si="250"/>
        <v>12.348526857189629</v>
      </c>
      <c r="AD175" s="33">
        <f t="shared" si="250"/>
        <v>10.601024278620381</v>
      </c>
      <c r="AE175" s="7"/>
      <c r="AF175" s="7"/>
    </row>
    <row r="176" spans="1:32" ht="17.25">
      <c r="A176" s="866">
        <v>8.6999999999999993</v>
      </c>
      <c r="B176" s="80" t="s">
        <v>182</v>
      </c>
      <c r="C176" s="224" t="s">
        <v>15</v>
      </c>
      <c r="D176" s="224" t="s">
        <v>15</v>
      </c>
      <c r="E176" s="451">
        <v>14.7</v>
      </c>
      <c r="F176" s="452">
        <v>14.53</v>
      </c>
      <c r="G176" s="229">
        <v>13.28</v>
      </c>
      <c r="H176" s="453">
        <v>12.3</v>
      </c>
      <c r="I176" s="454">
        <v>10.86</v>
      </c>
      <c r="K176" s="863">
        <v>8.6999999999999993</v>
      </c>
      <c r="L176" s="83" t="s">
        <v>182</v>
      </c>
      <c r="M176" s="84" t="s">
        <v>20</v>
      </c>
      <c r="N176" s="85" t="s">
        <v>20</v>
      </c>
      <c r="O176" s="123">
        <f t="shared" si="242"/>
        <v>601.54020399649232</v>
      </c>
      <c r="P176" s="123">
        <f t="shared" si="243"/>
        <v>710.00788014727061</v>
      </c>
      <c r="Q176" s="122">
        <f t="shared" si="244"/>
        <v>887.81536132012423</v>
      </c>
      <c r="R176" s="123">
        <f t="shared" si="245"/>
        <v>1078.3708535059068</v>
      </c>
      <c r="S176" s="124">
        <f t="shared" si="246"/>
        <v>1357.0658377453094</v>
      </c>
      <c r="V176" s="863">
        <v>8.6999999999999993</v>
      </c>
      <c r="W176" s="83" t="s">
        <v>182</v>
      </c>
      <c r="X176" s="85" t="s">
        <v>20</v>
      </c>
      <c r="Y176" s="85" t="s">
        <v>20</v>
      </c>
      <c r="Z176" s="85" t="s">
        <v>20</v>
      </c>
      <c r="AA176" s="122">
        <f t="shared" ref="AA176:AD176" si="251">(F176/P176)*100*12.2354989838484</f>
        <v>25.039412266585206</v>
      </c>
      <c r="AB176" s="122">
        <f t="shared" si="251"/>
        <v>18.301939072545267</v>
      </c>
      <c r="AC176" s="122">
        <f t="shared" si="251"/>
        <v>13.95592592400412</v>
      </c>
      <c r="AD176" s="125">
        <f t="shared" si="251"/>
        <v>9.7915307620861132</v>
      </c>
      <c r="AE176" s="7"/>
      <c r="AF176" s="7"/>
    </row>
    <row r="177" spans="1:32" ht="17.25">
      <c r="A177" s="864"/>
      <c r="B177" s="52" t="s">
        <v>165</v>
      </c>
      <c r="C177" s="4" t="s">
        <v>15</v>
      </c>
      <c r="D177" s="4" t="s">
        <v>15</v>
      </c>
      <c r="E177" s="97">
        <v>16.18</v>
      </c>
      <c r="F177" s="203">
        <v>16.100000000000001</v>
      </c>
      <c r="G177" s="67">
        <v>15.48</v>
      </c>
      <c r="H177" s="201">
        <v>13.77</v>
      </c>
      <c r="I177" s="455">
        <v>12.41</v>
      </c>
      <c r="K177" s="864"/>
      <c r="L177" s="61" t="s">
        <v>165</v>
      </c>
      <c r="M177" s="48" t="s">
        <v>20</v>
      </c>
      <c r="N177" s="2" t="s">
        <v>20</v>
      </c>
      <c r="O177" s="44">
        <f t="shared" si="242"/>
        <v>546.51674899557713</v>
      </c>
      <c r="P177" s="44">
        <f t="shared" si="243"/>
        <v>640.77108686582869</v>
      </c>
      <c r="Q177" s="21">
        <f t="shared" si="244"/>
        <v>761.6400515717861</v>
      </c>
      <c r="R177" s="44">
        <f t="shared" si="245"/>
        <v>963.25065345843541</v>
      </c>
      <c r="S177" s="45">
        <f t="shared" si="246"/>
        <v>1187.5692987843722</v>
      </c>
      <c r="V177" s="864"/>
      <c r="W177" s="61" t="s">
        <v>165</v>
      </c>
      <c r="X177" s="2" t="s">
        <v>20</v>
      </c>
      <c r="Y177" s="2" t="s">
        <v>20</v>
      </c>
      <c r="Z177" s="2" t="s">
        <v>20</v>
      </c>
      <c r="AA177" s="21">
        <f t="shared" ref="AA177:AD177" si="252">(F177/P177)*100*12.2354989838484</f>
        <v>30.742887386429064</v>
      </c>
      <c r="AB177" s="21">
        <f t="shared" si="252"/>
        <v>24.868115047140662</v>
      </c>
      <c r="AC177" s="21">
        <f t="shared" si="252"/>
        <v>17.49106739794831</v>
      </c>
      <c r="AD177" s="22">
        <f t="shared" si="252"/>
        <v>12.785994261133959</v>
      </c>
      <c r="AE177" s="7"/>
      <c r="AF177" s="7"/>
    </row>
    <row r="178" spans="1:32" ht="17.25">
      <c r="A178" s="864"/>
      <c r="B178" s="52" t="s">
        <v>183</v>
      </c>
      <c r="C178" s="4" t="s">
        <v>15</v>
      </c>
      <c r="D178" s="4" t="s">
        <v>15</v>
      </c>
      <c r="E178" s="324">
        <v>11.71</v>
      </c>
      <c r="F178" s="456">
        <v>11.02</v>
      </c>
      <c r="G178" s="271">
        <v>10.220000000000001</v>
      </c>
      <c r="H178" s="423">
        <v>8.84</v>
      </c>
      <c r="I178" s="457">
        <v>7.74</v>
      </c>
      <c r="K178" s="864"/>
      <c r="L178" s="61" t="s">
        <v>183</v>
      </c>
      <c r="M178" s="48" t="s">
        <v>20</v>
      </c>
      <c r="N178" s="2" t="s">
        <v>20</v>
      </c>
      <c r="O178" s="44">
        <f t="shared" si="242"/>
        <v>755.1358666736495</v>
      </c>
      <c r="P178" s="44">
        <f t="shared" si="243"/>
        <v>936.1537657477171</v>
      </c>
      <c r="Q178" s="21">
        <f t="shared" si="244"/>
        <v>1153.6387473905331</v>
      </c>
      <c r="R178" s="44">
        <f t="shared" si="245"/>
        <v>1500.4481332717935</v>
      </c>
      <c r="S178" s="45">
        <f t="shared" si="246"/>
        <v>1904.100128929465</v>
      </c>
      <c r="V178" s="864"/>
      <c r="W178" s="61" t="s">
        <v>183</v>
      </c>
      <c r="X178" s="2" t="s">
        <v>20</v>
      </c>
      <c r="Y178" s="2" t="s">
        <v>20</v>
      </c>
      <c r="Z178" s="2" t="s">
        <v>20</v>
      </c>
      <c r="AA178" s="21">
        <f t="shared" ref="AA178:AD178" si="253">(F178/P178)*100*12.2354989838484</f>
        <v>14.403103820697115</v>
      </c>
      <c r="AB178" s="21">
        <f t="shared" si="253"/>
        <v>10.839337695424984</v>
      </c>
      <c r="AC178" s="21">
        <f t="shared" si="253"/>
        <v>7.2086337820533819</v>
      </c>
      <c r="AD178" s="22">
        <f t="shared" si="253"/>
        <v>4.9736230094281337</v>
      </c>
      <c r="AE178" s="7"/>
      <c r="AF178" s="7"/>
    </row>
    <row r="179" spans="1:32" ht="17.25">
      <c r="A179" s="864"/>
      <c r="B179" s="52" t="s">
        <v>184</v>
      </c>
      <c r="C179" s="411">
        <v>18.05</v>
      </c>
      <c r="D179" s="415">
        <v>18.940000000000001</v>
      </c>
      <c r="E179" s="411">
        <v>18.03</v>
      </c>
      <c r="F179" s="93">
        <v>17.05</v>
      </c>
      <c r="G179" s="395">
        <v>15.21</v>
      </c>
      <c r="H179" s="145">
        <v>14.02</v>
      </c>
      <c r="I179" s="394">
        <v>11.96</v>
      </c>
      <c r="K179" s="864"/>
      <c r="L179" s="61" t="s">
        <v>184</v>
      </c>
      <c r="M179" s="21">
        <f>($M$9*0.514444)/(C179*((PI()/180)))</f>
        <v>326.59800549394043</v>
      </c>
      <c r="N179" s="21">
        <f>($N$9*0.514444)/(D179*((PI()/180)))</f>
        <v>389.06375390480622</v>
      </c>
      <c r="O179" s="44">
        <f t="shared" si="242"/>
        <v>490.44043254289721</v>
      </c>
      <c r="P179" s="44">
        <f t="shared" si="243"/>
        <v>605.06829903459482</v>
      </c>
      <c r="Q179" s="21">
        <f t="shared" si="244"/>
        <v>775.16028917365213</v>
      </c>
      <c r="R179" s="44">
        <f t="shared" si="245"/>
        <v>946.0742865993335</v>
      </c>
      <c r="S179" s="45">
        <f t="shared" si="246"/>
        <v>1232.2520901265937</v>
      </c>
      <c r="V179" s="864"/>
      <c r="W179" s="61" t="s">
        <v>184</v>
      </c>
      <c r="X179" s="21">
        <f t="shared" ref="X179:AD179" si="254">(C179/M179)*100*12.2354989838484</f>
        <v>67.621587683750022</v>
      </c>
      <c r="Y179" s="21">
        <f t="shared" si="254"/>
        <v>59.563592965997429</v>
      </c>
      <c r="Z179" s="21">
        <f t="shared" si="254"/>
        <v>44.981211180929897</v>
      </c>
      <c r="AA179" s="21">
        <f t="shared" si="254"/>
        <v>34.477968521482175</v>
      </c>
      <c r="AB179" s="21">
        <f t="shared" si="254"/>
        <v>24.008188002345335</v>
      </c>
      <c r="AC179" s="21">
        <f t="shared" si="254"/>
        <v>18.13194779557551</v>
      </c>
      <c r="AD179" s="22">
        <f t="shared" si="254"/>
        <v>11.875538213272026</v>
      </c>
      <c r="AE179" s="7"/>
      <c r="AF179" s="7"/>
    </row>
    <row r="180" spans="1:32" ht="17.25">
      <c r="A180" s="864"/>
      <c r="B180" s="52" t="s">
        <v>185</v>
      </c>
      <c r="C180" s="4" t="s">
        <v>15</v>
      </c>
      <c r="D180" s="4" t="s">
        <v>15</v>
      </c>
      <c r="E180" s="146">
        <v>14.7</v>
      </c>
      <c r="F180" s="63">
        <v>14.53</v>
      </c>
      <c r="G180" s="201">
        <v>13.83</v>
      </c>
      <c r="H180" s="215">
        <v>13.28</v>
      </c>
      <c r="I180" s="378">
        <v>13.29</v>
      </c>
      <c r="K180" s="864"/>
      <c r="L180" s="61" t="s">
        <v>185</v>
      </c>
      <c r="M180" s="48" t="s">
        <v>20</v>
      </c>
      <c r="N180" s="2" t="s">
        <v>20</v>
      </c>
      <c r="O180" s="44">
        <f t="shared" si="242"/>
        <v>601.54020399649232</v>
      </c>
      <c r="P180" s="44">
        <f t="shared" si="243"/>
        <v>710.00788014727061</v>
      </c>
      <c r="Q180" s="21">
        <f t="shared" si="244"/>
        <v>852.50817052286686</v>
      </c>
      <c r="R180" s="44">
        <f t="shared" si="245"/>
        <v>998.79228148513971</v>
      </c>
      <c r="S180" s="45">
        <f t="shared" si="246"/>
        <v>1108.9341608663703</v>
      </c>
      <c r="V180" s="864"/>
      <c r="W180" s="61" t="s">
        <v>185</v>
      </c>
      <c r="X180" s="2" t="s">
        <v>20</v>
      </c>
      <c r="Y180" s="2" t="s">
        <v>20</v>
      </c>
      <c r="Z180" s="2" t="s">
        <v>20</v>
      </c>
      <c r="AA180" s="21">
        <f t="shared" ref="AA180:AD180" si="255">(F180/P180)*100*12.2354989838484</f>
        <v>25.039412266585206</v>
      </c>
      <c r="AB180" s="21">
        <f t="shared" si="255"/>
        <v>19.8493054726781</v>
      </c>
      <c r="AC180" s="21">
        <f t="shared" si="255"/>
        <v>16.268390286706904</v>
      </c>
      <c r="AD180" s="22">
        <f t="shared" si="255"/>
        <v>14.663610089196283</v>
      </c>
      <c r="AE180" s="7"/>
      <c r="AF180" s="7"/>
    </row>
    <row r="181" spans="1:32" ht="17.25">
      <c r="A181" s="864"/>
      <c r="B181" s="52" t="s">
        <v>186</v>
      </c>
      <c r="C181" s="458">
        <v>12.74</v>
      </c>
      <c r="D181" s="285">
        <v>13.85</v>
      </c>
      <c r="E181" s="294">
        <v>14.15</v>
      </c>
      <c r="F181" s="294">
        <v>14.11</v>
      </c>
      <c r="G181" s="152">
        <v>14.27</v>
      </c>
      <c r="H181" s="145">
        <v>14.02</v>
      </c>
      <c r="I181" s="211">
        <v>13.18</v>
      </c>
      <c r="K181" s="864"/>
      <c r="L181" s="61" t="s">
        <v>186</v>
      </c>
      <c r="M181" s="21">
        <f>($M$9*0.514444)/(C181*((PI()/180)))</f>
        <v>462.7232338434556</v>
      </c>
      <c r="N181" s="21">
        <f>($N$9*0.514444)/(D181*((PI()/180)))</f>
        <v>532.04819487054363</v>
      </c>
      <c r="O181" s="44">
        <f t="shared" si="242"/>
        <v>624.92162535324644</v>
      </c>
      <c r="P181" s="44">
        <f t="shared" si="243"/>
        <v>731.1420622636316</v>
      </c>
      <c r="Q181" s="21">
        <f t="shared" si="244"/>
        <v>826.2220040876839</v>
      </c>
      <c r="R181" s="44">
        <f t="shared" si="245"/>
        <v>946.0742865993335</v>
      </c>
      <c r="S181" s="45">
        <f t="shared" si="246"/>
        <v>1118.1893018144203</v>
      </c>
      <c r="V181" s="864"/>
      <c r="W181" s="61" t="s">
        <v>186</v>
      </c>
      <c r="X181" s="21">
        <f t="shared" ref="X181:AD181" si="256">(C181/M181)*100*12.2354989838484</f>
        <v>33.687579454236925</v>
      </c>
      <c r="Y181" s="21">
        <f t="shared" si="256"/>
        <v>31.850810238635102</v>
      </c>
      <c r="Z181" s="21">
        <f t="shared" si="256"/>
        <v>27.704643846112575</v>
      </c>
      <c r="AA181" s="21">
        <f t="shared" si="256"/>
        <v>23.612769606989207</v>
      </c>
      <c r="AB181" s="21">
        <f t="shared" si="256"/>
        <v>21.132403837672051</v>
      </c>
      <c r="AC181" s="21">
        <f t="shared" si="256"/>
        <v>18.13194779557551</v>
      </c>
      <c r="AD181" s="22">
        <f t="shared" si="256"/>
        <v>14.421876183705965</v>
      </c>
      <c r="AE181" s="7"/>
      <c r="AF181" s="7"/>
    </row>
    <row r="182" spans="1:32" ht="17.25">
      <c r="A182" s="864"/>
      <c r="B182" s="52" t="s">
        <v>187</v>
      </c>
      <c r="C182" s="4" t="s">
        <v>15</v>
      </c>
      <c r="D182" s="4" t="s">
        <v>15</v>
      </c>
      <c r="E182" s="213">
        <v>12.09</v>
      </c>
      <c r="F182" s="176">
        <v>12.3</v>
      </c>
      <c r="G182" s="256">
        <v>12.17</v>
      </c>
      <c r="H182" s="332">
        <v>12.06</v>
      </c>
      <c r="I182" s="425">
        <v>11.52</v>
      </c>
      <c r="K182" s="864"/>
      <c r="L182" s="61" t="s">
        <v>187</v>
      </c>
      <c r="M182" s="48" t="s">
        <v>20</v>
      </c>
      <c r="N182" s="2" t="s">
        <v>20</v>
      </c>
      <c r="O182" s="44">
        <f t="shared" si="242"/>
        <v>731.40124059126856</v>
      </c>
      <c r="P182" s="44">
        <f t="shared" si="243"/>
        <v>838.73288606014967</v>
      </c>
      <c r="Q182" s="21">
        <f t="shared" si="244"/>
        <v>968.79112558186114</v>
      </c>
      <c r="R182" s="44">
        <f t="shared" si="245"/>
        <v>1099.8309699935867</v>
      </c>
      <c r="S182" s="45">
        <f t="shared" si="246"/>
        <v>1279.3172741244846</v>
      </c>
      <c r="V182" s="864"/>
      <c r="W182" s="61" t="s">
        <v>187</v>
      </c>
      <c r="X182" s="2" t="s">
        <v>20</v>
      </c>
      <c r="Y182" s="2" t="s">
        <v>20</v>
      </c>
      <c r="Z182" s="2" t="s">
        <v>20</v>
      </c>
      <c r="AA182" s="21">
        <f t="shared" ref="AA182:AD182" si="257">(F182/P182)*100*12.2354989838484</f>
        <v>17.943333330862441</v>
      </c>
      <c r="AB182" s="21">
        <f t="shared" si="257"/>
        <v>15.370291768930198</v>
      </c>
      <c r="AC182" s="21">
        <f t="shared" si="257"/>
        <v>13.416617805013452</v>
      </c>
      <c r="AD182" s="22">
        <f t="shared" si="257"/>
        <v>11.017825768857559</v>
      </c>
      <c r="AE182" s="7"/>
      <c r="AF182" s="7"/>
    </row>
    <row r="183" spans="1:32" ht="17.25">
      <c r="A183" s="864"/>
      <c r="B183" s="52" t="s">
        <v>188</v>
      </c>
      <c r="C183" s="4" t="s">
        <v>15</v>
      </c>
      <c r="D183" s="4" t="s">
        <v>15</v>
      </c>
      <c r="E183" s="343">
        <v>16.920000000000002</v>
      </c>
      <c r="F183" s="90">
        <v>15.79</v>
      </c>
      <c r="G183" s="395">
        <v>15.21</v>
      </c>
      <c r="H183" s="152">
        <v>14.26</v>
      </c>
      <c r="I183" s="335">
        <v>12.85</v>
      </c>
      <c r="K183" s="864"/>
      <c r="L183" s="61" t="s">
        <v>188</v>
      </c>
      <c r="M183" s="48" t="s">
        <v>20</v>
      </c>
      <c r="N183" s="2" t="s">
        <v>20</v>
      </c>
      <c r="O183" s="44">
        <f t="shared" si="242"/>
        <v>522.61471623808723</v>
      </c>
      <c r="P183" s="44">
        <f t="shared" si="243"/>
        <v>653.35113986952763</v>
      </c>
      <c r="Q183" s="21">
        <f t="shared" si="244"/>
        <v>775.16028917365213</v>
      </c>
      <c r="R183" s="44">
        <f t="shared" si="245"/>
        <v>930.15157770846099</v>
      </c>
      <c r="S183" s="45">
        <f t="shared" si="246"/>
        <v>1146.9054473084871</v>
      </c>
      <c r="V183" s="864"/>
      <c r="W183" s="61" t="s">
        <v>188</v>
      </c>
      <c r="X183" s="2" t="s">
        <v>20</v>
      </c>
      <c r="Y183" s="2" t="s">
        <v>20</v>
      </c>
      <c r="Z183" s="2" t="s">
        <v>20</v>
      </c>
      <c r="AA183" s="21">
        <f t="shared" ref="AA183:AD183" si="258">(F183/P183)*100*12.2354989838484</f>
        <v>29.570397473179185</v>
      </c>
      <c r="AB183" s="21">
        <f t="shared" si="258"/>
        <v>24.008188002345335</v>
      </c>
      <c r="AC183" s="21">
        <f t="shared" si="258"/>
        <v>18.758041129116396</v>
      </c>
      <c r="AD183" s="22">
        <f t="shared" si="258"/>
        <v>13.708729199205056</v>
      </c>
      <c r="AE183" s="7"/>
      <c r="AF183" s="7"/>
    </row>
    <row r="184" spans="1:32" ht="17.25">
      <c r="A184" s="864"/>
      <c r="B184" s="52" t="s">
        <v>174</v>
      </c>
      <c r="C184" s="4" t="s">
        <v>15</v>
      </c>
      <c r="D184" s="145">
        <v>14.03</v>
      </c>
      <c r="E184" s="260">
        <v>13.59</v>
      </c>
      <c r="F184" s="215">
        <v>13.26</v>
      </c>
      <c r="G184" s="96">
        <v>11.61</v>
      </c>
      <c r="H184" s="255">
        <v>10.58</v>
      </c>
      <c r="I184" s="440">
        <v>9.75</v>
      </c>
      <c r="K184" s="864"/>
      <c r="L184" s="61" t="s">
        <v>174</v>
      </c>
      <c r="M184" s="48" t="s">
        <v>20</v>
      </c>
      <c r="N184" s="21">
        <f>($N$9*0.514444)/(D184*((PI()/180)))</f>
        <v>525.22220234903989</v>
      </c>
      <c r="O184" s="44">
        <f t="shared" si="242"/>
        <v>650.67262683947285</v>
      </c>
      <c r="P184" s="44">
        <f t="shared" si="243"/>
        <v>778.01014317796694</v>
      </c>
      <c r="Q184" s="21">
        <f t="shared" si="244"/>
        <v>1015.5200687623816</v>
      </c>
      <c r="R184" s="44">
        <f t="shared" si="245"/>
        <v>1253.6825612592302</v>
      </c>
      <c r="S184" s="45">
        <f t="shared" si="246"/>
        <v>1511.5625638886215</v>
      </c>
      <c r="V184" s="864"/>
      <c r="W184" s="61" t="s">
        <v>174</v>
      </c>
      <c r="X184" s="2" t="s">
        <v>20</v>
      </c>
      <c r="Y184" s="21">
        <f t="shared" ref="Y184:AD184" si="259">(D184/N184)*100*12.2354989838484</f>
        <v>32.684081132829292</v>
      </c>
      <c r="Z184" s="21">
        <f t="shared" si="259"/>
        <v>25.555160050020472</v>
      </c>
      <c r="AA184" s="21">
        <f t="shared" si="259"/>
        <v>20.853547726654426</v>
      </c>
      <c r="AB184" s="21">
        <f t="shared" si="259"/>
        <v>13.988314714016621</v>
      </c>
      <c r="AC184" s="21">
        <f t="shared" si="259"/>
        <v>10.325706303124425</v>
      </c>
      <c r="AD184" s="22">
        <f t="shared" si="259"/>
        <v>7.8922380020859109</v>
      </c>
      <c r="AE184" s="7"/>
      <c r="AF184" s="7"/>
    </row>
    <row r="185" spans="1:32" ht="17.25">
      <c r="A185" s="864"/>
      <c r="B185" s="52" t="s">
        <v>189</v>
      </c>
      <c r="C185" s="4" t="s">
        <v>15</v>
      </c>
      <c r="D185" s="4" t="s">
        <v>15</v>
      </c>
      <c r="E185" s="146">
        <v>14.7</v>
      </c>
      <c r="F185" s="285">
        <v>13.89</v>
      </c>
      <c r="G185" s="288">
        <v>13</v>
      </c>
      <c r="H185" s="459">
        <v>11.07</v>
      </c>
      <c r="I185" s="460">
        <v>9.08</v>
      </c>
      <c r="K185" s="864"/>
      <c r="L185" s="61" t="s">
        <v>189</v>
      </c>
      <c r="M185" s="48" t="s">
        <v>20</v>
      </c>
      <c r="N185" s="2" t="s">
        <v>20</v>
      </c>
      <c r="O185" s="44">
        <f t="shared" si="242"/>
        <v>601.54020399649232</v>
      </c>
      <c r="P185" s="44">
        <f t="shared" si="243"/>
        <v>742.72242610078058</v>
      </c>
      <c r="Q185" s="21">
        <f t="shared" si="244"/>
        <v>906.93753833317294</v>
      </c>
      <c r="R185" s="44">
        <f t="shared" si="245"/>
        <v>1198.1898372287853</v>
      </c>
      <c r="S185" s="45">
        <f t="shared" si="246"/>
        <v>1623.0985680522092</v>
      </c>
      <c r="V185" s="864"/>
      <c r="W185" s="61" t="s">
        <v>189</v>
      </c>
      <c r="X185" s="2" t="s">
        <v>20</v>
      </c>
      <c r="Y185" s="2" t="s">
        <v>20</v>
      </c>
      <c r="Z185" s="2" t="s">
        <v>20</v>
      </c>
      <c r="AA185" s="21">
        <f t="shared" ref="AA185:AD185" si="260">(F185/P185)*100*12.2354989838484</f>
        <v>22.882179790622541</v>
      </c>
      <c r="AB185" s="21">
        <f t="shared" si="260"/>
        <v>17.538306671302021</v>
      </c>
      <c r="AC185" s="21">
        <f t="shared" si="260"/>
        <v>11.304299998443335</v>
      </c>
      <c r="AD185" s="22">
        <f t="shared" si="260"/>
        <v>6.844829572283242</v>
      </c>
      <c r="AE185" s="7"/>
      <c r="AF185" s="7"/>
    </row>
    <row r="186" spans="1:32" ht="17.25">
      <c r="A186" s="864"/>
      <c r="B186" s="20" t="s">
        <v>190</v>
      </c>
      <c r="C186" s="4" t="s">
        <v>15</v>
      </c>
      <c r="D186" s="4" t="s">
        <v>15</v>
      </c>
      <c r="E186" s="260">
        <v>13.59</v>
      </c>
      <c r="F186" s="214">
        <v>12.62</v>
      </c>
      <c r="G186" s="461">
        <v>11.89</v>
      </c>
      <c r="H186" s="133">
        <v>10.08</v>
      </c>
      <c r="I186" s="409">
        <v>8.86</v>
      </c>
      <c r="K186" s="864"/>
      <c r="L186" s="69" t="s">
        <v>190</v>
      </c>
      <c r="M186" s="48" t="s">
        <v>20</v>
      </c>
      <c r="N186" s="2" t="s">
        <v>20</v>
      </c>
      <c r="O186" s="44">
        <f t="shared" si="242"/>
        <v>650.67262683947285</v>
      </c>
      <c r="P186" s="44">
        <f t="shared" si="243"/>
        <v>817.46549116797485</v>
      </c>
      <c r="Q186" s="21">
        <f t="shared" si="244"/>
        <v>991.60538253416723</v>
      </c>
      <c r="R186" s="44">
        <f t="shared" si="245"/>
        <v>1315.869196242327</v>
      </c>
      <c r="S186" s="45">
        <f t="shared" si="246"/>
        <v>1663.4012412995555</v>
      </c>
      <c r="V186" s="864"/>
      <c r="W186" s="69" t="s">
        <v>190</v>
      </c>
      <c r="X186" s="2" t="s">
        <v>20</v>
      </c>
      <c r="Y186" s="2" t="s">
        <v>20</v>
      </c>
      <c r="Z186" s="2" t="s">
        <v>20</v>
      </c>
      <c r="AA186" s="21">
        <f t="shared" ref="AA186:AD186" si="261">(F186/P186)*100*12.2354989838484</f>
        <v>18.889115056777097</v>
      </c>
      <c r="AB186" s="21">
        <f t="shared" si="261"/>
        <v>14.671167127609328</v>
      </c>
      <c r="AC186" s="21">
        <f t="shared" si="261"/>
        <v>9.3728031714239659</v>
      </c>
      <c r="AD186" s="22">
        <f t="shared" si="261"/>
        <v>6.5171600396427918</v>
      </c>
      <c r="AE186" s="7"/>
      <c r="AF186" s="7"/>
    </row>
    <row r="187" spans="1:32" ht="17.25">
      <c r="A187" s="865"/>
      <c r="B187" s="70" t="s">
        <v>191</v>
      </c>
      <c r="C187" s="237" t="s">
        <v>15</v>
      </c>
      <c r="D187" s="237" t="s">
        <v>15</v>
      </c>
      <c r="E187" s="462">
        <v>16.55</v>
      </c>
      <c r="F187" s="181">
        <v>15.79</v>
      </c>
      <c r="G187" s="181">
        <v>15.76</v>
      </c>
      <c r="H187" s="463">
        <v>14.75</v>
      </c>
      <c r="I187" s="464">
        <v>13.07</v>
      </c>
      <c r="K187" s="865"/>
      <c r="L187" s="77" t="s">
        <v>191</v>
      </c>
      <c r="M187" s="114" t="s">
        <v>20</v>
      </c>
      <c r="N187" s="115" t="s">
        <v>20</v>
      </c>
      <c r="O187" s="78">
        <f t="shared" si="242"/>
        <v>534.29854977331945</v>
      </c>
      <c r="P187" s="78">
        <f t="shared" si="243"/>
        <v>653.35113986952763</v>
      </c>
      <c r="Q187" s="32">
        <f t="shared" si="244"/>
        <v>748.10837552863256</v>
      </c>
      <c r="R187" s="78">
        <f t="shared" si="245"/>
        <v>899.25162699136627</v>
      </c>
      <c r="S187" s="79">
        <f t="shared" si="246"/>
        <v>1127.6002293736847</v>
      </c>
      <c r="V187" s="865"/>
      <c r="W187" s="77" t="s">
        <v>191</v>
      </c>
      <c r="X187" s="115" t="s">
        <v>20</v>
      </c>
      <c r="Y187" s="115" t="s">
        <v>20</v>
      </c>
      <c r="Z187" s="115" t="s">
        <v>20</v>
      </c>
      <c r="AA187" s="32">
        <f t="shared" ref="AA187:AD187" si="262">(F187/P187)*100*12.2354989838484</f>
        <v>29.570397473179185</v>
      </c>
      <c r="AB187" s="32">
        <f t="shared" si="262"/>
        <v>25.775872893976238</v>
      </c>
      <c r="AC187" s="32">
        <f t="shared" si="262"/>
        <v>20.069311480211159</v>
      </c>
      <c r="AD187" s="33">
        <f t="shared" si="262"/>
        <v>14.182151400210657</v>
      </c>
      <c r="AE187" s="7"/>
      <c r="AF187" s="7"/>
    </row>
    <row r="188" spans="1:32" ht="17.25">
      <c r="A188" s="866">
        <v>8.3000000000000007</v>
      </c>
      <c r="B188" s="80" t="s">
        <v>192</v>
      </c>
      <c r="C188" s="224" t="s">
        <v>15</v>
      </c>
      <c r="D188" s="224" t="s">
        <v>15</v>
      </c>
      <c r="E188" s="39">
        <v>18.39</v>
      </c>
      <c r="F188" s="465">
        <v>17.36</v>
      </c>
      <c r="G188" s="431">
        <v>15.48</v>
      </c>
      <c r="H188" s="466">
        <v>12.79</v>
      </c>
      <c r="I188" s="467">
        <v>8.6300000000000008</v>
      </c>
      <c r="K188" s="863">
        <v>8.3000000000000007</v>
      </c>
      <c r="L188" s="83" t="s">
        <v>192</v>
      </c>
      <c r="M188" s="84" t="s">
        <v>20</v>
      </c>
      <c r="N188" s="85" t="s">
        <v>20</v>
      </c>
      <c r="O188" s="123">
        <f t="shared" si="242"/>
        <v>480.8396410412418</v>
      </c>
      <c r="P188" s="123">
        <f t="shared" si="243"/>
        <v>594.26350798040573</v>
      </c>
      <c r="Q188" s="122">
        <f t="shared" si="244"/>
        <v>761.6400515717861</v>
      </c>
      <c r="R188" s="123">
        <f t="shared" si="245"/>
        <v>1037.0571929728424</v>
      </c>
      <c r="S188" s="124">
        <f t="shared" si="246"/>
        <v>1707.7329082171564</v>
      </c>
      <c r="V188" s="863">
        <v>8.3000000000000007</v>
      </c>
      <c r="W188" s="83" t="s">
        <v>192</v>
      </c>
      <c r="X188" s="85" t="s">
        <v>20</v>
      </c>
      <c r="Y188" s="85" t="s">
        <v>20</v>
      </c>
      <c r="Z188" s="85" t="s">
        <v>20</v>
      </c>
      <c r="AA188" s="122">
        <f t="shared" ref="AA188:AD188" si="263">(F188/P188)*100*12.2354989838484</f>
        <v>35.743110506898532</v>
      </c>
      <c r="AB188" s="122">
        <f t="shared" si="263"/>
        <v>24.868115047140662</v>
      </c>
      <c r="AC188" s="122">
        <f t="shared" si="263"/>
        <v>15.090009795392174</v>
      </c>
      <c r="AD188" s="125">
        <f t="shared" si="263"/>
        <v>6.1831891698361829</v>
      </c>
      <c r="AE188" s="7"/>
      <c r="AF188" s="7"/>
    </row>
    <row r="189" spans="1:32" ht="17.25">
      <c r="A189" s="864"/>
      <c r="B189" s="52" t="s">
        <v>193</v>
      </c>
      <c r="C189" s="4" t="s">
        <v>15</v>
      </c>
      <c r="D189" s="4" t="s">
        <v>15</v>
      </c>
      <c r="E189" s="336">
        <v>18.39</v>
      </c>
      <c r="F189" s="162">
        <v>17.68</v>
      </c>
      <c r="G189" s="55">
        <v>16.579999999999998</v>
      </c>
      <c r="H189" s="63">
        <v>14.51</v>
      </c>
      <c r="I189" s="455">
        <v>12.41</v>
      </c>
      <c r="K189" s="864"/>
      <c r="L189" s="61" t="s">
        <v>193</v>
      </c>
      <c r="M189" s="48" t="s">
        <v>20</v>
      </c>
      <c r="N189" s="2" t="s">
        <v>20</v>
      </c>
      <c r="O189" s="44">
        <f t="shared" si="242"/>
        <v>480.8396410412418</v>
      </c>
      <c r="P189" s="44">
        <f t="shared" si="243"/>
        <v>583.50760738347526</v>
      </c>
      <c r="Q189" s="21">
        <f t="shared" si="244"/>
        <v>711.10904694398369</v>
      </c>
      <c r="R189" s="44">
        <f t="shared" si="245"/>
        <v>914.12553398502098</v>
      </c>
      <c r="S189" s="45">
        <f t="shared" si="246"/>
        <v>1187.5692987843722</v>
      </c>
      <c r="V189" s="864"/>
      <c r="W189" s="61" t="s">
        <v>193</v>
      </c>
      <c r="X189" s="2" t="s">
        <v>20</v>
      </c>
      <c r="Y189" s="2" t="s">
        <v>20</v>
      </c>
      <c r="Z189" s="2" t="s">
        <v>20</v>
      </c>
      <c r="AA189" s="21">
        <f t="shared" ref="AA189:AD189" si="264">(F189/P189)*100*12.2354989838484</f>
        <v>37.072973736274534</v>
      </c>
      <c r="AB189" s="21">
        <f t="shared" si="264"/>
        <v>28.527913408502418</v>
      </c>
      <c r="AC189" s="21">
        <f t="shared" si="264"/>
        <v>19.421521843032711</v>
      </c>
      <c r="AD189" s="22">
        <f t="shared" si="264"/>
        <v>12.785994261133959</v>
      </c>
      <c r="AE189" s="7"/>
      <c r="AF189" s="7"/>
    </row>
    <row r="190" spans="1:32" ht="17.25">
      <c r="A190" s="864"/>
      <c r="B190" s="52" t="s">
        <v>194</v>
      </c>
      <c r="C190" s="4" t="s">
        <v>15</v>
      </c>
      <c r="D190" s="4" t="s">
        <v>15</v>
      </c>
      <c r="E190" s="148">
        <v>13.96</v>
      </c>
      <c r="F190" s="215">
        <v>13.26</v>
      </c>
      <c r="G190" s="96">
        <v>11.61</v>
      </c>
      <c r="H190" s="408">
        <v>9.84</v>
      </c>
      <c r="I190" s="457">
        <v>7.74</v>
      </c>
      <c r="K190" s="864"/>
      <c r="L190" s="61" t="s">
        <v>194</v>
      </c>
      <c r="M190" s="48" t="s">
        <v>20</v>
      </c>
      <c r="N190" s="2" t="s">
        <v>20</v>
      </c>
      <c r="O190" s="44">
        <f t="shared" si="242"/>
        <v>633.42700564100539</v>
      </c>
      <c r="P190" s="44">
        <f t="shared" si="243"/>
        <v>778.01014317796694</v>
      </c>
      <c r="Q190" s="21">
        <f t="shared" si="244"/>
        <v>1015.5200687623816</v>
      </c>
      <c r="R190" s="44">
        <f t="shared" si="245"/>
        <v>1347.9635668823835</v>
      </c>
      <c r="S190" s="45">
        <f t="shared" si="246"/>
        <v>1904.100128929465</v>
      </c>
      <c r="V190" s="864"/>
      <c r="W190" s="61" t="s">
        <v>194</v>
      </c>
      <c r="X190" s="2" t="s">
        <v>20</v>
      </c>
      <c r="Y190" s="2" t="s">
        <v>20</v>
      </c>
      <c r="Z190" s="2" t="s">
        <v>20</v>
      </c>
      <c r="AA190" s="21">
        <f t="shared" ref="AA190:AD190" si="265">(F190/P190)*100*12.2354989838484</f>
        <v>20.853547726654426</v>
      </c>
      <c r="AB190" s="21">
        <f t="shared" si="265"/>
        <v>13.988314714016621</v>
      </c>
      <c r="AC190" s="21">
        <f t="shared" si="265"/>
        <v>8.9317925913626368</v>
      </c>
      <c r="AD190" s="22">
        <f t="shared" si="265"/>
        <v>4.9736230094281337</v>
      </c>
      <c r="AE190" s="7"/>
      <c r="AF190" s="7"/>
    </row>
    <row r="191" spans="1:32" ht="17.25">
      <c r="A191" s="864"/>
      <c r="B191" s="350" t="s">
        <v>195</v>
      </c>
      <c r="C191" s="4" t="s">
        <v>15</v>
      </c>
      <c r="D191" s="411">
        <v>18.05</v>
      </c>
      <c r="E191" s="174">
        <v>17.66</v>
      </c>
      <c r="F191" s="203">
        <v>16.100000000000001</v>
      </c>
      <c r="G191" s="67">
        <v>15.48</v>
      </c>
      <c r="H191" s="258">
        <v>12.79</v>
      </c>
      <c r="I191" s="457">
        <v>7.74</v>
      </c>
      <c r="K191" s="864"/>
      <c r="L191" s="61" t="s">
        <v>195</v>
      </c>
      <c r="M191" s="48" t="s">
        <v>20</v>
      </c>
      <c r="N191" s="21">
        <f t="shared" ref="N191:N192" si="266">($N$9*0.514444)/(D191*((PI()/180)))</f>
        <v>408.2475068674255</v>
      </c>
      <c r="O191" s="44">
        <f t="shared" si="242"/>
        <v>500.71579834362603</v>
      </c>
      <c r="P191" s="44">
        <f t="shared" si="243"/>
        <v>640.77108686582869</v>
      </c>
      <c r="Q191" s="21">
        <f t="shared" si="244"/>
        <v>761.6400515717861</v>
      </c>
      <c r="R191" s="44">
        <f t="shared" si="245"/>
        <v>1037.0571929728424</v>
      </c>
      <c r="S191" s="45">
        <f t="shared" si="246"/>
        <v>1904.100128929465</v>
      </c>
      <c r="V191" s="864"/>
      <c r="W191" s="61" t="s">
        <v>195</v>
      </c>
      <c r="X191" s="2" t="s">
        <v>20</v>
      </c>
      <c r="Y191" s="21">
        <f t="shared" ref="Y191:AD191" si="267">(D191/N191)*100*12.2354989838484</f>
        <v>54.097270147000017</v>
      </c>
      <c r="Z191" s="21">
        <f t="shared" si="267"/>
        <v>43.15400328281121</v>
      </c>
      <c r="AA191" s="21">
        <f t="shared" si="267"/>
        <v>30.742887386429064</v>
      </c>
      <c r="AB191" s="21">
        <f t="shared" si="267"/>
        <v>24.868115047140662</v>
      </c>
      <c r="AC191" s="21">
        <f t="shared" si="267"/>
        <v>15.090009795392174</v>
      </c>
      <c r="AD191" s="22">
        <f t="shared" si="267"/>
        <v>4.9736230094281337</v>
      </c>
      <c r="AE191" s="7"/>
      <c r="AF191" s="7"/>
    </row>
    <row r="192" spans="1:32" ht="17.25">
      <c r="A192" s="864"/>
      <c r="B192" s="52" t="s">
        <v>196</v>
      </c>
      <c r="C192" s="343">
        <v>16.920000000000002</v>
      </c>
      <c r="D192" s="445">
        <v>18.5</v>
      </c>
      <c r="E192" s="174">
        <v>17.66</v>
      </c>
      <c r="F192" s="127">
        <v>16.420000000000002</v>
      </c>
      <c r="G192" s="147">
        <v>14.66</v>
      </c>
      <c r="H192" s="288">
        <v>13.04</v>
      </c>
      <c r="I192" s="435">
        <v>9.5299999999999994</v>
      </c>
      <c r="K192" s="864"/>
      <c r="L192" s="61" t="s">
        <v>196</v>
      </c>
      <c r="M192" s="21">
        <f>($M$9*0.514444)/(C192*((PI()/180)))</f>
        <v>348.40981082539145</v>
      </c>
      <c r="N192" s="21">
        <f t="shared" si="266"/>
        <v>398.31716210578537</v>
      </c>
      <c r="O192" s="44">
        <f t="shared" si="242"/>
        <v>500.71579834362603</v>
      </c>
      <c r="P192" s="44">
        <f t="shared" si="243"/>
        <v>628.28346519731065</v>
      </c>
      <c r="Q192" s="21">
        <f t="shared" si="244"/>
        <v>804.24201898576052</v>
      </c>
      <c r="R192" s="44">
        <f t="shared" si="245"/>
        <v>1017.1749615124735</v>
      </c>
      <c r="S192" s="45">
        <f t="shared" si="246"/>
        <v>1546.4569777454419</v>
      </c>
      <c r="V192" s="864"/>
      <c r="W192" s="61" t="s">
        <v>196</v>
      </c>
      <c r="X192" s="21">
        <f t="shared" ref="X192:AD192" si="268">(C192/M192)*100*12.2354989838484</f>
        <v>59.419866023941303</v>
      </c>
      <c r="Y192" s="21">
        <f t="shared" si="268"/>
        <v>56.82826469352063</v>
      </c>
      <c r="Z192" s="21">
        <f t="shared" si="268"/>
        <v>43.15400328281121</v>
      </c>
      <c r="AA192" s="21">
        <f t="shared" si="268"/>
        <v>31.97710976711706</v>
      </c>
      <c r="AB192" s="21">
        <f t="shared" si="268"/>
        <v>22.303288173058441</v>
      </c>
      <c r="AC192" s="21">
        <f t="shared" si="268"/>
        <v>15.68568956044113</v>
      </c>
      <c r="AD192" s="22">
        <f t="shared" si="268"/>
        <v>7.5400937105971764</v>
      </c>
      <c r="AE192" s="7"/>
      <c r="AF192" s="7"/>
    </row>
    <row r="193" spans="1:32" ht="17.25">
      <c r="A193" s="864"/>
      <c r="B193" s="52" t="s">
        <v>197</v>
      </c>
      <c r="C193" s="4" t="s">
        <v>15</v>
      </c>
      <c r="D193" s="4" t="s">
        <v>15</v>
      </c>
      <c r="E193" s="249">
        <v>12.84</v>
      </c>
      <c r="F193" s="327">
        <v>12.94</v>
      </c>
      <c r="G193" s="256">
        <v>12.17</v>
      </c>
      <c r="H193" s="137">
        <v>11.32</v>
      </c>
      <c r="I193" s="468">
        <v>10.64</v>
      </c>
      <c r="K193" s="864"/>
      <c r="L193" s="61" t="s">
        <v>197</v>
      </c>
      <c r="M193" s="48" t="s">
        <v>20</v>
      </c>
      <c r="N193" s="2" t="s">
        <v>20</v>
      </c>
      <c r="O193" s="44">
        <f t="shared" si="242"/>
        <v>688.67920551000293</v>
      </c>
      <c r="P193" s="44">
        <f t="shared" si="243"/>
        <v>797.24996124728307</v>
      </c>
      <c r="Q193" s="21">
        <f t="shared" si="244"/>
        <v>968.79112558186114</v>
      </c>
      <c r="R193" s="44">
        <f t="shared" si="245"/>
        <v>1171.728047537337</v>
      </c>
      <c r="S193" s="45">
        <f t="shared" si="246"/>
        <v>1385.125469728765</v>
      </c>
      <c r="V193" s="864"/>
      <c r="W193" s="61" t="s">
        <v>197</v>
      </c>
      <c r="X193" s="2" t="s">
        <v>20</v>
      </c>
      <c r="Y193" s="2" t="s">
        <v>20</v>
      </c>
      <c r="Z193" s="2" t="s">
        <v>20</v>
      </c>
      <c r="AA193" s="21">
        <f t="shared" ref="AA193:AD193" si="269">(F193/P193)*100*12.2354989838484</f>
        <v>19.859186522041092</v>
      </c>
      <c r="AB193" s="21">
        <f t="shared" si="269"/>
        <v>15.370291768930198</v>
      </c>
      <c r="AC193" s="21">
        <f t="shared" si="269"/>
        <v>11.820648041008031</v>
      </c>
      <c r="AD193" s="22">
        <f t="shared" si="269"/>
        <v>9.3988387357890346</v>
      </c>
      <c r="AE193" s="7"/>
      <c r="AF193" s="7"/>
    </row>
    <row r="194" spans="1:32" ht="15">
      <c r="A194" s="864"/>
      <c r="B194" s="52" t="s">
        <v>198</v>
      </c>
      <c r="C194" s="4" t="s">
        <v>15</v>
      </c>
      <c r="D194" s="4" t="s">
        <v>15</v>
      </c>
      <c r="E194" s="4" t="s">
        <v>15</v>
      </c>
      <c r="F194" s="4" t="s">
        <v>15</v>
      </c>
      <c r="G194" s="4" t="s">
        <v>15</v>
      </c>
      <c r="H194" s="4" t="s">
        <v>15</v>
      </c>
      <c r="I194" s="245" t="s">
        <v>15</v>
      </c>
      <c r="K194" s="864"/>
      <c r="L194" s="61" t="s">
        <v>198</v>
      </c>
      <c r="M194" s="48" t="s">
        <v>20</v>
      </c>
      <c r="N194" s="2" t="s">
        <v>20</v>
      </c>
      <c r="O194" s="2" t="s">
        <v>20</v>
      </c>
      <c r="P194" s="2" t="s">
        <v>20</v>
      </c>
      <c r="Q194" s="2" t="s">
        <v>20</v>
      </c>
      <c r="R194" s="2" t="s">
        <v>20</v>
      </c>
      <c r="S194" s="50" t="s">
        <v>20</v>
      </c>
      <c r="V194" s="864"/>
      <c r="W194" s="61" t="s">
        <v>198</v>
      </c>
      <c r="X194" s="2" t="s">
        <v>20</v>
      </c>
      <c r="Y194" s="2" t="s">
        <v>20</v>
      </c>
      <c r="Z194" s="2" t="s">
        <v>20</v>
      </c>
      <c r="AA194" s="2" t="s">
        <v>20</v>
      </c>
      <c r="AB194" s="2" t="s">
        <v>20</v>
      </c>
      <c r="AC194" s="2" t="s">
        <v>20</v>
      </c>
      <c r="AD194" s="50" t="s">
        <v>20</v>
      </c>
      <c r="AE194" s="51"/>
      <c r="AF194" s="51"/>
    </row>
    <row r="195" spans="1:32" ht="17.25">
      <c r="A195" s="864"/>
      <c r="B195" s="52" t="s">
        <v>199</v>
      </c>
      <c r="C195" s="4" t="s">
        <v>15</v>
      </c>
      <c r="D195" s="4" t="s">
        <v>15</v>
      </c>
      <c r="E195" s="260">
        <v>13.59</v>
      </c>
      <c r="F195" s="215">
        <v>13.26</v>
      </c>
      <c r="G195" s="96">
        <v>11.61</v>
      </c>
      <c r="H195" s="255">
        <v>10.58</v>
      </c>
      <c r="I195" s="440">
        <v>9.75</v>
      </c>
      <c r="K195" s="864"/>
      <c r="L195" s="61" t="s">
        <v>199</v>
      </c>
      <c r="M195" s="48" t="s">
        <v>20</v>
      </c>
      <c r="N195" s="2" t="s">
        <v>20</v>
      </c>
      <c r="O195" s="44">
        <f t="shared" ref="O195:O204" si="270">($O$9*0.514444)/(E195*((PI()/180)))</f>
        <v>650.67262683947285</v>
      </c>
      <c r="P195" s="44">
        <f t="shared" ref="P195:P204" si="271">($P$9*0.514444)/(F195*((PI()/180)))</f>
        <v>778.01014317796694</v>
      </c>
      <c r="Q195" s="21">
        <f t="shared" ref="Q195:Q204" si="272">($Q$9*0.514444)/(G195*((PI()/180)))</f>
        <v>1015.5200687623816</v>
      </c>
      <c r="R195" s="44">
        <f t="shared" ref="R195:R204" si="273">($R$9*0.514444)/(H195*((PI()/180)))</f>
        <v>1253.6825612592302</v>
      </c>
      <c r="S195" s="45">
        <f t="shared" ref="S195:S201" si="274">($S$9*0.514444)/(I195*((PI()/180)))</f>
        <v>1511.5625638886215</v>
      </c>
      <c r="V195" s="864"/>
      <c r="W195" s="61" t="s">
        <v>199</v>
      </c>
      <c r="X195" s="2" t="s">
        <v>20</v>
      </c>
      <c r="Y195" s="2" t="s">
        <v>20</v>
      </c>
      <c r="Z195" s="2" t="s">
        <v>20</v>
      </c>
      <c r="AA195" s="21">
        <f t="shared" ref="AA195:AD195" si="275">(F195/P195)*100*12.2354989838484</f>
        <v>20.853547726654426</v>
      </c>
      <c r="AB195" s="21">
        <f t="shared" si="275"/>
        <v>13.988314714016621</v>
      </c>
      <c r="AC195" s="21">
        <f t="shared" si="275"/>
        <v>10.325706303124425</v>
      </c>
      <c r="AD195" s="22">
        <f t="shared" si="275"/>
        <v>7.8922380020859109</v>
      </c>
      <c r="AE195" s="7"/>
      <c r="AF195" s="7"/>
    </row>
    <row r="196" spans="1:32" ht="17.25">
      <c r="A196" s="864"/>
      <c r="B196" s="52" t="s">
        <v>200</v>
      </c>
      <c r="C196" s="4" t="s">
        <v>15</v>
      </c>
      <c r="D196" s="53">
        <v>15.38</v>
      </c>
      <c r="E196" s="146">
        <v>14.7</v>
      </c>
      <c r="F196" s="215">
        <v>13.26</v>
      </c>
      <c r="G196" s="461">
        <v>11.89</v>
      </c>
      <c r="H196" s="459">
        <v>11.07</v>
      </c>
      <c r="I196" s="469">
        <v>7.96</v>
      </c>
      <c r="K196" s="864"/>
      <c r="L196" s="61" t="s">
        <v>200</v>
      </c>
      <c r="M196" s="48" t="s">
        <v>20</v>
      </c>
      <c r="N196" s="21">
        <f>($N$9*0.514444)/(D196*((PI()/180)))</f>
        <v>479.12012346924769</v>
      </c>
      <c r="O196" s="44">
        <f t="shared" si="270"/>
        <v>601.54020399649232</v>
      </c>
      <c r="P196" s="44">
        <f t="shared" si="271"/>
        <v>778.01014317796694</v>
      </c>
      <c r="Q196" s="21">
        <f t="shared" si="272"/>
        <v>991.60538253416723</v>
      </c>
      <c r="R196" s="44">
        <f t="shared" si="273"/>
        <v>1198.1898372287853</v>
      </c>
      <c r="S196" s="45">
        <f t="shared" si="274"/>
        <v>1851.4742459691031</v>
      </c>
      <c r="V196" s="864"/>
      <c r="W196" s="61" t="s">
        <v>200</v>
      </c>
      <c r="X196" s="2" t="s">
        <v>20</v>
      </c>
      <c r="Y196" s="21">
        <f t="shared" ref="Y196:AD196" si="276">(D196/N196)*100*12.2354989838484</f>
        <v>39.276574945127898</v>
      </c>
      <c r="Z196" s="21">
        <f t="shared" si="276"/>
        <v>29.900218450506141</v>
      </c>
      <c r="AA196" s="21">
        <f t="shared" si="276"/>
        <v>20.853547726654426</v>
      </c>
      <c r="AB196" s="21">
        <f t="shared" si="276"/>
        <v>14.671167127609328</v>
      </c>
      <c r="AC196" s="21">
        <f t="shared" si="276"/>
        <v>11.304299998443335</v>
      </c>
      <c r="AD196" s="22">
        <f t="shared" si="276"/>
        <v>5.2603795123520474</v>
      </c>
      <c r="AE196" s="7"/>
      <c r="AF196" s="7"/>
    </row>
    <row r="197" spans="1:32" ht="17.25">
      <c r="A197" s="864"/>
      <c r="B197" s="52" t="s">
        <v>201</v>
      </c>
      <c r="C197" s="4" t="s">
        <v>15</v>
      </c>
      <c r="D197" s="4" t="s">
        <v>15</v>
      </c>
      <c r="E197" s="260">
        <v>13.59</v>
      </c>
      <c r="F197" s="214">
        <v>12.62</v>
      </c>
      <c r="G197" s="282">
        <v>11.33</v>
      </c>
      <c r="H197" s="470">
        <v>9.59</v>
      </c>
      <c r="I197" s="471">
        <v>7.51</v>
      </c>
      <c r="K197" s="864"/>
      <c r="L197" s="61" t="s">
        <v>201</v>
      </c>
      <c r="M197" s="48" t="s">
        <v>20</v>
      </c>
      <c r="N197" s="2" t="s">
        <v>20</v>
      </c>
      <c r="O197" s="44">
        <f t="shared" si="270"/>
        <v>650.67262683947285</v>
      </c>
      <c r="P197" s="44">
        <f t="shared" si="271"/>
        <v>817.46549116797485</v>
      </c>
      <c r="Q197" s="21">
        <f t="shared" si="272"/>
        <v>1040.6167694908429</v>
      </c>
      <c r="R197" s="44">
        <f t="shared" si="273"/>
        <v>1383.1033887510589</v>
      </c>
      <c r="S197" s="45">
        <f t="shared" si="274"/>
        <v>1962.4147800151877</v>
      </c>
      <c r="V197" s="864"/>
      <c r="W197" s="61" t="s">
        <v>201</v>
      </c>
      <c r="X197" s="2" t="s">
        <v>20</v>
      </c>
      <c r="Y197" s="2" t="s">
        <v>20</v>
      </c>
      <c r="Z197" s="2" t="s">
        <v>20</v>
      </c>
      <c r="AA197" s="21">
        <f t="shared" ref="AA197:AD197" si="277">(F197/P197)*100*12.2354989838484</f>
        <v>18.889115056777097</v>
      </c>
      <c r="AB197" s="21">
        <f t="shared" si="277"/>
        <v>13.321734528152083</v>
      </c>
      <c r="AC197" s="21">
        <f t="shared" si="277"/>
        <v>8.4837067286099757</v>
      </c>
      <c r="AD197" s="22">
        <f t="shared" si="277"/>
        <v>4.6824248525069878</v>
      </c>
      <c r="AE197" s="7"/>
      <c r="AF197" s="7"/>
    </row>
    <row r="198" spans="1:32" ht="17.25">
      <c r="A198" s="864"/>
      <c r="B198" s="52" t="s">
        <v>202</v>
      </c>
      <c r="C198" s="314">
        <v>12.8</v>
      </c>
      <c r="D198" s="200">
        <v>14.43</v>
      </c>
      <c r="E198" s="396">
        <v>14.93</v>
      </c>
      <c r="F198" s="152">
        <v>14.27</v>
      </c>
      <c r="G198" s="149">
        <v>13.25</v>
      </c>
      <c r="H198" s="472">
        <v>11.54</v>
      </c>
      <c r="I198" s="473">
        <v>7.76</v>
      </c>
      <c r="K198" s="864"/>
      <c r="L198" s="61" t="s">
        <v>202</v>
      </c>
      <c r="M198" s="21">
        <f t="shared" ref="M198:M199" si="278">($M$9*0.514444)/(C198*((PI()/180)))</f>
        <v>460.55421868481443</v>
      </c>
      <c r="N198" s="21">
        <f t="shared" ref="N198:N199" si="279">($N$9*0.514444)/(D198*((PI()/180)))</f>
        <v>510.66302834075054</v>
      </c>
      <c r="O198" s="44">
        <f t="shared" si="270"/>
        <v>592.27334218006945</v>
      </c>
      <c r="P198" s="44">
        <f t="shared" si="271"/>
        <v>722.94425357672333</v>
      </c>
      <c r="Q198" s="21">
        <f t="shared" si="272"/>
        <v>889.82550930801881</v>
      </c>
      <c r="R198" s="44">
        <f t="shared" si="273"/>
        <v>1149.3900778269199</v>
      </c>
      <c r="S198" s="45">
        <f t="shared" si="274"/>
        <v>1899.1926543703687</v>
      </c>
      <c r="V198" s="864"/>
      <c r="W198" s="61" t="s">
        <v>202</v>
      </c>
      <c r="X198" s="21">
        <f t="shared" ref="X198:AD198" si="280">(C198/M198)*100*12.2354989838484</f>
        <v>34.005635089066544</v>
      </c>
      <c r="Y198" s="21">
        <f t="shared" si="280"/>
        <v>34.57431623953795</v>
      </c>
      <c r="Z198" s="21">
        <f t="shared" si="280"/>
        <v>30.843191279967726</v>
      </c>
      <c r="AA198" s="21">
        <f t="shared" si="280"/>
        <v>24.151318671625205</v>
      </c>
      <c r="AB198" s="21">
        <f t="shared" si="280"/>
        <v>18.219342988050062</v>
      </c>
      <c r="AC198" s="21">
        <f t="shared" si="280"/>
        <v>12.284572574400862</v>
      </c>
      <c r="AD198" s="22">
        <f t="shared" si="280"/>
        <v>4.9993596961410489</v>
      </c>
      <c r="AE198" s="7"/>
      <c r="AF198" s="7"/>
    </row>
    <row r="199" spans="1:32" ht="17.25">
      <c r="A199" s="864"/>
      <c r="B199" s="52" t="s">
        <v>203</v>
      </c>
      <c r="C199" s="360">
        <v>13.55</v>
      </c>
      <c r="D199" s="204">
        <v>15.56</v>
      </c>
      <c r="E199" s="153">
        <v>14.74</v>
      </c>
      <c r="F199" s="294">
        <v>14.15</v>
      </c>
      <c r="G199" s="288">
        <v>13.06</v>
      </c>
      <c r="H199" s="474">
        <v>11.39</v>
      </c>
      <c r="I199" s="457">
        <v>7.74</v>
      </c>
      <c r="K199" s="864"/>
      <c r="L199" s="61" t="s">
        <v>203</v>
      </c>
      <c r="M199" s="21">
        <f t="shared" si="278"/>
        <v>435.06228776130064</v>
      </c>
      <c r="N199" s="21">
        <f t="shared" si="279"/>
        <v>473.57760276073452</v>
      </c>
      <c r="O199" s="44">
        <f t="shared" si="270"/>
        <v>599.90780181468369</v>
      </c>
      <c r="P199" s="44">
        <f t="shared" si="271"/>
        <v>729.07522957878746</v>
      </c>
      <c r="Q199" s="21">
        <f t="shared" si="272"/>
        <v>902.77090339442952</v>
      </c>
      <c r="R199" s="44">
        <f t="shared" si="273"/>
        <v>1164.526909404974</v>
      </c>
      <c r="S199" s="45">
        <f t="shared" si="274"/>
        <v>1904.100128929465</v>
      </c>
      <c r="V199" s="864"/>
      <c r="W199" s="61" t="s">
        <v>203</v>
      </c>
      <c r="X199" s="21">
        <f t="shared" ref="X199:AD199" si="281">(C199/M199)*100*12.2354989838484</f>
        <v>38.107419533937637</v>
      </c>
      <c r="Y199" s="21">
        <f t="shared" si="281"/>
        <v>40.201302400879996</v>
      </c>
      <c r="Z199" s="21">
        <f t="shared" si="281"/>
        <v>30.063162118641252</v>
      </c>
      <c r="AA199" s="21">
        <f t="shared" si="281"/>
        <v>23.746837582382206</v>
      </c>
      <c r="AB199" s="21">
        <f t="shared" si="281"/>
        <v>17.700572329948457</v>
      </c>
      <c r="AC199" s="21">
        <f t="shared" si="281"/>
        <v>11.967291807558297</v>
      </c>
      <c r="AD199" s="22">
        <f t="shared" si="281"/>
        <v>4.9736230094281337</v>
      </c>
      <c r="AE199" s="7"/>
      <c r="AF199" s="7"/>
    </row>
    <row r="200" spans="1:32" ht="17.25">
      <c r="A200" s="865"/>
      <c r="B200" s="70" t="s">
        <v>204</v>
      </c>
      <c r="C200" s="237" t="s">
        <v>15</v>
      </c>
      <c r="D200" s="237" t="s">
        <v>15</v>
      </c>
      <c r="E200" s="475">
        <v>13.21</v>
      </c>
      <c r="F200" s="296">
        <v>12.3</v>
      </c>
      <c r="G200" s="449">
        <v>11.61</v>
      </c>
      <c r="H200" s="238">
        <v>10.83</v>
      </c>
      <c r="I200" s="476">
        <v>9.9700000000000006</v>
      </c>
      <c r="K200" s="865"/>
      <c r="L200" s="77" t="s">
        <v>204</v>
      </c>
      <c r="M200" s="114" t="s">
        <v>20</v>
      </c>
      <c r="N200" s="115" t="s">
        <v>20</v>
      </c>
      <c r="O200" s="78">
        <f t="shared" si="270"/>
        <v>669.38993177505199</v>
      </c>
      <c r="P200" s="78">
        <f t="shared" si="271"/>
        <v>838.73288606014967</v>
      </c>
      <c r="Q200" s="32">
        <f t="shared" si="272"/>
        <v>1015.5200687623816</v>
      </c>
      <c r="R200" s="78">
        <f t="shared" si="273"/>
        <v>1224.7425206022765</v>
      </c>
      <c r="S200" s="79">
        <f t="shared" si="274"/>
        <v>1478.2081241638978</v>
      </c>
      <c r="V200" s="865"/>
      <c r="W200" s="77" t="s">
        <v>204</v>
      </c>
      <c r="X200" s="115" t="s">
        <v>20</v>
      </c>
      <c r="Y200" s="115" t="s">
        <v>20</v>
      </c>
      <c r="Z200" s="115" t="s">
        <v>20</v>
      </c>
      <c r="AA200" s="32">
        <f t="shared" ref="AA200:AD200" si="282">(F200/P200)*100*12.2354989838484</f>
        <v>17.943333330862441</v>
      </c>
      <c r="AB200" s="32">
        <f t="shared" si="282"/>
        <v>13.988314714016621</v>
      </c>
      <c r="AC200" s="32">
        <f t="shared" si="282"/>
        <v>10.819454029400003</v>
      </c>
      <c r="AD200" s="33">
        <f t="shared" si="282"/>
        <v>8.2524187815546739</v>
      </c>
      <c r="AE200" s="7"/>
      <c r="AF200" s="7"/>
    </row>
    <row r="201" spans="1:32" ht="17.25">
      <c r="A201" s="863">
        <v>8</v>
      </c>
      <c r="B201" s="80" t="s">
        <v>205</v>
      </c>
      <c r="C201" s="224" t="s">
        <v>15</v>
      </c>
      <c r="D201" s="224" t="s">
        <v>15</v>
      </c>
      <c r="E201" s="477">
        <v>13.21</v>
      </c>
      <c r="F201" s="478">
        <v>12.62</v>
      </c>
      <c r="G201" s="479">
        <v>11.61</v>
      </c>
      <c r="H201" s="480">
        <v>10.08</v>
      </c>
      <c r="I201" s="481">
        <v>8.41</v>
      </c>
      <c r="K201" s="863">
        <v>8</v>
      </c>
      <c r="L201" s="83" t="s">
        <v>205</v>
      </c>
      <c r="M201" s="84" t="s">
        <v>20</v>
      </c>
      <c r="N201" s="85" t="s">
        <v>20</v>
      </c>
      <c r="O201" s="123">
        <f t="shared" si="270"/>
        <v>669.38993177505199</v>
      </c>
      <c r="P201" s="123">
        <f t="shared" si="271"/>
        <v>817.46549116797485</v>
      </c>
      <c r="Q201" s="122">
        <f t="shared" si="272"/>
        <v>1015.5200687623816</v>
      </c>
      <c r="R201" s="123">
        <f t="shared" si="273"/>
        <v>1315.869196242327</v>
      </c>
      <c r="S201" s="124">
        <f t="shared" si="274"/>
        <v>1752.4060639612437</v>
      </c>
      <c r="V201" s="863">
        <v>8</v>
      </c>
      <c r="W201" s="83" t="s">
        <v>205</v>
      </c>
      <c r="X201" s="85" t="s">
        <v>20</v>
      </c>
      <c r="Y201" s="85" t="s">
        <v>20</v>
      </c>
      <c r="Z201" s="85" t="s">
        <v>20</v>
      </c>
      <c r="AA201" s="122">
        <f t="shared" ref="AA201:AD201" si="283">(F201/P201)*100*12.2354989838484</f>
        <v>18.889115056777097</v>
      </c>
      <c r="AB201" s="122">
        <f t="shared" si="283"/>
        <v>13.988314714016621</v>
      </c>
      <c r="AC201" s="122">
        <f t="shared" si="283"/>
        <v>9.3728031714239659</v>
      </c>
      <c r="AD201" s="125">
        <f t="shared" si="283"/>
        <v>5.8719579080639841</v>
      </c>
      <c r="AE201" s="7"/>
      <c r="AF201" s="7"/>
    </row>
    <row r="202" spans="1:32" ht="17.25">
      <c r="A202" s="864"/>
      <c r="B202" s="52" t="s">
        <v>206</v>
      </c>
      <c r="C202" s="410">
        <v>16.350000000000001</v>
      </c>
      <c r="D202" s="92">
        <v>16.72</v>
      </c>
      <c r="E202" s="67">
        <v>15.45</v>
      </c>
      <c r="F202" s="285">
        <v>13.89</v>
      </c>
      <c r="G202" s="312">
        <v>12.72</v>
      </c>
      <c r="H202" s="482">
        <v>9.34</v>
      </c>
      <c r="I202" s="245" t="s">
        <v>20</v>
      </c>
      <c r="K202" s="864"/>
      <c r="L202" s="61" t="s">
        <v>206</v>
      </c>
      <c r="M202" s="21">
        <f t="shared" ref="M202:M203" si="284">($M$9*0.514444)/(C202*((PI()/180)))</f>
        <v>360.5562079000382</v>
      </c>
      <c r="N202" s="21">
        <f t="shared" ref="N202:N204" si="285">($N$9*0.514444)/(D202*((PI()/180)))</f>
        <v>440.72174036824345</v>
      </c>
      <c r="O202" s="44">
        <f t="shared" si="270"/>
        <v>572.33922321996363</v>
      </c>
      <c r="P202" s="44">
        <f t="shared" si="271"/>
        <v>742.72242610078058</v>
      </c>
      <c r="Q202" s="21">
        <f t="shared" si="272"/>
        <v>926.90157219585285</v>
      </c>
      <c r="R202" s="44">
        <f t="shared" si="273"/>
        <v>1420.1243574007126</v>
      </c>
      <c r="S202" s="50" t="s">
        <v>20</v>
      </c>
      <c r="V202" s="864"/>
      <c r="W202" s="61" t="s">
        <v>206</v>
      </c>
      <c r="X202" s="21">
        <f t="shared" ref="X202:AC202" si="286">(C202/M202)*100*12.2354989838484</f>
        <v>55.483834143658406</v>
      </c>
      <c r="Y202" s="21">
        <f t="shared" si="286"/>
        <v>46.418754572672363</v>
      </c>
      <c r="Z202" s="21">
        <f t="shared" si="286"/>
        <v>33.029093871451437</v>
      </c>
      <c r="AA202" s="21">
        <f t="shared" si="286"/>
        <v>22.882179790622541</v>
      </c>
      <c r="AB202" s="21">
        <f t="shared" si="286"/>
        <v>16.79094649778694</v>
      </c>
      <c r="AC202" s="21">
        <f t="shared" si="286"/>
        <v>8.0471516394742117</v>
      </c>
      <c r="AD202" s="50" t="s">
        <v>20</v>
      </c>
      <c r="AE202" s="51"/>
      <c r="AF202" s="51"/>
    </row>
    <row r="203" spans="1:32" ht="17.25">
      <c r="A203" s="864"/>
      <c r="B203" s="52" t="s">
        <v>207</v>
      </c>
      <c r="C203" s="151">
        <v>12.33</v>
      </c>
      <c r="D203" s="289">
        <v>13.12</v>
      </c>
      <c r="E203" s="149">
        <v>13.21</v>
      </c>
      <c r="F203" s="214">
        <v>12.62</v>
      </c>
      <c r="G203" s="483">
        <v>10.78</v>
      </c>
      <c r="H203" s="484">
        <v>7.83</v>
      </c>
      <c r="I203" s="245" t="s">
        <v>20</v>
      </c>
      <c r="K203" s="864"/>
      <c r="L203" s="61" t="s">
        <v>207</v>
      </c>
      <c r="M203" s="21">
        <f t="shared" si="284"/>
        <v>478.10981339542781</v>
      </c>
      <c r="N203" s="21">
        <f t="shared" si="285"/>
        <v>561.65148620099319</v>
      </c>
      <c r="O203" s="44">
        <f t="shared" si="270"/>
        <v>669.38993177505199</v>
      </c>
      <c r="P203" s="44">
        <f t="shared" si="271"/>
        <v>817.46549116797485</v>
      </c>
      <c r="Q203" s="21">
        <f t="shared" si="272"/>
        <v>1093.7094618118042</v>
      </c>
      <c r="R203" s="44">
        <f t="shared" si="273"/>
        <v>1693.9925284958692</v>
      </c>
      <c r="S203" s="50" t="s">
        <v>20</v>
      </c>
      <c r="V203" s="864"/>
      <c r="W203" s="61" t="s">
        <v>207</v>
      </c>
      <c r="X203" s="21">
        <f t="shared" ref="X203:AC203" si="287">(C203/M203)*100*12.2354989838484</f>
        <v>31.554194924268725</v>
      </c>
      <c r="Y203" s="21">
        <f t="shared" si="287"/>
        <v>28.581736292360429</v>
      </c>
      <c r="Z203" s="21">
        <f t="shared" si="287"/>
        <v>24.146007267846588</v>
      </c>
      <c r="AA203" s="21">
        <f t="shared" si="287"/>
        <v>18.889115056777097</v>
      </c>
      <c r="AB203" s="21">
        <f t="shared" si="287"/>
        <v>12.059754775037478</v>
      </c>
      <c r="AC203" s="21">
        <f t="shared" si="287"/>
        <v>5.6555123728083547</v>
      </c>
      <c r="AD203" s="50" t="s">
        <v>20</v>
      </c>
      <c r="AE203" s="51"/>
      <c r="AF203" s="51"/>
    </row>
    <row r="204" spans="1:32" ht="17.25">
      <c r="A204" s="864"/>
      <c r="B204" s="350" t="s">
        <v>208</v>
      </c>
      <c r="C204" s="4" t="s">
        <v>15</v>
      </c>
      <c r="D204" s="411">
        <v>18.05</v>
      </c>
      <c r="E204" s="174">
        <v>17.66</v>
      </c>
      <c r="F204" s="203">
        <v>16.100000000000001</v>
      </c>
      <c r="G204" s="67">
        <v>15.48</v>
      </c>
      <c r="H204" s="258">
        <v>12.79</v>
      </c>
      <c r="I204" s="457">
        <v>7.74</v>
      </c>
      <c r="K204" s="864"/>
      <c r="L204" s="61" t="s">
        <v>208</v>
      </c>
      <c r="M204" s="48" t="s">
        <v>20</v>
      </c>
      <c r="N204" s="21">
        <f t="shared" si="285"/>
        <v>408.2475068674255</v>
      </c>
      <c r="O204" s="44">
        <f t="shared" si="270"/>
        <v>500.71579834362603</v>
      </c>
      <c r="P204" s="44">
        <f t="shared" si="271"/>
        <v>640.77108686582869</v>
      </c>
      <c r="Q204" s="21">
        <f t="shared" si="272"/>
        <v>761.6400515717861</v>
      </c>
      <c r="R204" s="44">
        <f t="shared" si="273"/>
        <v>1037.0571929728424</v>
      </c>
      <c r="S204" s="45">
        <f>($S$9*0.514444)/(I204*((PI()/180)))</f>
        <v>1904.100128929465</v>
      </c>
      <c r="V204" s="864"/>
      <c r="W204" s="61" t="s">
        <v>208</v>
      </c>
      <c r="X204" s="2" t="s">
        <v>20</v>
      </c>
      <c r="Y204" s="21">
        <f t="shared" ref="Y204:AD204" si="288">(D204/N204)*100*12.2354989838484</f>
        <v>54.097270147000017</v>
      </c>
      <c r="Z204" s="21">
        <f t="shared" si="288"/>
        <v>43.15400328281121</v>
      </c>
      <c r="AA204" s="21">
        <f t="shared" si="288"/>
        <v>30.742887386429064</v>
      </c>
      <c r="AB204" s="21">
        <f t="shared" si="288"/>
        <v>24.868115047140662</v>
      </c>
      <c r="AC204" s="21">
        <f t="shared" si="288"/>
        <v>15.090009795392174</v>
      </c>
      <c r="AD204" s="22">
        <f t="shared" si="288"/>
        <v>4.9736230094281337</v>
      </c>
      <c r="AE204" s="7"/>
      <c r="AF204" s="7"/>
    </row>
    <row r="205" spans="1:32" ht="17.25">
      <c r="A205" s="864"/>
      <c r="B205" s="350" t="s">
        <v>209</v>
      </c>
      <c r="C205" s="4" t="s">
        <v>15</v>
      </c>
      <c r="D205" s="4" t="s">
        <v>15</v>
      </c>
      <c r="E205" s="4" t="s">
        <v>15</v>
      </c>
      <c r="F205" s="4" t="s">
        <v>15</v>
      </c>
      <c r="G205" s="485">
        <v>19.05</v>
      </c>
      <c r="H205" s="4" t="s">
        <v>20</v>
      </c>
      <c r="I205" s="245" t="s">
        <v>20</v>
      </c>
      <c r="K205" s="864"/>
      <c r="L205" s="61" t="s">
        <v>209</v>
      </c>
      <c r="M205" s="48" t="s">
        <v>20</v>
      </c>
      <c r="N205" s="2" t="s">
        <v>20</v>
      </c>
      <c r="O205" s="2" t="s">
        <v>20</v>
      </c>
      <c r="P205" s="2" t="s">
        <v>20</v>
      </c>
      <c r="Q205" s="2" t="s">
        <v>20</v>
      </c>
      <c r="R205" s="2" t="s">
        <v>20</v>
      </c>
      <c r="S205" s="50" t="s">
        <v>20</v>
      </c>
      <c r="V205" s="864"/>
      <c r="W205" s="61" t="s">
        <v>209</v>
      </c>
      <c r="X205" s="2" t="s">
        <v>20</v>
      </c>
      <c r="Y205" s="2" t="s">
        <v>20</v>
      </c>
      <c r="Z205" s="2" t="s">
        <v>20</v>
      </c>
      <c r="AA205" s="2" t="s">
        <v>20</v>
      </c>
      <c r="AB205" s="2" t="s">
        <v>20</v>
      </c>
      <c r="AC205" s="2" t="s">
        <v>20</v>
      </c>
      <c r="AD205" s="50" t="s">
        <v>20</v>
      </c>
      <c r="AE205" s="51"/>
      <c r="AF205" s="51"/>
    </row>
    <row r="206" spans="1:32" ht="17.25">
      <c r="A206" s="864"/>
      <c r="B206" s="350" t="s">
        <v>210</v>
      </c>
      <c r="C206" s="4" t="s">
        <v>15</v>
      </c>
      <c r="D206" s="486">
        <v>9.42</v>
      </c>
      <c r="E206" s="416">
        <v>8.65</v>
      </c>
      <c r="F206" s="487">
        <v>8.42</v>
      </c>
      <c r="G206" s="488">
        <v>7.38</v>
      </c>
      <c r="H206" s="4" t="s">
        <v>20</v>
      </c>
      <c r="I206" s="245" t="s">
        <v>20</v>
      </c>
      <c r="K206" s="864"/>
      <c r="L206" s="61" t="s">
        <v>210</v>
      </c>
      <c r="M206" s="48" t="s">
        <v>20</v>
      </c>
      <c r="N206" s="21">
        <f t="shared" ref="N206:N207" si="289">($N$9*0.514444)/(D206*((PI()/180)))</f>
        <v>782.25769627993941</v>
      </c>
      <c r="O206" s="44">
        <f t="shared" ref="O206:O207" si="290">($O$9*0.514444)/(E206*((PI()/180)))</f>
        <v>1022.2706356934608</v>
      </c>
      <c r="P206" s="44">
        <f t="shared" ref="P206:P207" si="291">($P$9*0.514444)/(F206*((PI()/180)))</f>
        <v>1225.2273751234968</v>
      </c>
      <c r="Q206" s="21">
        <f t="shared" ref="Q206:Q207" si="292">($Q$9*0.514444)/(G206*((PI()/180)))</f>
        <v>1597.5864496383806</v>
      </c>
      <c r="R206" s="2" t="s">
        <v>20</v>
      </c>
      <c r="S206" s="50" t="s">
        <v>20</v>
      </c>
      <c r="V206" s="864"/>
      <c r="W206" s="61" t="s">
        <v>210</v>
      </c>
      <c r="X206" s="2" t="s">
        <v>20</v>
      </c>
      <c r="Y206" s="21">
        <f t="shared" ref="Y206:AB206" si="293">(D206/N206)*100*12.2354989838484</f>
        <v>14.734070495690649</v>
      </c>
      <c r="Z206" s="21">
        <f t="shared" si="293"/>
        <v>10.353135707404302</v>
      </c>
      <c r="AA206" s="21">
        <f t="shared" si="293"/>
        <v>8.4084720547171354</v>
      </c>
      <c r="AB206" s="21">
        <f t="shared" si="293"/>
        <v>5.6521499992216659</v>
      </c>
      <c r="AC206" s="2" t="s">
        <v>20</v>
      </c>
      <c r="AD206" s="50" t="s">
        <v>20</v>
      </c>
      <c r="AE206" s="51"/>
      <c r="AF206" s="51"/>
    </row>
    <row r="207" spans="1:32" ht="17.25">
      <c r="A207" s="864"/>
      <c r="B207" s="52" t="s">
        <v>211</v>
      </c>
      <c r="C207" s="4" t="s">
        <v>15</v>
      </c>
      <c r="D207" s="145">
        <v>14.03</v>
      </c>
      <c r="E207" s="148">
        <v>13.96</v>
      </c>
      <c r="F207" s="176">
        <v>12.3</v>
      </c>
      <c r="G207" s="292">
        <v>9.94</v>
      </c>
      <c r="H207" s="4" t="s">
        <v>20</v>
      </c>
      <c r="I207" s="245" t="s">
        <v>20</v>
      </c>
      <c r="K207" s="864"/>
      <c r="L207" s="61" t="s">
        <v>211</v>
      </c>
      <c r="M207" s="48" t="s">
        <v>20</v>
      </c>
      <c r="N207" s="21">
        <f t="shared" si="289"/>
        <v>525.22220234903989</v>
      </c>
      <c r="O207" s="44">
        <f t="shared" si="290"/>
        <v>633.42700564100539</v>
      </c>
      <c r="P207" s="44">
        <f t="shared" si="291"/>
        <v>838.73288606014967</v>
      </c>
      <c r="Q207" s="21">
        <f t="shared" si="292"/>
        <v>1186.1356135142103</v>
      </c>
      <c r="R207" s="2" t="s">
        <v>20</v>
      </c>
      <c r="S207" s="50" t="s">
        <v>20</v>
      </c>
      <c r="V207" s="864"/>
      <c r="W207" s="61" t="s">
        <v>211</v>
      </c>
      <c r="X207" s="2" t="s">
        <v>20</v>
      </c>
      <c r="Y207" s="21">
        <f t="shared" ref="Y207:AB207" si="294">(D207/N207)*100*12.2354989838484</f>
        <v>32.684081132829292</v>
      </c>
      <c r="Z207" s="21">
        <f t="shared" si="294"/>
        <v>26.965627340386686</v>
      </c>
      <c r="AA207" s="21">
        <f t="shared" si="294"/>
        <v>17.943333330862441</v>
      </c>
      <c r="AB207" s="21">
        <f t="shared" si="294"/>
        <v>10.253537497210983</v>
      </c>
      <c r="AC207" s="2" t="s">
        <v>20</v>
      </c>
      <c r="AD207" s="50" t="s">
        <v>20</v>
      </c>
      <c r="AE207" s="51"/>
      <c r="AF207" s="51"/>
    </row>
    <row r="208" spans="1:32" ht="15">
      <c r="A208" s="864"/>
      <c r="B208" s="52" t="s">
        <v>212</v>
      </c>
      <c r="C208" s="4" t="s">
        <v>15</v>
      </c>
      <c r="D208" s="4" t="s">
        <v>15</v>
      </c>
      <c r="E208" s="4" t="s">
        <v>15</v>
      </c>
      <c r="F208" s="4" t="s">
        <v>15</v>
      </c>
      <c r="G208" s="4" t="s">
        <v>15</v>
      </c>
      <c r="H208" s="4" t="s">
        <v>15</v>
      </c>
      <c r="I208" s="245" t="s">
        <v>15</v>
      </c>
      <c r="K208" s="864"/>
      <c r="L208" s="61" t="s">
        <v>212</v>
      </c>
      <c r="M208" s="48" t="s">
        <v>20</v>
      </c>
      <c r="N208" s="2" t="s">
        <v>20</v>
      </c>
      <c r="O208" s="2" t="s">
        <v>20</v>
      </c>
      <c r="P208" s="2" t="s">
        <v>20</v>
      </c>
      <c r="Q208" s="2" t="s">
        <v>20</v>
      </c>
      <c r="R208" s="2" t="s">
        <v>20</v>
      </c>
      <c r="S208" s="50" t="s">
        <v>20</v>
      </c>
      <c r="V208" s="864"/>
      <c r="W208" s="61" t="s">
        <v>212</v>
      </c>
      <c r="X208" s="2" t="s">
        <v>20</v>
      </c>
      <c r="Y208" s="2" t="s">
        <v>20</v>
      </c>
      <c r="Z208" s="2" t="s">
        <v>20</v>
      </c>
      <c r="AA208" s="2" t="s">
        <v>20</v>
      </c>
      <c r="AB208" s="2" t="s">
        <v>20</v>
      </c>
      <c r="AC208" s="2" t="s">
        <v>20</v>
      </c>
      <c r="AD208" s="50" t="s">
        <v>20</v>
      </c>
      <c r="AE208" s="51"/>
      <c r="AF208" s="51"/>
    </row>
    <row r="209" spans="1:32" ht="17.25">
      <c r="A209" s="864"/>
      <c r="B209" s="52" t="s">
        <v>213</v>
      </c>
      <c r="C209" s="4" t="s">
        <v>15</v>
      </c>
      <c r="D209" s="4" t="s">
        <v>15</v>
      </c>
      <c r="E209" s="146">
        <v>14.7</v>
      </c>
      <c r="F209" s="253">
        <v>14.21</v>
      </c>
      <c r="G209" s="288">
        <v>13</v>
      </c>
      <c r="H209" s="340">
        <v>11.81</v>
      </c>
      <c r="I209" s="440">
        <v>9.75</v>
      </c>
      <c r="K209" s="864"/>
      <c r="L209" s="61" t="s">
        <v>213</v>
      </c>
      <c r="M209" s="48" t="s">
        <v>20</v>
      </c>
      <c r="N209" s="2" t="s">
        <v>20</v>
      </c>
      <c r="O209" s="44">
        <f t="shared" ref="O209:O210" si="295">($O$9*0.514444)/(E209*((PI()/180)))</f>
        <v>601.54020399649232</v>
      </c>
      <c r="P209" s="44">
        <f t="shared" ref="P209:P210" si="296">($P$9*0.514444)/(F209*((PI()/180)))</f>
        <v>725.99679792680092</v>
      </c>
      <c r="Q209" s="21">
        <f t="shared" ref="Q209:Q210" si="297">($Q$9*0.514444)/(G209*((PI()/180)))</f>
        <v>906.93753833317294</v>
      </c>
      <c r="R209" s="44">
        <f t="shared" ref="R209:R210" si="298">($R$9*0.514444)/(H209*((PI()/180)))</f>
        <v>1123.1127432788023</v>
      </c>
      <c r="S209" s="45">
        <f t="shared" ref="S209:S210" si="299">($S$9*0.514444)/(I209*((PI()/180)))</f>
        <v>1511.5625638886215</v>
      </c>
      <c r="V209" s="864"/>
      <c r="W209" s="61" t="s">
        <v>213</v>
      </c>
      <c r="X209" s="2" t="s">
        <v>20</v>
      </c>
      <c r="Y209" s="2" t="s">
        <v>20</v>
      </c>
      <c r="Z209" s="2" t="s">
        <v>20</v>
      </c>
      <c r="AA209" s="21">
        <f t="shared" ref="AA209:AD209" si="300">(F209/P209)*100*12.2354989838484</f>
        <v>23.948651158929209</v>
      </c>
      <c r="AB209" s="21">
        <f t="shared" si="300"/>
        <v>17.538306671302021</v>
      </c>
      <c r="AC209" s="21">
        <f t="shared" si="300"/>
        <v>12.866138672542737</v>
      </c>
      <c r="AD209" s="22">
        <f t="shared" si="300"/>
        <v>7.8922380020859109</v>
      </c>
      <c r="AE209" s="7"/>
      <c r="AF209" s="7"/>
    </row>
    <row r="210" spans="1:32" ht="17.25">
      <c r="A210" s="864"/>
      <c r="B210" s="52" t="s">
        <v>214</v>
      </c>
      <c r="C210" s="4" t="s">
        <v>15</v>
      </c>
      <c r="D210" s="4" t="s">
        <v>15</v>
      </c>
      <c r="E210" s="104">
        <v>17.29</v>
      </c>
      <c r="F210" s="92">
        <v>16.73</v>
      </c>
      <c r="G210" s="395">
        <v>15.21</v>
      </c>
      <c r="H210" s="258">
        <v>12.79</v>
      </c>
      <c r="I210" s="468">
        <v>10.64</v>
      </c>
      <c r="K210" s="864"/>
      <c r="L210" s="61" t="s">
        <v>214</v>
      </c>
      <c r="M210" s="48" t="s">
        <v>20</v>
      </c>
      <c r="N210" s="2" t="s">
        <v>20</v>
      </c>
      <c r="O210" s="44">
        <f t="shared" si="295"/>
        <v>511.43094266908253</v>
      </c>
      <c r="P210" s="44">
        <f t="shared" si="296"/>
        <v>616.64163171188545</v>
      </c>
      <c r="Q210" s="21">
        <f t="shared" si="297"/>
        <v>775.16028917365213</v>
      </c>
      <c r="R210" s="44">
        <f t="shared" si="298"/>
        <v>1037.0571929728424</v>
      </c>
      <c r="S210" s="45">
        <f t="shared" si="299"/>
        <v>1385.125469728765</v>
      </c>
      <c r="V210" s="864"/>
      <c r="W210" s="61" t="s">
        <v>214</v>
      </c>
      <c r="X210" s="2" t="s">
        <v>20</v>
      </c>
      <c r="Y210" s="2" t="s">
        <v>20</v>
      </c>
      <c r="Z210" s="2" t="s">
        <v>20</v>
      </c>
      <c r="AA210" s="21">
        <f t="shared" ref="AA210:AD210" si="301">(F210/P210)*100*12.2354989838484</f>
        <v>33.195925716450169</v>
      </c>
      <c r="AB210" s="21">
        <f t="shared" si="301"/>
        <v>24.008188002345335</v>
      </c>
      <c r="AC210" s="21">
        <f t="shared" si="301"/>
        <v>15.090009795392174</v>
      </c>
      <c r="AD210" s="22">
        <f t="shared" si="301"/>
        <v>9.3988387357890346</v>
      </c>
      <c r="AE210" s="7"/>
      <c r="AF210" s="7"/>
    </row>
    <row r="211" spans="1:32" ht="15">
      <c r="A211" s="864"/>
      <c r="B211" s="52" t="s">
        <v>215</v>
      </c>
      <c r="C211" s="4" t="s">
        <v>15</v>
      </c>
      <c r="D211" s="4" t="s">
        <v>15</v>
      </c>
      <c r="E211" s="4" t="s">
        <v>15</v>
      </c>
      <c r="F211" s="4" t="s">
        <v>15</v>
      </c>
      <c r="G211" s="4" t="s">
        <v>15</v>
      </c>
      <c r="H211" s="4" t="s">
        <v>15</v>
      </c>
      <c r="I211" s="245" t="s">
        <v>15</v>
      </c>
      <c r="K211" s="864"/>
      <c r="L211" s="61" t="s">
        <v>215</v>
      </c>
      <c r="M211" s="48" t="s">
        <v>20</v>
      </c>
      <c r="N211" s="2" t="s">
        <v>20</v>
      </c>
      <c r="O211" s="2" t="s">
        <v>20</v>
      </c>
      <c r="P211" s="2" t="s">
        <v>20</v>
      </c>
      <c r="Q211" s="2" t="s">
        <v>20</v>
      </c>
      <c r="R211" s="2" t="s">
        <v>20</v>
      </c>
      <c r="S211" s="50" t="s">
        <v>20</v>
      </c>
      <c r="V211" s="864"/>
      <c r="W211" s="61" t="s">
        <v>215</v>
      </c>
      <c r="X211" s="2" t="s">
        <v>20</v>
      </c>
      <c r="Y211" s="2" t="s">
        <v>20</v>
      </c>
      <c r="Z211" s="2" t="s">
        <v>20</v>
      </c>
      <c r="AA211" s="2" t="s">
        <v>20</v>
      </c>
      <c r="AB211" s="2" t="s">
        <v>20</v>
      </c>
      <c r="AC211" s="2" t="s">
        <v>20</v>
      </c>
      <c r="AD211" s="50" t="s">
        <v>20</v>
      </c>
      <c r="AE211" s="51"/>
      <c r="AF211" s="51"/>
    </row>
    <row r="212" spans="1:32" ht="17.25">
      <c r="A212" s="864"/>
      <c r="B212" s="52" t="s">
        <v>216</v>
      </c>
      <c r="C212" s="4" t="s">
        <v>15</v>
      </c>
      <c r="D212" s="156">
        <v>16.27</v>
      </c>
      <c r="E212" s="146">
        <v>14.7</v>
      </c>
      <c r="F212" s="63">
        <v>14.53</v>
      </c>
      <c r="G212" s="256">
        <v>12.17</v>
      </c>
      <c r="H212" s="408">
        <v>9.84</v>
      </c>
      <c r="I212" s="245" t="s">
        <v>20</v>
      </c>
      <c r="K212" s="864"/>
      <c r="L212" s="61" t="s">
        <v>216</v>
      </c>
      <c r="M212" s="48" t="s">
        <v>20</v>
      </c>
      <c r="N212" s="21">
        <f t="shared" ref="N212:N214" si="302">($N$9*0.514444)/(D212*((PI()/180)))</f>
        <v>452.9113398252631</v>
      </c>
      <c r="O212" s="44">
        <f t="shared" ref="O212:O216" si="303">($O$9*0.514444)/(E212*((PI()/180)))</f>
        <v>601.54020399649232</v>
      </c>
      <c r="P212" s="44">
        <f t="shared" ref="P212:P216" si="304">($P$9*0.514444)/(F212*((PI()/180)))</f>
        <v>710.00788014727061</v>
      </c>
      <c r="Q212" s="21">
        <f t="shared" ref="Q212:Q216" si="305">($Q$9*0.514444)/(G212*((PI()/180)))</f>
        <v>968.79112558186114</v>
      </c>
      <c r="R212" s="44">
        <f t="shared" ref="R212:R216" si="306">($R$9*0.514444)/(H212*((PI()/180)))</f>
        <v>1347.9635668823835</v>
      </c>
      <c r="S212" s="50" t="s">
        <v>20</v>
      </c>
      <c r="V212" s="864"/>
      <c r="W212" s="61" t="s">
        <v>216</v>
      </c>
      <c r="X212" s="2" t="s">
        <v>20</v>
      </c>
      <c r="Y212" s="21">
        <f t="shared" ref="Y212:AC212" si="307">(D212/N212)*100*12.2354989838484</f>
        <v>43.953761136565255</v>
      </c>
      <c r="Z212" s="21">
        <f t="shared" si="307"/>
        <v>29.900218450506141</v>
      </c>
      <c r="AA212" s="21">
        <f t="shared" si="307"/>
        <v>25.039412266585206</v>
      </c>
      <c r="AB212" s="21">
        <f t="shared" si="307"/>
        <v>15.370291768930198</v>
      </c>
      <c r="AC212" s="21">
        <f t="shared" si="307"/>
        <v>8.9317925913626368</v>
      </c>
      <c r="AD212" s="50" t="s">
        <v>20</v>
      </c>
      <c r="AE212" s="51"/>
      <c r="AF212" s="51"/>
    </row>
    <row r="213" spans="1:32" ht="17.25">
      <c r="A213" s="864"/>
      <c r="B213" s="52" t="s">
        <v>217</v>
      </c>
      <c r="C213" s="489">
        <v>15.22</v>
      </c>
      <c r="D213" s="396">
        <v>14.93</v>
      </c>
      <c r="E213" s="146">
        <v>14.7</v>
      </c>
      <c r="F213" s="327">
        <v>12.94</v>
      </c>
      <c r="G213" s="282">
        <v>11.33</v>
      </c>
      <c r="H213" s="484">
        <v>7.83</v>
      </c>
      <c r="I213" s="490">
        <v>5.45</v>
      </c>
      <c r="K213" s="864"/>
      <c r="L213" s="61" t="s">
        <v>217</v>
      </c>
      <c r="M213" s="21">
        <f>($M$9*0.514444)/(C213*((PI()/180)))</f>
        <v>387.32549271784654</v>
      </c>
      <c r="N213" s="21">
        <f t="shared" si="302"/>
        <v>493.56111848339117</v>
      </c>
      <c r="O213" s="44">
        <f t="shared" si="303"/>
        <v>601.54020399649232</v>
      </c>
      <c r="P213" s="44">
        <f t="shared" si="304"/>
        <v>797.24996124728307</v>
      </c>
      <c r="Q213" s="21">
        <f t="shared" si="305"/>
        <v>1040.6167694908429</v>
      </c>
      <c r="R213" s="44">
        <f t="shared" si="306"/>
        <v>1693.9925284958692</v>
      </c>
      <c r="S213" s="45">
        <f>($S$9*0.514444)/(I213*((PI()/180)))</f>
        <v>2704.171559250286</v>
      </c>
      <c r="V213" s="864"/>
      <c r="W213" s="61" t="s">
        <v>217</v>
      </c>
      <c r="X213" s="21">
        <f t="shared" ref="X213:AD213" si="308">(C213/M213)*100*12.2354989838484</f>
        <v>48.079534664099874</v>
      </c>
      <c r="Y213" s="21">
        <f t="shared" si="308"/>
        <v>37.011829535961276</v>
      </c>
      <c r="Z213" s="21">
        <f t="shared" si="308"/>
        <v>29.900218450506141</v>
      </c>
      <c r="AA213" s="21">
        <f t="shared" si="308"/>
        <v>19.859186522041092</v>
      </c>
      <c r="AB213" s="21">
        <f t="shared" si="308"/>
        <v>13.321734528152083</v>
      </c>
      <c r="AC213" s="21">
        <f t="shared" si="308"/>
        <v>5.6555123728083547</v>
      </c>
      <c r="AD213" s="22">
        <f t="shared" si="308"/>
        <v>2.4659481841625959</v>
      </c>
      <c r="AE213" s="7"/>
      <c r="AF213" s="7"/>
    </row>
    <row r="214" spans="1:32" ht="17.25">
      <c r="A214" s="864"/>
      <c r="B214" s="52" t="s">
        <v>218</v>
      </c>
      <c r="C214" s="4" t="s">
        <v>15</v>
      </c>
      <c r="D214" s="156">
        <v>16.27</v>
      </c>
      <c r="E214" s="146">
        <v>14.7</v>
      </c>
      <c r="F214" s="63">
        <v>14.53</v>
      </c>
      <c r="G214" s="325">
        <v>12.45</v>
      </c>
      <c r="H214" s="491">
        <v>10.33</v>
      </c>
      <c r="I214" s="245" t="s">
        <v>20</v>
      </c>
      <c r="K214" s="864"/>
      <c r="L214" s="61" t="s">
        <v>218</v>
      </c>
      <c r="M214" s="48" t="s">
        <v>20</v>
      </c>
      <c r="N214" s="21">
        <f t="shared" si="302"/>
        <v>452.9113398252631</v>
      </c>
      <c r="O214" s="44">
        <f t="shared" si="303"/>
        <v>601.54020399649232</v>
      </c>
      <c r="P214" s="44">
        <f t="shared" si="304"/>
        <v>710.00788014727061</v>
      </c>
      <c r="Q214" s="21">
        <f t="shared" si="305"/>
        <v>947.00305207479914</v>
      </c>
      <c r="R214" s="44">
        <f t="shared" si="306"/>
        <v>1284.0233783274593</v>
      </c>
      <c r="S214" s="50" t="s">
        <v>20</v>
      </c>
      <c r="V214" s="864"/>
      <c r="W214" s="61" t="s">
        <v>218</v>
      </c>
      <c r="X214" s="2" t="s">
        <v>20</v>
      </c>
      <c r="Y214" s="21">
        <f t="shared" ref="Y214:AC214" si="309">(D214/N214)*100*12.2354989838484</f>
        <v>43.953761136565255</v>
      </c>
      <c r="Z214" s="21">
        <f t="shared" si="309"/>
        <v>29.900218450506141</v>
      </c>
      <c r="AA214" s="21">
        <f t="shared" si="309"/>
        <v>25.039412266585206</v>
      </c>
      <c r="AB214" s="21">
        <f t="shared" si="309"/>
        <v>16.085688637979239</v>
      </c>
      <c r="AC214" s="21">
        <f t="shared" si="309"/>
        <v>9.843489350465747</v>
      </c>
      <c r="AD214" s="50" t="s">
        <v>20</v>
      </c>
      <c r="AE214" s="51"/>
      <c r="AF214" s="51"/>
    </row>
    <row r="215" spans="1:32" ht="17.25">
      <c r="A215" s="864"/>
      <c r="B215" s="52" t="s">
        <v>219</v>
      </c>
      <c r="C215" s="4" t="s">
        <v>15</v>
      </c>
      <c r="D215" s="4" t="s">
        <v>15</v>
      </c>
      <c r="E215" s="104">
        <v>17.29</v>
      </c>
      <c r="F215" s="93">
        <v>17.05</v>
      </c>
      <c r="G215" s="395">
        <v>15.21</v>
      </c>
      <c r="H215" s="210">
        <v>13.53</v>
      </c>
      <c r="I215" s="492">
        <v>6.14</v>
      </c>
      <c r="K215" s="864"/>
      <c r="L215" s="61" t="s">
        <v>219</v>
      </c>
      <c r="M215" s="48" t="s">
        <v>20</v>
      </c>
      <c r="N215" s="2" t="s">
        <v>20</v>
      </c>
      <c r="O215" s="44">
        <f t="shared" si="303"/>
        <v>511.43094266908253</v>
      </c>
      <c r="P215" s="44">
        <f t="shared" si="304"/>
        <v>605.06829903459482</v>
      </c>
      <c r="Q215" s="21">
        <f t="shared" si="305"/>
        <v>775.16028917365213</v>
      </c>
      <c r="R215" s="44">
        <f t="shared" si="306"/>
        <v>980.33713955082442</v>
      </c>
      <c r="S215" s="45">
        <f t="shared" ref="S215:S216" si="310">($S$9*0.514444)/(I215*((PI()/180)))</f>
        <v>2400.2825729501728</v>
      </c>
      <c r="V215" s="864"/>
      <c r="W215" s="61" t="s">
        <v>219</v>
      </c>
      <c r="X215" s="2" t="s">
        <v>20</v>
      </c>
      <c r="Y215" s="2" t="s">
        <v>20</v>
      </c>
      <c r="Z215" s="2" t="s">
        <v>20</v>
      </c>
      <c r="AA215" s="21">
        <f t="shared" ref="AA215:AD215" si="311">(F215/P215)*100*12.2354989838484</f>
        <v>34.477968521482175</v>
      </c>
      <c r="AB215" s="21">
        <f t="shared" si="311"/>
        <v>24.008188002345335</v>
      </c>
      <c r="AC215" s="21">
        <f t="shared" si="311"/>
        <v>16.886670368044982</v>
      </c>
      <c r="AD215" s="22">
        <f t="shared" si="311"/>
        <v>3.1298799819428056</v>
      </c>
      <c r="AE215" s="7"/>
      <c r="AF215" s="7"/>
    </row>
    <row r="216" spans="1:32" ht="17.25">
      <c r="A216" s="864"/>
      <c r="B216" s="52" t="s">
        <v>220</v>
      </c>
      <c r="C216" s="493">
        <v>16.47</v>
      </c>
      <c r="D216" s="343">
        <v>16.989999999999998</v>
      </c>
      <c r="E216" s="307">
        <v>15.07</v>
      </c>
      <c r="F216" s="65">
        <v>14.84</v>
      </c>
      <c r="G216" s="215">
        <v>13.28</v>
      </c>
      <c r="H216" s="283">
        <v>11.57</v>
      </c>
      <c r="I216" s="460">
        <v>9.08</v>
      </c>
      <c r="K216" s="864"/>
      <c r="L216" s="61" t="s">
        <v>220</v>
      </c>
      <c r="M216" s="21">
        <f>($M$9*0.514444)/(C216*((PI()/180)))</f>
        <v>357.92920456379022</v>
      </c>
      <c r="N216" s="21">
        <f>($N$9*0.514444)/(D216*((PI()/180)))</f>
        <v>433.71792224585226</v>
      </c>
      <c r="O216" s="44">
        <f t="shared" si="303"/>
        <v>586.7711346216613</v>
      </c>
      <c r="P216" s="44">
        <f t="shared" si="304"/>
        <v>695.17617914688969</v>
      </c>
      <c r="Q216" s="21">
        <f t="shared" si="305"/>
        <v>887.81536132012423</v>
      </c>
      <c r="R216" s="44">
        <f t="shared" si="306"/>
        <v>1146.4098096908085</v>
      </c>
      <c r="S216" s="45">
        <f t="shared" si="310"/>
        <v>1623.0985680522092</v>
      </c>
      <c r="V216" s="864"/>
      <c r="W216" s="61" t="s">
        <v>220</v>
      </c>
      <c r="X216" s="21">
        <f t="shared" ref="X216:AD216" si="312">(C216/M216)*100*12.2354989838484</f>
        <v>56.301264522288633</v>
      </c>
      <c r="Y216" s="21">
        <f t="shared" si="312"/>
        <v>47.930029420768832</v>
      </c>
      <c r="Z216" s="21">
        <f t="shared" si="312"/>
        <v>31.424342270259398</v>
      </c>
      <c r="AA216" s="21">
        <f t="shared" si="312"/>
        <v>26.119250107668574</v>
      </c>
      <c r="AB216" s="21">
        <f t="shared" si="312"/>
        <v>18.301939072545267</v>
      </c>
      <c r="AC216" s="21">
        <f t="shared" si="312"/>
        <v>12.348526857189629</v>
      </c>
      <c r="AD216" s="22">
        <f t="shared" si="312"/>
        <v>6.844829572283242</v>
      </c>
      <c r="AE216" s="7"/>
      <c r="AF216" s="7"/>
    </row>
    <row r="217" spans="1:32" ht="15">
      <c r="A217" s="864"/>
      <c r="B217" s="52" t="s">
        <v>221</v>
      </c>
      <c r="C217" s="4" t="s">
        <v>15</v>
      </c>
      <c r="D217" s="4" t="s">
        <v>15</v>
      </c>
      <c r="E217" s="4" t="s">
        <v>15</v>
      </c>
      <c r="F217" s="4" t="s">
        <v>15</v>
      </c>
      <c r="G217" s="4" t="s">
        <v>15</v>
      </c>
      <c r="H217" s="4" t="s">
        <v>15</v>
      </c>
      <c r="I217" s="245" t="s">
        <v>15</v>
      </c>
      <c r="K217" s="864"/>
      <c r="L217" s="61" t="s">
        <v>221</v>
      </c>
      <c r="M217" s="48" t="s">
        <v>20</v>
      </c>
      <c r="N217" s="2" t="s">
        <v>20</v>
      </c>
      <c r="O217" s="2" t="s">
        <v>20</v>
      </c>
      <c r="P217" s="2" t="s">
        <v>20</v>
      </c>
      <c r="Q217" s="2" t="s">
        <v>20</v>
      </c>
      <c r="R217" s="2" t="s">
        <v>20</v>
      </c>
      <c r="S217" s="50" t="s">
        <v>20</v>
      </c>
      <c r="V217" s="864"/>
      <c r="W217" s="61" t="s">
        <v>221</v>
      </c>
      <c r="X217" s="2" t="s">
        <v>20</v>
      </c>
      <c r="Y217" s="2" t="s">
        <v>20</v>
      </c>
      <c r="Z217" s="2" t="s">
        <v>20</v>
      </c>
      <c r="AA217" s="2" t="s">
        <v>20</v>
      </c>
      <c r="AB217" s="2" t="s">
        <v>20</v>
      </c>
      <c r="AC217" s="2" t="s">
        <v>20</v>
      </c>
      <c r="AD217" s="50" t="s">
        <v>20</v>
      </c>
      <c r="AE217" s="51"/>
      <c r="AF217" s="51"/>
    </row>
    <row r="218" spans="1:32" ht="17.25">
      <c r="A218" s="865"/>
      <c r="B218" s="70" t="s">
        <v>222</v>
      </c>
      <c r="C218" s="237" t="s">
        <v>15</v>
      </c>
      <c r="D218" s="237">
        <v>0</v>
      </c>
      <c r="E218" s="494">
        <v>13.59</v>
      </c>
      <c r="F218" s="317">
        <v>12.62</v>
      </c>
      <c r="G218" s="495">
        <v>11.33</v>
      </c>
      <c r="H218" s="496">
        <v>9.59</v>
      </c>
      <c r="I218" s="497">
        <v>7.51</v>
      </c>
      <c r="K218" s="865"/>
      <c r="L218" s="77" t="s">
        <v>222</v>
      </c>
      <c r="M218" s="114" t="s">
        <v>20</v>
      </c>
      <c r="N218" s="115" t="s">
        <v>20</v>
      </c>
      <c r="O218" s="78">
        <f t="shared" ref="O218:O256" si="313">($O$9*0.514444)/(E218*((PI()/180)))</f>
        <v>650.67262683947285</v>
      </c>
      <c r="P218" s="78">
        <f t="shared" ref="P218:P240" si="314">($P$9*0.514444)/(F218*((PI()/180)))</f>
        <v>817.46549116797485</v>
      </c>
      <c r="Q218" s="32">
        <f t="shared" ref="Q218:Q240" si="315">($Q$9*0.514444)/(G218*((PI()/180)))</f>
        <v>1040.6167694908429</v>
      </c>
      <c r="R218" s="78">
        <f t="shared" ref="R218:R219" si="316">($R$9*0.514444)/(H218*((PI()/180)))</f>
        <v>1383.1033887510589</v>
      </c>
      <c r="S218" s="79">
        <f>($S$9*0.514444)/(I218*((PI()/180)))</f>
        <v>1962.4147800151877</v>
      </c>
      <c r="V218" s="865"/>
      <c r="W218" s="77" t="s">
        <v>222</v>
      </c>
      <c r="X218" s="115" t="s">
        <v>20</v>
      </c>
      <c r="Y218" s="115" t="s">
        <v>20</v>
      </c>
      <c r="Z218" s="115" t="s">
        <v>20</v>
      </c>
      <c r="AA218" s="32">
        <f t="shared" ref="AA218:AD218" si="317">(F218/P218)*100*12.2354989838484</f>
        <v>18.889115056777097</v>
      </c>
      <c r="AB218" s="32">
        <f t="shared" si="317"/>
        <v>13.321734528152083</v>
      </c>
      <c r="AC218" s="32">
        <f t="shared" si="317"/>
        <v>8.4837067286099757</v>
      </c>
      <c r="AD218" s="33">
        <f t="shared" si="317"/>
        <v>4.6824248525069878</v>
      </c>
      <c r="AE218" s="7"/>
      <c r="AF218" s="7"/>
    </row>
    <row r="219" spans="1:32" ht="17.25">
      <c r="A219" s="866">
        <v>7.7</v>
      </c>
      <c r="B219" s="80" t="s">
        <v>223</v>
      </c>
      <c r="C219" s="224" t="s">
        <v>15</v>
      </c>
      <c r="D219" s="224" t="s">
        <v>15</v>
      </c>
      <c r="E219" s="226">
        <v>12.09</v>
      </c>
      <c r="F219" s="498">
        <v>10.7</v>
      </c>
      <c r="G219" s="499">
        <v>9.65</v>
      </c>
      <c r="H219" s="500">
        <v>7.83</v>
      </c>
      <c r="I219" s="244" t="s">
        <v>20</v>
      </c>
      <c r="K219" s="863">
        <v>7.7</v>
      </c>
      <c r="L219" s="83" t="s">
        <v>223</v>
      </c>
      <c r="M219" s="84" t="s">
        <v>20</v>
      </c>
      <c r="N219" s="85" t="s">
        <v>20</v>
      </c>
      <c r="O219" s="123">
        <f t="shared" si="313"/>
        <v>731.40124059126856</v>
      </c>
      <c r="P219" s="123">
        <f t="shared" si="314"/>
        <v>964.15088771400406</v>
      </c>
      <c r="Q219" s="122">
        <f t="shared" si="315"/>
        <v>1221.7811397234454</v>
      </c>
      <c r="R219" s="123">
        <f t="shared" si="316"/>
        <v>1693.9925284958692</v>
      </c>
      <c r="S219" s="87" t="s">
        <v>20</v>
      </c>
      <c r="V219" s="863">
        <v>7.7</v>
      </c>
      <c r="W219" s="83" t="s">
        <v>223</v>
      </c>
      <c r="X219" s="85" t="s">
        <v>20</v>
      </c>
      <c r="Y219" s="85" t="s">
        <v>20</v>
      </c>
      <c r="Z219" s="85" t="s">
        <v>20</v>
      </c>
      <c r="AA219" s="122">
        <f t="shared" ref="AA219:AC219" si="318">(F219/P219)*100*12.2354989838484</f>
        <v>13.578770791529115</v>
      </c>
      <c r="AB219" s="122">
        <f t="shared" si="318"/>
        <v>9.663970195256347</v>
      </c>
      <c r="AC219" s="122">
        <f t="shared" si="318"/>
        <v>5.6555123728083547</v>
      </c>
      <c r="AD219" s="87" t="s">
        <v>20</v>
      </c>
      <c r="AE219" s="51"/>
      <c r="AF219" s="51"/>
    </row>
    <row r="220" spans="1:32" ht="17.25">
      <c r="A220" s="864"/>
      <c r="B220" s="350" t="s">
        <v>224</v>
      </c>
      <c r="C220" s="4" t="s">
        <v>15</v>
      </c>
      <c r="D220" s="326">
        <v>10.83</v>
      </c>
      <c r="E220" s="501">
        <v>10.96</v>
      </c>
      <c r="F220" s="502">
        <v>8.09</v>
      </c>
      <c r="G220" s="503">
        <v>5.31</v>
      </c>
      <c r="H220" s="4" t="s">
        <v>20</v>
      </c>
      <c r="I220" s="245" t="s">
        <v>20</v>
      </c>
      <c r="K220" s="864"/>
      <c r="L220" s="61" t="s">
        <v>224</v>
      </c>
      <c r="M220" s="48" t="s">
        <v>20</v>
      </c>
      <c r="N220" s="21">
        <f>($N$9*0.514444)/(D220*((PI()/180)))</f>
        <v>680.41251144570913</v>
      </c>
      <c r="O220" s="44">
        <f t="shared" si="313"/>
        <v>806.81031010478432</v>
      </c>
      <c r="P220" s="44">
        <f t="shared" si="314"/>
        <v>1275.2057476563466</v>
      </c>
      <c r="Q220" s="21">
        <f t="shared" si="315"/>
        <v>2220.3743876330036</v>
      </c>
      <c r="R220" s="2" t="s">
        <v>20</v>
      </c>
      <c r="S220" s="50" t="s">
        <v>20</v>
      </c>
      <c r="V220" s="864"/>
      <c r="W220" s="61" t="s">
        <v>224</v>
      </c>
      <c r="X220" s="2" t="s">
        <v>20</v>
      </c>
      <c r="Y220" s="21">
        <f t="shared" ref="Y220:AB220" si="319">(D220/N220)*100*12.2354989838484</f>
        <v>19.475017252920008</v>
      </c>
      <c r="Z220" s="21">
        <f t="shared" si="319"/>
        <v>16.621139713195053</v>
      </c>
      <c r="AA220" s="21">
        <f t="shared" si="319"/>
        <v>7.762291454634263</v>
      </c>
      <c r="AB220" s="21">
        <f t="shared" si="319"/>
        <v>2.9261056138147863</v>
      </c>
      <c r="AC220" s="2" t="s">
        <v>20</v>
      </c>
      <c r="AD220" s="50" t="s">
        <v>20</v>
      </c>
      <c r="AE220" s="51"/>
      <c r="AF220" s="51"/>
    </row>
    <row r="221" spans="1:32" ht="17.25">
      <c r="A221" s="864"/>
      <c r="B221" s="350" t="s">
        <v>225</v>
      </c>
      <c r="C221" s="4" t="s">
        <v>15</v>
      </c>
      <c r="D221" s="4" t="s">
        <v>15</v>
      </c>
      <c r="E221" s="504">
        <v>19.5</v>
      </c>
      <c r="F221" s="505">
        <v>19.25</v>
      </c>
      <c r="G221" s="506">
        <v>19.32</v>
      </c>
      <c r="H221" s="97">
        <v>16.22</v>
      </c>
      <c r="I221" s="236">
        <v>13.73</v>
      </c>
      <c r="K221" s="864"/>
      <c r="L221" s="61" t="s">
        <v>225</v>
      </c>
      <c r="M221" s="48" t="s">
        <v>20</v>
      </c>
      <c r="N221" s="2" t="s">
        <v>20</v>
      </c>
      <c r="O221" s="44">
        <f t="shared" si="313"/>
        <v>453.46876916658653</v>
      </c>
      <c r="P221" s="44">
        <f t="shared" si="314"/>
        <v>535.91763628778392</v>
      </c>
      <c r="Q221" s="21">
        <f t="shared" si="315"/>
        <v>610.25817796745594</v>
      </c>
      <c r="R221" s="44">
        <f t="shared" ref="R221:R225" si="320">($R$9*0.514444)/(H221*((PI()/180)))</f>
        <v>817.75348323814148</v>
      </c>
      <c r="S221" s="45">
        <f>($S$9*0.514444)/(I221*((PI()/180)))</f>
        <v>1073.3965766871129</v>
      </c>
      <c r="V221" s="864"/>
      <c r="W221" s="61" t="s">
        <v>225</v>
      </c>
      <c r="X221" s="2" t="s">
        <v>20</v>
      </c>
      <c r="Y221" s="2" t="s">
        <v>20</v>
      </c>
      <c r="Z221" s="2" t="s">
        <v>20</v>
      </c>
      <c r="AA221" s="21">
        <f t="shared" ref="AA221:AD221" si="321">(F221/P221)*100*12.2354989838484</f>
        <v>43.94954364080715</v>
      </c>
      <c r="AB221" s="21">
        <f t="shared" si="321"/>
        <v>38.736038106900608</v>
      </c>
      <c r="AC221" s="21">
        <f t="shared" si="321"/>
        <v>24.268902253055487</v>
      </c>
      <c r="AD221" s="22">
        <f t="shared" si="321"/>
        <v>15.650636931107648</v>
      </c>
      <c r="AE221" s="7"/>
      <c r="AF221" s="7"/>
    </row>
    <row r="222" spans="1:32" ht="17.25">
      <c r="A222" s="864"/>
      <c r="B222" s="52" t="s">
        <v>226</v>
      </c>
      <c r="C222" s="4" t="s">
        <v>15</v>
      </c>
      <c r="D222" s="164">
        <v>20.27</v>
      </c>
      <c r="E222" s="507">
        <v>20.23</v>
      </c>
      <c r="F222" s="415">
        <v>18.93</v>
      </c>
      <c r="G222" s="90">
        <v>15.76</v>
      </c>
      <c r="H222" s="332">
        <v>12.06</v>
      </c>
      <c r="I222" s="245" t="s">
        <v>20</v>
      </c>
      <c r="K222" s="864"/>
      <c r="L222" s="61" t="s">
        <v>226</v>
      </c>
      <c r="M222" s="48" t="s">
        <v>20</v>
      </c>
      <c r="N222" s="21">
        <f t="shared" ref="N222:N252" si="322">($N$9*0.514444)/(D222*((PI()/180)))</f>
        <v>363.53564375713029</v>
      </c>
      <c r="O222" s="44">
        <f t="shared" si="313"/>
        <v>437.10533854416394</v>
      </c>
      <c r="P222" s="44">
        <f t="shared" si="314"/>
        <v>544.97699411198323</v>
      </c>
      <c r="Q222" s="21">
        <f t="shared" si="315"/>
        <v>748.10837552863256</v>
      </c>
      <c r="R222" s="44">
        <f t="shared" si="320"/>
        <v>1099.8309699935867</v>
      </c>
      <c r="S222" s="50" t="s">
        <v>20</v>
      </c>
      <c r="V222" s="864"/>
      <c r="W222" s="61" t="s">
        <v>226</v>
      </c>
      <c r="X222" s="2" t="s">
        <v>20</v>
      </c>
      <c r="Y222" s="21">
        <f t="shared" ref="Y222:AC222" si="323">(D222/N222)*100*12.2354989838484</f>
        <v>68.222626491145149</v>
      </c>
      <c r="Z222" s="21">
        <f t="shared" si="323"/>
        <v>56.628030503508469</v>
      </c>
      <c r="AA222" s="21">
        <f t="shared" si="323"/>
        <v>42.500508877748473</v>
      </c>
      <c r="AB222" s="21">
        <f t="shared" si="323"/>
        <v>25.775872893976238</v>
      </c>
      <c r="AC222" s="21">
        <f t="shared" si="323"/>
        <v>13.416617805013452</v>
      </c>
      <c r="AD222" s="50" t="s">
        <v>20</v>
      </c>
      <c r="AE222" s="51"/>
      <c r="AF222" s="51"/>
    </row>
    <row r="223" spans="1:32" ht="17.25">
      <c r="A223" s="864"/>
      <c r="B223" s="52" t="s">
        <v>227</v>
      </c>
      <c r="C223" s="4" t="s">
        <v>15</v>
      </c>
      <c r="D223" s="365">
        <v>13.58</v>
      </c>
      <c r="E223" s="213">
        <v>12.09</v>
      </c>
      <c r="F223" s="133">
        <v>10.050000000000001</v>
      </c>
      <c r="G223" s="508">
        <v>8.81</v>
      </c>
      <c r="H223" s="509">
        <v>6.82</v>
      </c>
      <c r="I223" s="245" t="s">
        <v>20</v>
      </c>
      <c r="K223" s="864"/>
      <c r="L223" s="61" t="s">
        <v>228</v>
      </c>
      <c r="M223" s="48" t="s">
        <v>20</v>
      </c>
      <c r="N223" s="21">
        <f t="shared" si="322"/>
        <v>542.62647267724822</v>
      </c>
      <c r="O223" s="44">
        <f t="shared" si="313"/>
        <v>731.40124059126856</v>
      </c>
      <c r="P223" s="44">
        <f t="shared" si="314"/>
        <v>1026.5089053273473</v>
      </c>
      <c r="Q223" s="21">
        <f t="shared" si="315"/>
        <v>1338.2733255767591</v>
      </c>
      <c r="R223" s="44">
        <f t="shared" si="320"/>
        <v>1944.8623897540549</v>
      </c>
      <c r="S223" s="50" t="s">
        <v>20</v>
      </c>
      <c r="V223" s="864"/>
      <c r="W223" s="61" t="s">
        <v>227</v>
      </c>
      <c r="X223" s="2" t="s">
        <v>20</v>
      </c>
      <c r="Y223" s="21">
        <f t="shared" ref="Y223:AC223" si="324">(D223/N223)*100*12.2354989838484</f>
        <v>30.621078138863925</v>
      </c>
      <c r="Z223" s="21">
        <f t="shared" si="324"/>
        <v>20.225175253345487</v>
      </c>
      <c r="AA223" s="21">
        <f t="shared" si="324"/>
        <v>11.979123040190585</v>
      </c>
      <c r="AB223" s="21">
        <f t="shared" si="324"/>
        <v>8.0547631031387272</v>
      </c>
      <c r="AC223" s="21">
        <f t="shared" si="324"/>
        <v>4.290591638228892</v>
      </c>
      <c r="AD223" s="50" t="s">
        <v>20</v>
      </c>
      <c r="AE223" s="51"/>
      <c r="AF223" s="51"/>
    </row>
    <row r="224" spans="1:32" ht="17.25">
      <c r="A224" s="864"/>
      <c r="B224" s="350" t="s">
        <v>229</v>
      </c>
      <c r="C224" s="510">
        <v>21.39</v>
      </c>
      <c r="D224" s="197">
        <v>20.71</v>
      </c>
      <c r="E224" s="196">
        <v>19.86</v>
      </c>
      <c r="F224" s="436">
        <v>17.36</v>
      </c>
      <c r="G224" s="395">
        <v>15.21</v>
      </c>
      <c r="H224" s="482">
        <v>9.34</v>
      </c>
      <c r="I224" s="245" t="s">
        <v>20</v>
      </c>
      <c r="K224" s="864"/>
      <c r="L224" s="61" t="s">
        <v>229</v>
      </c>
      <c r="M224" s="21">
        <f>($M$9*0.514444)/(C224*((PI()/180)))</f>
        <v>275.60046746917362</v>
      </c>
      <c r="N224" s="21">
        <f t="shared" si="322"/>
        <v>355.8120472697745</v>
      </c>
      <c r="O224" s="44">
        <f t="shared" si="313"/>
        <v>445.24879147776625</v>
      </c>
      <c r="P224" s="44">
        <f t="shared" si="314"/>
        <v>594.26350798040573</v>
      </c>
      <c r="Q224" s="21">
        <f t="shared" si="315"/>
        <v>775.16028917365213</v>
      </c>
      <c r="R224" s="44">
        <f t="shared" si="320"/>
        <v>1420.1243574007126</v>
      </c>
      <c r="S224" s="50" t="s">
        <v>20</v>
      </c>
      <c r="V224" s="864"/>
      <c r="W224" s="61" t="s">
        <v>229</v>
      </c>
      <c r="X224" s="21">
        <f t="shared" ref="X224:AC224" si="325">(C224/M224)*100*12.2354989838484</f>
        <v>94.962583216151771</v>
      </c>
      <c r="Y224" s="21">
        <f t="shared" si="325"/>
        <v>71.216583558615767</v>
      </c>
      <c r="Z224" s="21">
        <f t="shared" si="325"/>
        <v>54.575557412010049</v>
      </c>
      <c r="AA224" s="21">
        <f t="shared" si="325"/>
        <v>35.743110506898532</v>
      </c>
      <c r="AB224" s="21">
        <f t="shared" si="325"/>
        <v>24.008188002345335</v>
      </c>
      <c r="AC224" s="21">
        <f t="shared" si="325"/>
        <v>8.0471516394742117</v>
      </c>
      <c r="AD224" s="50" t="s">
        <v>20</v>
      </c>
      <c r="AE224" s="51"/>
      <c r="AF224" s="51"/>
    </row>
    <row r="225" spans="1:32" ht="17.25">
      <c r="A225" s="864"/>
      <c r="B225" s="52" t="s">
        <v>230</v>
      </c>
      <c r="C225" s="4" t="s">
        <v>15</v>
      </c>
      <c r="D225" s="164">
        <v>20.27</v>
      </c>
      <c r="E225" s="504">
        <v>19.5</v>
      </c>
      <c r="F225" s="162">
        <v>17.68</v>
      </c>
      <c r="G225" s="173">
        <v>14.38</v>
      </c>
      <c r="H225" s="459">
        <v>11.07</v>
      </c>
      <c r="I225" s="245" t="s">
        <v>20</v>
      </c>
      <c r="K225" s="864"/>
      <c r="L225" s="61" t="s">
        <v>230</v>
      </c>
      <c r="M225" s="48" t="s">
        <v>20</v>
      </c>
      <c r="N225" s="21">
        <f t="shared" si="322"/>
        <v>363.53564375713029</v>
      </c>
      <c r="O225" s="44">
        <f t="shared" si="313"/>
        <v>453.46876916658653</v>
      </c>
      <c r="P225" s="44">
        <f t="shared" si="314"/>
        <v>583.50760738347526</v>
      </c>
      <c r="Q225" s="21">
        <f t="shared" si="315"/>
        <v>819.90180795071262</v>
      </c>
      <c r="R225" s="44">
        <f t="shared" si="320"/>
        <v>1198.1898372287853</v>
      </c>
      <c r="S225" s="50" t="s">
        <v>20</v>
      </c>
      <c r="V225" s="864"/>
      <c r="W225" s="61" t="s">
        <v>230</v>
      </c>
      <c r="X225" s="2" t="s">
        <v>20</v>
      </c>
      <c r="Y225" s="21">
        <f t="shared" ref="Y225:AC225" si="326">(D225/N225)*100*12.2354989838484</f>
        <v>68.222626491145149</v>
      </c>
      <c r="Z225" s="21">
        <f t="shared" si="326"/>
        <v>52.614920013906058</v>
      </c>
      <c r="AA225" s="21">
        <f t="shared" si="326"/>
        <v>37.072973736274534</v>
      </c>
      <c r="AB225" s="21">
        <f t="shared" si="326"/>
        <v>21.45945693515495</v>
      </c>
      <c r="AC225" s="21">
        <f t="shared" si="326"/>
        <v>11.304299998443335</v>
      </c>
      <c r="AD225" s="50" t="s">
        <v>20</v>
      </c>
      <c r="AE225" s="51"/>
      <c r="AF225" s="51"/>
    </row>
    <row r="226" spans="1:32" ht="17.25">
      <c r="A226" s="864"/>
      <c r="B226" s="52" t="s">
        <v>231</v>
      </c>
      <c r="C226" s="511">
        <v>19.170000000000002</v>
      </c>
      <c r="D226" s="56">
        <v>17.170000000000002</v>
      </c>
      <c r="E226" s="67">
        <v>15.45</v>
      </c>
      <c r="F226" s="63">
        <v>14.53</v>
      </c>
      <c r="G226" s="512">
        <v>7.67</v>
      </c>
      <c r="H226" s="4" t="s">
        <v>20</v>
      </c>
      <c r="I226" s="245" t="s">
        <v>20</v>
      </c>
      <c r="K226" s="864"/>
      <c r="L226" s="61" t="s">
        <v>231</v>
      </c>
      <c r="M226" s="21">
        <f t="shared" ref="M226:M228" si="327">($M$9*0.514444)/(C226*((PI()/180)))</f>
        <v>307.51664054072108</v>
      </c>
      <c r="N226" s="21">
        <f t="shared" si="322"/>
        <v>429.17108322405534</v>
      </c>
      <c r="O226" s="44">
        <f t="shared" si="313"/>
        <v>572.33922321996363</v>
      </c>
      <c r="P226" s="44">
        <f t="shared" si="314"/>
        <v>710.00788014727061</v>
      </c>
      <c r="Q226" s="21">
        <f t="shared" si="315"/>
        <v>1537.1822683613102</v>
      </c>
      <c r="R226" s="2" t="s">
        <v>20</v>
      </c>
      <c r="S226" s="50" t="s">
        <v>20</v>
      </c>
      <c r="V226" s="864"/>
      <c r="W226" s="61" t="s">
        <v>231</v>
      </c>
      <c r="X226" s="21">
        <f t="shared" ref="X226:AB226" si="328">(C226/M226)*100*12.2354989838484</f>
        <v>76.273763627212332</v>
      </c>
      <c r="Y226" s="21">
        <f t="shared" si="328"/>
        <v>48.950995480513235</v>
      </c>
      <c r="Z226" s="21">
        <f t="shared" si="328"/>
        <v>33.029093871451437</v>
      </c>
      <c r="AA226" s="21">
        <f t="shared" si="328"/>
        <v>25.039412266585206</v>
      </c>
      <c r="AB226" s="21">
        <f t="shared" si="328"/>
        <v>6.1050845522802328</v>
      </c>
      <c r="AC226" s="2" t="s">
        <v>20</v>
      </c>
      <c r="AD226" s="50" t="s">
        <v>20</v>
      </c>
      <c r="AE226" s="51"/>
      <c r="AF226" s="51"/>
    </row>
    <row r="227" spans="1:32" ht="17.25">
      <c r="A227" s="864"/>
      <c r="B227" s="52" t="s">
        <v>232</v>
      </c>
      <c r="C227" s="410">
        <v>16.350000000000001</v>
      </c>
      <c r="D227" s="92">
        <v>16.72</v>
      </c>
      <c r="E227" s="146">
        <v>14.7</v>
      </c>
      <c r="F227" s="365">
        <v>13.58</v>
      </c>
      <c r="G227" s="483">
        <v>10.78</v>
      </c>
      <c r="H227" s="4" t="s">
        <v>20</v>
      </c>
      <c r="I227" s="245" t="s">
        <v>20</v>
      </c>
      <c r="K227" s="864"/>
      <c r="L227" s="61" t="s">
        <v>232</v>
      </c>
      <c r="M227" s="21">
        <f t="shared" si="327"/>
        <v>360.5562079000382</v>
      </c>
      <c r="N227" s="21">
        <f t="shared" si="322"/>
        <v>440.72174036824345</v>
      </c>
      <c r="O227" s="44">
        <f t="shared" si="313"/>
        <v>601.54020399649232</v>
      </c>
      <c r="P227" s="44">
        <f t="shared" si="314"/>
        <v>759.67706174814748</v>
      </c>
      <c r="Q227" s="21">
        <f t="shared" si="315"/>
        <v>1093.7094618118042</v>
      </c>
      <c r="R227" s="2" t="s">
        <v>20</v>
      </c>
      <c r="S227" s="50" t="s">
        <v>20</v>
      </c>
      <c r="V227" s="864"/>
      <c r="W227" s="61" t="s">
        <v>232</v>
      </c>
      <c r="X227" s="21">
        <f t="shared" ref="X227:AB227" si="329">(C227/M227)*100*12.2354989838484</f>
        <v>55.483834143658406</v>
      </c>
      <c r="Y227" s="21">
        <f t="shared" si="329"/>
        <v>46.418754572672363</v>
      </c>
      <c r="Z227" s="21">
        <f t="shared" si="329"/>
        <v>29.900218450506141</v>
      </c>
      <c r="AA227" s="21">
        <f t="shared" si="329"/>
        <v>21.872198670617088</v>
      </c>
      <c r="AB227" s="21">
        <f t="shared" si="329"/>
        <v>12.059754775037478</v>
      </c>
      <c r="AC227" s="2" t="s">
        <v>20</v>
      </c>
      <c r="AD227" s="50" t="s">
        <v>20</v>
      </c>
      <c r="AE227" s="51"/>
      <c r="AF227" s="51"/>
    </row>
    <row r="228" spans="1:32" ht="17.25">
      <c r="A228" s="864"/>
      <c r="B228" s="52" t="s">
        <v>233</v>
      </c>
      <c r="C228" s="511">
        <v>19.170000000000002</v>
      </c>
      <c r="D228" s="411">
        <v>18.05</v>
      </c>
      <c r="E228" s="343">
        <v>16.920000000000002</v>
      </c>
      <c r="F228" s="90">
        <v>15.79</v>
      </c>
      <c r="G228" s="461">
        <v>11.89</v>
      </c>
      <c r="H228" s="509">
        <v>6.82</v>
      </c>
      <c r="I228" s="245" t="s">
        <v>20</v>
      </c>
      <c r="K228" s="864"/>
      <c r="L228" s="61" t="s">
        <v>233</v>
      </c>
      <c r="M228" s="21">
        <f t="shared" si="327"/>
        <v>307.51664054072108</v>
      </c>
      <c r="N228" s="21">
        <f t="shared" si="322"/>
        <v>408.2475068674255</v>
      </c>
      <c r="O228" s="44">
        <f t="shared" si="313"/>
        <v>522.61471623808723</v>
      </c>
      <c r="P228" s="44">
        <f t="shared" si="314"/>
        <v>653.35113986952763</v>
      </c>
      <c r="Q228" s="21">
        <f t="shared" si="315"/>
        <v>991.60538253416723</v>
      </c>
      <c r="R228" s="44">
        <f t="shared" ref="R228:R233" si="330">($R$9*0.514444)/(H228*((PI()/180)))</f>
        <v>1944.8623897540549</v>
      </c>
      <c r="S228" s="50" t="s">
        <v>20</v>
      </c>
      <c r="V228" s="864"/>
      <c r="W228" s="61" t="s">
        <v>233</v>
      </c>
      <c r="X228" s="21">
        <f t="shared" ref="X228:AC228" si="331">(C228/M228)*100*12.2354989838484</f>
        <v>76.273763627212332</v>
      </c>
      <c r="Y228" s="21">
        <f t="shared" si="331"/>
        <v>54.097270147000017</v>
      </c>
      <c r="Z228" s="21">
        <f t="shared" si="331"/>
        <v>39.613244015960866</v>
      </c>
      <c r="AA228" s="21">
        <f t="shared" si="331"/>
        <v>29.570397473179185</v>
      </c>
      <c r="AB228" s="21">
        <f t="shared" si="331"/>
        <v>14.671167127609328</v>
      </c>
      <c r="AC228" s="21">
        <f t="shared" si="331"/>
        <v>4.290591638228892</v>
      </c>
      <c r="AD228" s="50" t="s">
        <v>20</v>
      </c>
      <c r="AE228" s="51"/>
      <c r="AF228" s="51"/>
    </row>
    <row r="229" spans="1:32" ht="17.25">
      <c r="A229" s="864"/>
      <c r="B229" s="52" t="s">
        <v>234</v>
      </c>
      <c r="C229" s="4" t="s">
        <v>15</v>
      </c>
      <c r="D229" s="90">
        <v>15.83</v>
      </c>
      <c r="E229" s="67">
        <v>15.45</v>
      </c>
      <c r="F229" s="253">
        <v>14.21</v>
      </c>
      <c r="G229" s="96">
        <v>11.61</v>
      </c>
      <c r="H229" s="418">
        <v>9.09</v>
      </c>
      <c r="I229" s="245" t="s">
        <v>20</v>
      </c>
      <c r="K229" s="864"/>
      <c r="L229" s="61" t="s">
        <v>234</v>
      </c>
      <c r="M229" s="48" t="s">
        <v>20</v>
      </c>
      <c r="N229" s="21">
        <f t="shared" si="322"/>
        <v>465.50015786209912</v>
      </c>
      <c r="O229" s="44">
        <f t="shared" si="313"/>
        <v>572.33922321996363</v>
      </c>
      <c r="P229" s="44">
        <f t="shared" si="314"/>
        <v>725.99679792680092</v>
      </c>
      <c r="Q229" s="21">
        <f t="shared" si="315"/>
        <v>1015.5200687623816</v>
      </c>
      <c r="R229" s="44">
        <f t="shared" si="330"/>
        <v>1459.1816829617881</v>
      </c>
      <c r="S229" s="50" t="s">
        <v>20</v>
      </c>
      <c r="V229" s="864"/>
      <c r="W229" s="61" t="s">
        <v>234</v>
      </c>
      <c r="X229" s="2" t="s">
        <v>20</v>
      </c>
      <c r="Y229" s="21">
        <f t="shared" ref="Y229:AC229" si="332">(D229/N229)*100*12.2354989838484</f>
        <v>41.608567826028271</v>
      </c>
      <c r="Z229" s="21">
        <f t="shared" si="332"/>
        <v>33.029093871451437</v>
      </c>
      <c r="AA229" s="21">
        <f t="shared" si="332"/>
        <v>23.948651158929209</v>
      </c>
      <c r="AB229" s="21">
        <f t="shared" si="332"/>
        <v>13.988314714016621</v>
      </c>
      <c r="AC229" s="21">
        <f t="shared" si="332"/>
        <v>7.6221273239553495</v>
      </c>
      <c r="AD229" s="50" t="s">
        <v>20</v>
      </c>
      <c r="AE229" s="51"/>
      <c r="AF229" s="51"/>
    </row>
    <row r="230" spans="1:32" ht="17.25">
      <c r="A230" s="864"/>
      <c r="B230" s="52" t="s">
        <v>235</v>
      </c>
      <c r="C230" s="4" t="s">
        <v>15</v>
      </c>
      <c r="D230" s="90">
        <v>15.83</v>
      </c>
      <c r="E230" s="67">
        <v>15.45</v>
      </c>
      <c r="F230" s="253">
        <v>14.21</v>
      </c>
      <c r="G230" s="96">
        <v>11.61</v>
      </c>
      <c r="H230" s="418">
        <v>9.09</v>
      </c>
      <c r="I230" s="245" t="s">
        <v>20</v>
      </c>
      <c r="K230" s="864"/>
      <c r="L230" s="61" t="s">
        <v>235</v>
      </c>
      <c r="M230" s="48" t="s">
        <v>20</v>
      </c>
      <c r="N230" s="21">
        <f t="shared" si="322"/>
        <v>465.50015786209912</v>
      </c>
      <c r="O230" s="44">
        <f t="shared" si="313"/>
        <v>572.33922321996363</v>
      </c>
      <c r="P230" s="44">
        <f t="shared" si="314"/>
        <v>725.99679792680092</v>
      </c>
      <c r="Q230" s="21">
        <f t="shared" si="315"/>
        <v>1015.5200687623816</v>
      </c>
      <c r="R230" s="44">
        <f t="shared" si="330"/>
        <v>1459.1816829617881</v>
      </c>
      <c r="S230" s="50" t="s">
        <v>20</v>
      </c>
      <c r="V230" s="864"/>
      <c r="W230" s="61" t="s">
        <v>235</v>
      </c>
      <c r="X230" s="2" t="s">
        <v>20</v>
      </c>
      <c r="Y230" s="21">
        <f t="shared" ref="Y230:AC230" si="333">(D230/N230)*100*12.2354989838484</f>
        <v>41.608567826028271</v>
      </c>
      <c r="Z230" s="21">
        <f t="shared" si="333"/>
        <v>33.029093871451437</v>
      </c>
      <c r="AA230" s="21">
        <f t="shared" si="333"/>
        <v>23.948651158929209</v>
      </c>
      <c r="AB230" s="21">
        <f t="shared" si="333"/>
        <v>13.988314714016621</v>
      </c>
      <c r="AC230" s="21">
        <f t="shared" si="333"/>
        <v>7.6221273239553495</v>
      </c>
      <c r="AD230" s="50" t="s">
        <v>20</v>
      </c>
      <c r="AE230" s="51"/>
      <c r="AF230" s="51"/>
    </row>
    <row r="231" spans="1:32" ht="17.25">
      <c r="A231" s="865"/>
      <c r="B231" s="70" t="s">
        <v>236</v>
      </c>
      <c r="C231" s="513">
        <v>18.89</v>
      </c>
      <c r="D231" s="514">
        <v>16.940000000000001</v>
      </c>
      <c r="E231" s="515">
        <v>17.809999999999999</v>
      </c>
      <c r="F231" s="516">
        <v>16.48</v>
      </c>
      <c r="G231" s="241">
        <v>13.28</v>
      </c>
      <c r="H231" s="402">
        <v>11.59</v>
      </c>
      <c r="I231" s="517">
        <v>2.06</v>
      </c>
      <c r="K231" s="865"/>
      <c r="L231" s="77" t="s">
        <v>236</v>
      </c>
      <c r="M231" s="32">
        <f t="shared" ref="M231:M246" si="334">($M$9*0.514444)/(C231*((PI()/180)))</f>
        <v>312.07485437615799</v>
      </c>
      <c r="N231" s="32">
        <f t="shared" si="322"/>
        <v>434.99808140242203</v>
      </c>
      <c r="O231" s="78">
        <f t="shared" si="313"/>
        <v>496.49865237217506</v>
      </c>
      <c r="P231" s="78">
        <f t="shared" si="314"/>
        <v>625.99602539683497</v>
      </c>
      <c r="Q231" s="32">
        <f t="shared" si="315"/>
        <v>887.81536132012423</v>
      </c>
      <c r="R231" s="78">
        <f t="shared" si="330"/>
        <v>1144.4315356447503</v>
      </c>
      <c r="S231" s="79">
        <v>7154.2402902495423</v>
      </c>
      <c r="T231" s="518"/>
      <c r="V231" s="865"/>
      <c r="W231" s="77" t="s">
        <v>236</v>
      </c>
      <c r="X231" s="32">
        <f t="shared" ref="X231:AD231" si="335">(C231/M231)*100*12.2354989838484</f>
        <v>74.06190295816225</v>
      </c>
      <c r="Y231" s="32">
        <f t="shared" si="335"/>
        <v>47.648337233617475</v>
      </c>
      <c r="Z231" s="32">
        <f t="shared" si="335"/>
        <v>43.890197055155674</v>
      </c>
      <c r="AA231" s="32">
        <f t="shared" si="335"/>
        <v>32.211230594634557</v>
      </c>
      <c r="AB231" s="32">
        <f t="shared" si="335"/>
        <v>18.301939072545267</v>
      </c>
      <c r="AC231" s="32">
        <f t="shared" si="335"/>
        <v>12.391255291904406</v>
      </c>
      <c r="AD231" s="33">
        <f t="shared" si="335"/>
        <v>0.3523103346288155</v>
      </c>
      <c r="AE231" s="7"/>
      <c r="AF231" s="7"/>
    </row>
    <row r="232" spans="1:32" ht="17.25">
      <c r="A232" s="866">
        <v>7.3</v>
      </c>
      <c r="B232" s="80" t="s">
        <v>237</v>
      </c>
      <c r="C232" s="519">
        <v>15.79</v>
      </c>
      <c r="D232" s="520">
        <v>16.72</v>
      </c>
      <c r="E232" s="521">
        <v>15.07</v>
      </c>
      <c r="F232" s="266">
        <v>14.21</v>
      </c>
      <c r="G232" s="522">
        <v>12.17</v>
      </c>
      <c r="H232" s="523">
        <v>8.09</v>
      </c>
      <c r="I232" s="244" t="s">
        <v>20</v>
      </c>
      <c r="K232" s="863">
        <v>7.3</v>
      </c>
      <c r="L232" s="83" t="s">
        <v>237</v>
      </c>
      <c r="M232" s="122">
        <f t="shared" si="334"/>
        <v>373.34350849687297</v>
      </c>
      <c r="N232" s="122">
        <f t="shared" si="322"/>
        <v>440.72174036824345</v>
      </c>
      <c r="O232" s="123">
        <f t="shared" si="313"/>
        <v>586.7711346216613</v>
      </c>
      <c r="P232" s="123">
        <f t="shared" si="314"/>
        <v>725.99679792680092</v>
      </c>
      <c r="Q232" s="122">
        <f t="shared" si="315"/>
        <v>968.79112558186114</v>
      </c>
      <c r="R232" s="123">
        <f t="shared" si="330"/>
        <v>1639.5502469867313</v>
      </c>
      <c r="S232" s="87" t="s">
        <v>20</v>
      </c>
      <c r="V232" s="863">
        <v>7.3</v>
      </c>
      <c r="W232" s="83" t="s">
        <v>237</v>
      </c>
      <c r="X232" s="122">
        <f t="shared" ref="X232:AC232" si="336">(C232/M232)*100*12.2354989838484</f>
        <v>51.748195578063566</v>
      </c>
      <c r="Y232" s="122">
        <f t="shared" si="336"/>
        <v>46.418754572672363</v>
      </c>
      <c r="Z232" s="122">
        <f t="shared" si="336"/>
        <v>31.424342270259398</v>
      </c>
      <c r="AA232" s="122">
        <f t="shared" si="336"/>
        <v>23.948651158929209</v>
      </c>
      <c r="AB232" s="122">
        <f t="shared" si="336"/>
        <v>15.370291768930198</v>
      </c>
      <c r="AC232" s="122">
        <f t="shared" si="336"/>
        <v>6.0373377980488714</v>
      </c>
      <c r="AD232" s="87" t="s">
        <v>20</v>
      </c>
      <c r="AE232" s="51"/>
      <c r="AF232" s="51"/>
    </row>
    <row r="233" spans="1:32" ht="17.25">
      <c r="A233" s="864"/>
      <c r="B233" s="52" t="s">
        <v>238</v>
      </c>
      <c r="C233" s="126">
        <v>14.65</v>
      </c>
      <c r="D233" s="174">
        <v>17.61</v>
      </c>
      <c r="E233" s="336">
        <v>18.39</v>
      </c>
      <c r="F233" s="105">
        <v>17.989999999999998</v>
      </c>
      <c r="G233" s="56">
        <v>17.13</v>
      </c>
      <c r="H233" s="395">
        <v>15.24</v>
      </c>
      <c r="I233" s="245" t="s">
        <v>20</v>
      </c>
      <c r="K233" s="864"/>
      <c r="L233" s="61" t="s">
        <v>238</v>
      </c>
      <c r="M233" s="21">
        <f t="shared" si="334"/>
        <v>402.39549482359206</v>
      </c>
      <c r="N233" s="21">
        <f t="shared" si="322"/>
        <v>418.44789886184162</v>
      </c>
      <c r="O233" s="44">
        <f t="shared" si="313"/>
        <v>480.8396410412418</v>
      </c>
      <c r="P233" s="44">
        <f t="shared" si="314"/>
        <v>573.45272365424364</v>
      </c>
      <c r="Q233" s="21">
        <f t="shared" si="315"/>
        <v>688.27717445016049</v>
      </c>
      <c r="R233" s="44">
        <f t="shared" si="330"/>
        <v>870.33868097917684</v>
      </c>
      <c r="S233" s="50" t="s">
        <v>20</v>
      </c>
      <c r="V233" s="864"/>
      <c r="W233" s="61" t="s">
        <v>238</v>
      </c>
      <c r="X233" s="21">
        <f t="shared" ref="X233:AC233" si="337">(C233/M233)*100*12.2354989838484</f>
        <v>44.545742290668855</v>
      </c>
      <c r="Y233" s="21">
        <f t="shared" si="337"/>
        <v>51.491986861836487</v>
      </c>
      <c r="Z233" s="21">
        <f t="shared" si="337"/>
        <v>46.795398529480394</v>
      </c>
      <c r="AA233" s="21">
        <f t="shared" si="337"/>
        <v>38.384441757774155</v>
      </c>
      <c r="AB233" s="21">
        <f t="shared" si="337"/>
        <v>30.451990182699308</v>
      </c>
      <c r="AC233" s="21">
        <f t="shared" si="337"/>
        <v>21.42487845123259</v>
      </c>
      <c r="AD233" s="50" t="s">
        <v>20</v>
      </c>
      <c r="AE233" s="51"/>
      <c r="AF233" s="51"/>
    </row>
    <row r="234" spans="1:32" ht="17.25">
      <c r="A234" s="864"/>
      <c r="B234" s="350" t="s">
        <v>239</v>
      </c>
      <c r="C234" s="489">
        <v>15.22</v>
      </c>
      <c r="D234" s="53">
        <v>15.38</v>
      </c>
      <c r="E234" s="152">
        <v>14.33</v>
      </c>
      <c r="F234" s="362">
        <v>11.98</v>
      </c>
      <c r="G234" s="524">
        <v>8.52</v>
      </c>
      <c r="H234" s="4" t="s">
        <v>20</v>
      </c>
      <c r="I234" s="245" t="s">
        <v>20</v>
      </c>
      <c r="K234" s="864"/>
      <c r="L234" s="61" t="s">
        <v>239</v>
      </c>
      <c r="M234" s="21">
        <f t="shared" si="334"/>
        <v>387.32549271784654</v>
      </c>
      <c r="N234" s="21">
        <f t="shared" si="322"/>
        <v>479.12012346924769</v>
      </c>
      <c r="O234" s="44">
        <f t="shared" si="313"/>
        <v>617.0719468770717</v>
      </c>
      <c r="P234" s="44">
        <f t="shared" si="314"/>
        <v>861.1364356043274</v>
      </c>
      <c r="Q234" s="21">
        <f t="shared" si="315"/>
        <v>1383.8248824332452</v>
      </c>
      <c r="R234" s="2" t="s">
        <v>20</v>
      </c>
      <c r="S234" s="50" t="s">
        <v>20</v>
      </c>
      <c r="V234" s="864"/>
      <c r="W234" s="61" t="s">
        <v>239</v>
      </c>
      <c r="X234" s="21">
        <f t="shared" ref="X234:AB234" si="338">(C234/M234)*100*12.2354989838484</f>
        <v>48.079534664099874</v>
      </c>
      <c r="Y234" s="21">
        <f t="shared" si="338"/>
        <v>39.276574945127898</v>
      </c>
      <c r="Z234" s="21">
        <f t="shared" si="338"/>
        <v>28.413980140548567</v>
      </c>
      <c r="AA234" s="21">
        <f t="shared" si="338"/>
        <v>17.021841344297108</v>
      </c>
      <c r="AB234" s="21">
        <f t="shared" si="338"/>
        <v>7.5332112224407215</v>
      </c>
      <c r="AC234" s="2" t="s">
        <v>20</v>
      </c>
      <c r="AD234" s="50" t="s">
        <v>20</v>
      </c>
      <c r="AE234" s="51"/>
      <c r="AF234" s="51"/>
    </row>
    <row r="235" spans="1:32" ht="17.25">
      <c r="A235" s="864"/>
      <c r="B235" s="350" t="s">
        <v>240</v>
      </c>
      <c r="C235" s="438">
        <v>14.07</v>
      </c>
      <c r="D235" s="365">
        <v>13.58</v>
      </c>
      <c r="E235" s="148">
        <v>13.96</v>
      </c>
      <c r="F235" s="362">
        <v>11.98</v>
      </c>
      <c r="G235" s="282">
        <v>11.33</v>
      </c>
      <c r="H235" s="525">
        <v>7.07</v>
      </c>
      <c r="I235" s="245" t="s">
        <v>20</v>
      </c>
      <c r="K235" s="864"/>
      <c r="L235" s="61" t="s">
        <v>240</v>
      </c>
      <c r="M235" s="21">
        <f t="shared" si="334"/>
        <v>418.98322666422348</v>
      </c>
      <c r="N235" s="21">
        <f t="shared" si="322"/>
        <v>542.62647267724822</v>
      </c>
      <c r="O235" s="44">
        <f t="shared" si="313"/>
        <v>633.42700564100539</v>
      </c>
      <c r="P235" s="44">
        <f t="shared" si="314"/>
        <v>861.1364356043274</v>
      </c>
      <c r="Q235" s="21">
        <f t="shared" si="315"/>
        <v>1040.6167694908429</v>
      </c>
      <c r="R235" s="44">
        <f>($R$9*0.514444)/(H235*((PI()/180)))</f>
        <v>1876.0907352365846</v>
      </c>
      <c r="S235" s="50" t="s">
        <v>20</v>
      </c>
      <c r="V235" s="864"/>
      <c r="W235" s="61" t="s">
        <v>240</v>
      </c>
      <c r="X235" s="21">
        <f t="shared" ref="X235:AC235" si="339">(C235/M235)*100*12.2354989838484</f>
        <v>41.088392027853693</v>
      </c>
      <c r="Y235" s="21">
        <f t="shared" si="339"/>
        <v>30.621078138863925</v>
      </c>
      <c r="Z235" s="21">
        <f t="shared" si="339"/>
        <v>26.965627340386686</v>
      </c>
      <c r="AA235" s="21">
        <f t="shared" si="339"/>
        <v>17.021841344297108</v>
      </c>
      <c r="AB235" s="21">
        <f t="shared" si="339"/>
        <v>13.321734528152083</v>
      </c>
      <c r="AC235" s="21">
        <f t="shared" si="339"/>
        <v>4.6109165293063219</v>
      </c>
      <c r="AD235" s="50" t="s">
        <v>20</v>
      </c>
      <c r="AE235" s="51"/>
      <c r="AF235" s="51"/>
    </row>
    <row r="236" spans="1:32" ht="17.25">
      <c r="A236" s="864"/>
      <c r="B236" s="52" t="s">
        <v>241</v>
      </c>
      <c r="C236" s="198">
        <v>13.49</v>
      </c>
      <c r="D236" s="289">
        <v>13.12</v>
      </c>
      <c r="E236" s="325">
        <v>12.47</v>
      </c>
      <c r="F236" s="293">
        <v>11.66</v>
      </c>
      <c r="G236" s="512">
        <v>7.67</v>
      </c>
      <c r="H236" s="4" t="s">
        <v>20</v>
      </c>
      <c r="I236" s="245" t="s">
        <v>20</v>
      </c>
      <c r="K236" s="864"/>
      <c r="L236" s="61" t="s">
        <v>241</v>
      </c>
      <c r="M236" s="21">
        <f t="shared" si="334"/>
        <v>436.997331294709</v>
      </c>
      <c r="N236" s="21">
        <f t="shared" si="322"/>
        <v>561.65148620099319</v>
      </c>
      <c r="O236" s="44">
        <f t="shared" si="313"/>
        <v>709.11315146338711</v>
      </c>
      <c r="P236" s="44">
        <f t="shared" si="314"/>
        <v>884.76968255058682</v>
      </c>
      <c r="Q236" s="21">
        <f t="shared" si="315"/>
        <v>1537.1822683613102</v>
      </c>
      <c r="R236" s="2" t="s">
        <v>20</v>
      </c>
      <c r="S236" s="50" t="s">
        <v>20</v>
      </c>
      <c r="V236" s="864"/>
      <c r="W236" s="61" t="s">
        <v>241</v>
      </c>
      <c r="X236" s="21">
        <f t="shared" ref="X236:AB236" si="340">(C236/M236)*100*12.2354989838484</f>
        <v>37.770684045848625</v>
      </c>
      <c r="Y236" s="21">
        <f t="shared" si="340"/>
        <v>28.581736292360429</v>
      </c>
      <c r="Z236" s="21">
        <f t="shared" si="340"/>
        <v>21.516548101486929</v>
      </c>
      <c r="AA236" s="21">
        <f t="shared" si="340"/>
        <v>16.124639097081111</v>
      </c>
      <c r="AB236" s="21">
        <f t="shared" si="340"/>
        <v>6.1050845522802328</v>
      </c>
      <c r="AC236" s="2" t="s">
        <v>20</v>
      </c>
      <c r="AD236" s="50" t="s">
        <v>20</v>
      </c>
      <c r="AE236" s="51"/>
      <c r="AF236" s="51"/>
    </row>
    <row r="237" spans="1:32" ht="17.25">
      <c r="A237" s="864"/>
      <c r="B237" s="52" t="s">
        <v>242</v>
      </c>
      <c r="C237" s="526">
        <v>20.28</v>
      </c>
      <c r="D237" s="197">
        <v>20.71</v>
      </c>
      <c r="E237" s="196">
        <v>19.86</v>
      </c>
      <c r="F237" s="162">
        <v>17.68</v>
      </c>
      <c r="G237" s="67">
        <v>15.48</v>
      </c>
      <c r="H237" s="4" t="s">
        <v>20</v>
      </c>
      <c r="I237" s="245" t="s">
        <v>20</v>
      </c>
      <c r="K237" s="864"/>
      <c r="L237" s="61" t="s">
        <v>242</v>
      </c>
      <c r="M237" s="21">
        <f t="shared" si="334"/>
        <v>290.68510844011956</v>
      </c>
      <c r="N237" s="21">
        <f t="shared" si="322"/>
        <v>355.8120472697745</v>
      </c>
      <c r="O237" s="44">
        <f t="shared" si="313"/>
        <v>445.24879147776625</v>
      </c>
      <c r="P237" s="44">
        <f t="shared" si="314"/>
        <v>583.50760738347526</v>
      </c>
      <c r="Q237" s="21">
        <f t="shared" si="315"/>
        <v>761.6400515717861</v>
      </c>
      <c r="R237" s="2" t="s">
        <v>20</v>
      </c>
      <c r="S237" s="50" t="s">
        <v>20</v>
      </c>
      <c r="V237" s="864"/>
      <c r="W237" s="61" t="s">
        <v>242</v>
      </c>
      <c r="X237" s="21">
        <f t="shared" ref="X237:AB237" si="341">(C237/M237)*100*12.2354989838484</f>
        <v>85.36244623056119</v>
      </c>
      <c r="Y237" s="21">
        <f t="shared" si="341"/>
        <v>71.216583558615767</v>
      </c>
      <c r="Z237" s="21">
        <f t="shared" si="341"/>
        <v>54.575557412010049</v>
      </c>
      <c r="AA237" s="21">
        <f t="shared" si="341"/>
        <v>37.072973736274534</v>
      </c>
      <c r="AB237" s="21">
        <f t="shared" si="341"/>
        <v>24.868115047140662</v>
      </c>
      <c r="AC237" s="2" t="s">
        <v>20</v>
      </c>
      <c r="AD237" s="50" t="s">
        <v>20</v>
      </c>
      <c r="AE237" s="51"/>
      <c r="AF237" s="51"/>
    </row>
    <row r="238" spans="1:32" ht="17.25">
      <c r="A238" s="864"/>
      <c r="B238" s="52" t="s">
        <v>243</v>
      </c>
      <c r="C238" s="527">
        <v>15.79</v>
      </c>
      <c r="D238" s="156">
        <v>16.27</v>
      </c>
      <c r="E238" s="307">
        <v>15.07</v>
      </c>
      <c r="F238" s="365">
        <v>13.58</v>
      </c>
      <c r="G238" s="433">
        <v>11.06</v>
      </c>
      <c r="H238" s="528">
        <v>7.58</v>
      </c>
      <c r="I238" s="245" t="s">
        <v>20</v>
      </c>
      <c r="K238" s="864"/>
      <c r="L238" s="61" t="s">
        <v>243</v>
      </c>
      <c r="M238" s="21">
        <f t="shared" si="334"/>
        <v>373.34350849687297</v>
      </c>
      <c r="N238" s="21">
        <f t="shared" si="322"/>
        <v>452.9113398252631</v>
      </c>
      <c r="O238" s="44">
        <f t="shared" si="313"/>
        <v>586.7711346216613</v>
      </c>
      <c r="P238" s="44">
        <f t="shared" si="314"/>
        <v>759.67706174814748</v>
      </c>
      <c r="Q238" s="21">
        <f t="shared" si="315"/>
        <v>1066.020614677328</v>
      </c>
      <c r="R238" s="44">
        <f t="shared" ref="R238:R239" si="342">($R$9*0.514444)/(H238*((PI()/180)))</f>
        <v>1749.862994475284</v>
      </c>
      <c r="S238" s="50" t="s">
        <v>20</v>
      </c>
      <c r="V238" s="864"/>
      <c r="W238" s="61" t="s">
        <v>243</v>
      </c>
      <c r="X238" s="21">
        <f t="shared" ref="X238:AC238" si="343">(C238/M238)*100*12.2354989838484</f>
        <v>51.748195578063566</v>
      </c>
      <c r="Y238" s="21">
        <f t="shared" si="343"/>
        <v>43.953761136565255</v>
      </c>
      <c r="Z238" s="21">
        <f t="shared" si="343"/>
        <v>31.424342270259398</v>
      </c>
      <c r="AA238" s="21">
        <f t="shared" si="343"/>
        <v>21.872198670617088</v>
      </c>
      <c r="AB238" s="21">
        <f t="shared" si="343"/>
        <v>12.694371656435978</v>
      </c>
      <c r="AC238" s="21">
        <f t="shared" si="343"/>
        <v>5.300133929935555</v>
      </c>
      <c r="AD238" s="50" t="s">
        <v>20</v>
      </c>
      <c r="AE238" s="51"/>
      <c r="AF238" s="529"/>
    </row>
    <row r="239" spans="1:32" ht="17.25">
      <c r="A239" s="864"/>
      <c r="B239" s="52" t="s">
        <v>244</v>
      </c>
      <c r="C239" s="489">
        <v>15.22</v>
      </c>
      <c r="D239" s="200">
        <v>14.48</v>
      </c>
      <c r="E239" s="260">
        <v>13.59</v>
      </c>
      <c r="F239" s="176">
        <v>12.3</v>
      </c>
      <c r="G239" s="422">
        <v>9.3699999999999992</v>
      </c>
      <c r="H239" s="509">
        <v>6.82</v>
      </c>
      <c r="I239" s="245" t="s">
        <v>20</v>
      </c>
      <c r="K239" s="864"/>
      <c r="L239" s="61" t="s">
        <v>244</v>
      </c>
      <c r="M239" s="21">
        <f t="shared" si="334"/>
        <v>387.32549271784654</v>
      </c>
      <c r="N239" s="21">
        <f t="shared" si="322"/>
        <v>508.89968915449106</v>
      </c>
      <c r="O239" s="44">
        <f t="shared" si="313"/>
        <v>650.67262683947285</v>
      </c>
      <c r="P239" s="44">
        <f t="shared" si="314"/>
        <v>838.73288606014967</v>
      </c>
      <c r="Q239" s="21">
        <f t="shared" si="315"/>
        <v>1258.2911417642742</v>
      </c>
      <c r="R239" s="44">
        <f t="shared" si="342"/>
        <v>1944.8623897540549</v>
      </c>
      <c r="S239" s="50" t="s">
        <v>20</v>
      </c>
      <c r="V239" s="864"/>
      <c r="W239" s="61" t="s">
        <v>244</v>
      </c>
      <c r="X239" s="21">
        <f t="shared" ref="X239:AC239" si="344">(C239/M239)*100*12.2354989838484</f>
        <v>48.079534664099874</v>
      </c>
      <c r="Y239" s="21">
        <f t="shared" si="344"/>
        <v>34.814331598528412</v>
      </c>
      <c r="Z239" s="21">
        <f t="shared" si="344"/>
        <v>25.555160050020472</v>
      </c>
      <c r="AA239" s="21">
        <f t="shared" si="344"/>
        <v>17.943333330862441</v>
      </c>
      <c r="AB239" s="21">
        <f t="shared" si="344"/>
        <v>9.1112956034889709</v>
      </c>
      <c r="AC239" s="21">
        <f t="shared" si="344"/>
        <v>4.290591638228892</v>
      </c>
      <c r="AD239" s="50" t="s">
        <v>20</v>
      </c>
      <c r="AE239" s="51"/>
      <c r="AF239" s="51"/>
    </row>
    <row r="240" spans="1:32" ht="17.25">
      <c r="A240" s="864"/>
      <c r="B240" s="52" t="s">
        <v>245</v>
      </c>
      <c r="C240" s="530">
        <v>16.920000000000002</v>
      </c>
      <c r="D240" s="92">
        <v>16.72</v>
      </c>
      <c r="E240" s="67">
        <v>15.45</v>
      </c>
      <c r="F240" s="365">
        <v>13.58</v>
      </c>
      <c r="G240" s="330">
        <v>9.65</v>
      </c>
      <c r="H240" s="4" t="s">
        <v>20</v>
      </c>
      <c r="I240" s="245" t="s">
        <v>20</v>
      </c>
      <c r="K240" s="864"/>
      <c r="L240" s="61" t="s">
        <v>245</v>
      </c>
      <c r="M240" s="21">
        <f t="shared" si="334"/>
        <v>348.40981082539145</v>
      </c>
      <c r="N240" s="21">
        <f t="shared" si="322"/>
        <v>440.72174036824345</v>
      </c>
      <c r="O240" s="44">
        <f t="shared" si="313"/>
        <v>572.33922321996363</v>
      </c>
      <c r="P240" s="44">
        <f t="shared" si="314"/>
        <v>759.67706174814748</v>
      </c>
      <c r="Q240" s="21">
        <f t="shared" si="315"/>
        <v>1221.7811397234454</v>
      </c>
      <c r="R240" s="2" t="s">
        <v>20</v>
      </c>
      <c r="S240" s="50" t="s">
        <v>20</v>
      </c>
      <c r="V240" s="864"/>
      <c r="W240" s="61" t="s">
        <v>245</v>
      </c>
      <c r="X240" s="21">
        <f t="shared" ref="X240:AB240" si="345">(C240/M240)*100*12.2354989838484</f>
        <v>59.419866023941303</v>
      </c>
      <c r="Y240" s="21">
        <f t="shared" si="345"/>
        <v>46.418754572672363</v>
      </c>
      <c r="Z240" s="21">
        <f t="shared" si="345"/>
        <v>33.029093871451437</v>
      </c>
      <c r="AA240" s="21">
        <f t="shared" si="345"/>
        <v>21.872198670617088</v>
      </c>
      <c r="AB240" s="21">
        <f t="shared" si="345"/>
        <v>9.663970195256347</v>
      </c>
      <c r="AC240" s="2" t="s">
        <v>20</v>
      </c>
      <c r="AD240" s="50" t="s">
        <v>20</v>
      </c>
      <c r="AE240" s="51"/>
      <c r="AF240" s="51"/>
    </row>
    <row r="241" spans="1:32" ht="17.25">
      <c r="A241" s="865"/>
      <c r="B241" s="70" t="s">
        <v>246</v>
      </c>
      <c r="C241" s="531">
        <v>15.79</v>
      </c>
      <c r="D241" s="532">
        <v>13.58</v>
      </c>
      <c r="E241" s="533">
        <v>9.43</v>
      </c>
      <c r="F241" s="237" t="s">
        <v>20</v>
      </c>
      <c r="G241" s="237" t="s">
        <v>20</v>
      </c>
      <c r="H241" s="237" t="s">
        <v>20</v>
      </c>
      <c r="I241" s="534" t="s">
        <v>20</v>
      </c>
      <c r="K241" s="865"/>
      <c r="L241" s="77" t="s">
        <v>246</v>
      </c>
      <c r="M241" s="32">
        <f t="shared" si="334"/>
        <v>373.34350849687297</v>
      </c>
      <c r="N241" s="32">
        <f t="shared" si="322"/>
        <v>542.62647267724822</v>
      </c>
      <c r="O241" s="78">
        <f t="shared" si="313"/>
        <v>937.71378565731038</v>
      </c>
      <c r="P241" s="115" t="s">
        <v>20</v>
      </c>
      <c r="Q241" s="115" t="s">
        <v>20</v>
      </c>
      <c r="R241" s="115" t="s">
        <v>20</v>
      </c>
      <c r="S241" s="370" t="s">
        <v>20</v>
      </c>
      <c r="V241" s="865"/>
      <c r="W241" s="77" t="s">
        <v>246</v>
      </c>
      <c r="X241" s="32">
        <f t="shared" ref="X241:Z241" si="346">(C241/M241)*100*12.2354989838484</f>
        <v>51.748195578063566</v>
      </c>
      <c r="Y241" s="32">
        <f t="shared" si="346"/>
        <v>30.621078138863925</v>
      </c>
      <c r="Z241" s="32">
        <f t="shared" si="346"/>
        <v>12.304474689663628</v>
      </c>
      <c r="AA241" s="115" t="s">
        <v>20</v>
      </c>
      <c r="AB241" s="115" t="s">
        <v>20</v>
      </c>
      <c r="AC241" s="115" t="s">
        <v>20</v>
      </c>
      <c r="AD241" s="370" t="s">
        <v>20</v>
      </c>
      <c r="AE241" s="51"/>
      <c r="AF241" s="51"/>
    </row>
    <row r="242" spans="1:32" ht="17.25">
      <c r="A242" s="863">
        <v>7</v>
      </c>
      <c r="B242" s="80" t="s">
        <v>247</v>
      </c>
      <c r="C242" s="535">
        <v>16.350000000000001</v>
      </c>
      <c r="D242" s="267">
        <v>15.83</v>
      </c>
      <c r="E242" s="521">
        <v>15.07</v>
      </c>
      <c r="F242" s="453">
        <v>12.3</v>
      </c>
      <c r="G242" s="499">
        <v>9.65</v>
      </c>
      <c r="H242" s="536">
        <v>4.99</v>
      </c>
      <c r="I242" s="244" t="s">
        <v>20</v>
      </c>
      <c r="K242" s="863">
        <v>7</v>
      </c>
      <c r="L242" s="83" t="s">
        <v>247</v>
      </c>
      <c r="M242" s="122">
        <f t="shared" si="334"/>
        <v>360.5562079000382</v>
      </c>
      <c r="N242" s="122">
        <f t="shared" si="322"/>
        <v>465.50015786209912</v>
      </c>
      <c r="O242" s="123">
        <f t="shared" si="313"/>
        <v>586.7711346216613</v>
      </c>
      <c r="P242" s="123">
        <f t="shared" ref="P242:P252" si="347">($P$9*0.514444)/(F242*((PI()/180)))</f>
        <v>838.73288606014967</v>
      </c>
      <c r="Q242" s="122">
        <f t="shared" ref="Q242:Q245" si="348">($Q$9*0.514444)/(G242*((PI()/180)))</f>
        <v>1221.7811397234454</v>
      </c>
      <c r="R242" s="123">
        <f>($R$9*0.514444)/(H242*((PI()/180)))</f>
        <v>2658.1085166578464</v>
      </c>
      <c r="S242" s="87" t="s">
        <v>20</v>
      </c>
      <c r="V242" s="863">
        <v>7</v>
      </c>
      <c r="W242" s="83" t="s">
        <v>247</v>
      </c>
      <c r="X242" s="122">
        <f t="shared" ref="X242:AC242" si="349">(C242/M242)*100*12.2354989838484</f>
        <v>55.483834143658406</v>
      </c>
      <c r="Y242" s="122">
        <f t="shared" si="349"/>
        <v>41.608567826028271</v>
      </c>
      <c r="Z242" s="122">
        <f t="shared" si="349"/>
        <v>31.424342270259398</v>
      </c>
      <c r="AA242" s="122">
        <f t="shared" si="349"/>
        <v>17.943333330862441</v>
      </c>
      <c r="AB242" s="122">
        <f t="shared" si="349"/>
        <v>9.663970195256347</v>
      </c>
      <c r="AC242" s="122">
        <f t="shared" si="349"/>
        <v>2.2969393291049967</v>
      </c>
      <c r="AD242" s="87" t="s">
        <v>20</v>
      </c>
      <c r="AE242" s="51"/>
      <c r="AF242" s="51"/>
    </row>
    <row r="243" spans="1:32" ht="17.25">
      <c r="A243" s="864"/>
      <c r="B243" s="52" t="s">
        <v>248</v>
      </c>
      <c r="C243" s="410">
        <v>16.350000000000001</v>
      </c>
      <c r="D243" s="90">
        <v>15.83</v>
      </c>
      <c r="E243" s="307">
        <v>15.07</v>
      </c>
      <c r="F243" s="365">
        <v>13.58</v>
      </c>
      <c r="G243" s="330">
        <v>9.65</v>
      </c>
      <c r="H243" s="4" t="s">
        <v>20</v>
      </c>
      <c r="I243" s="245" t="s">
        <v>20</v>
      </c>
      <c r="K243" s="864"/>
      <c r="L243" s="61" t="s">
        <v>248</v>
      </c>
      <c r="M243" s="21">
        <f t="shared" si="334"/>
        <v>360.5562079000382</v>
      </c>
      <c r="N243" s="21">
        <f t="shared" si="322"/>
        <v>465.50015786209912</v>
      </c>
      <c r="O243" s="44">
        <f t="shared" si="313"/>
        <v>586.7711346216613</v>
      </c>
      <c r="P243" s="44">
        <f t="shared" si="347"/>
        <v>759.67706174814748</v>
      </c>
      <c r="Q243" s="21">
        <f t="shared" si="348"/>
        <v>1221.7811397234454</v>
      </c>
      <c r="R243" s="2" t="s">
        <v>20</v>
      </c>
      <c r="S243" s="50" t="s">
        <v>20</v>
      </c>
      <c r="V243" s="864"/>
      <c r="W243" s="61" t="s">
        <v>248</v>
      </c>
      <c r="X243" s="21">
        <f t="shared" ref="X243:AB243" si="350">(C243/M243)*100*12.2354989838484</f>
        <v>55.483834143658406</v>
      </c>
      <c r="Y243" s="21">
        <f t="shared" si="350"/>
        <v>41.608567826028271</v>
      </c>
      <c r="Z243" s="21">
        <f t="shared" si="350"/>
        <v>31.424342270259398</v>
      </c>
      <c r="AA243" s="21">
        <f t="shared" si="350"/>
        <v>21.872198670617088</v>
      </c>
      <c r="AB243" s="21">
        <f t="shared" si="350"/>
        <v>9.663970195256347</v>
      </c>
      <c r="AC243" s="2" t="s">
        <v>20</v>
      </c>
      <c r="AD243" s="50" t="s">
        <v>20</v>
      </c>
      <c r="AE243" s="51"/>
      <c r="AF243" s="51"/>
    </row>
    <row r="244" spans="1:32" ht="17.25">
      <c r="A244" s="864"/>
      <c r="B244" s="52" t="s">
        <v>249</v>
      </c>
      <c r="C244" s="537">
        <v>17.48</v>
      </c>
      <c r="D244" s="174">
        <v>17.61</v>
      </c>
      <c r="E244" s="67">
        <v>15.45</v>
      </c>
      <c r="F244" s="134">
        <v>10.38</v>
      </c>
      <c r="G244" s="503">
        <v>3.39</v>
      </c>
      <c r="H244" s="4" t="s">
        <v>20</v>
      </c>
      <c r="I244" s="245" t="s">
        <v>20</v>
      </c>
      <c r="K244" s="864"/>
      <c r="L244" s="61" t="s">
        <v>249</v>
      </c>
      <c r="M244" s="21">
        <f t="shared" si="334"/>
        <v>337.24794045569934</v>
      </c>
      <c r="N244" s="21">
        <f t="shared" si="322"/>
        <v>418.44789886184162</v>
      </c>
      <c r="O244" s="44">
        <f t="shared" si="313"/>
        <v>572.33922321996363</v>
      </c>
      <c r="P244" s="44">
        <f t="shared" si="347"/>
        <v>993.87422914642013</v>
      </c>
      <c r="Q244" s="21">
        <f t="shared" si="348"/>
        <v>3477.931562929572</v>
      </c>
      <c r="R244" s="2" t="s">
        <v>20</v>
      </c>
      <c r="S244" s="50" t="s">
        <v>20</v>
      </c>
      <c r="V244" s="864"/>
      <c r="W244" s="61" t="s">
        <v>249</v>
      </c>
      <c r="X244" s="21">
        <f t="shared" ref="X244:AB244" si="351">(C244/M244)*100*12.2354989838484</f>
        <v>63.418184837147948</v>
      </c>
      <c r="Y244" s="21">
        <f t="shared" si="351"/>
        <v>51.491986861836487</v>
      </c>
      <c r="Z244" s="21">
        <f t="shared" si="351"/>
        <v>33.029093871451437</v>
      </c>
      <c r="AA244" s="21">
        <f t="shared" si="351"/>
        <v>12.778727501710458</v>
      </c>
      <c r="AB244" s="21">
        <f t="shared" si="351"/>
        <v>1.1926152313447926</v>
      </c>
      <c r="AC244" s="2" t="s">
        <v>20</v>
      </c>
      <c r="AD244" s="50" t="s">
        <v>20</v>
      </c>
      <c r="AE244" s="51"/>
      <c r="AF244" s="51"/>
    </row>
    <row r="245" spans="1:32" ht="17.25">
      <c r="A245" s="864"/>
      <c r="B245" s="350" t="s">
        <v>250</v>
      </c>
      <c r="C245" s="489">
        <v>15.22</v>
      </c>
      <c r="D245" s="53">
        <v>15.38</v>
      </c>
      <c r="E245" s="152">
        <v>14.33</v>
      </c>
      <c r="F245" s="362">
        <v>11.98</v>
      </c>
      <c r="G245" s="524">
        <v>8.52</v>
      </c>
      <c r="H245" s="4" t="s">
        <v>20</v>
      </c>
      <c r="I245" s="245" t="s">
        <v>20</v>
      </c>
      <c r="K245" s="864"/>
      <c r="L245" s="61" t="s">
        <v>250</v>
      </c>
      <c r="M245" s="21">
        <f t="shared" si="334"/>
        <v>387.32549271784654</v>
      </c>
      <c r="N245" s="21">
        <f t="shared" si="322"/>
        <v>479.12012346924769</v>
      </c>
      <c r="O245" s="44">
        <f t="shared" si="313"/>
        <v>617.0719468770717</v>
      </c>
      <c r="P245" s="44">
        <f t="shared" si="347"/>
        <v>861.1364356043274</v>
      </c>
      <c r="Q245" s="21">
        <f t="shared" si="348"/>
        <v>1383.8248824332452</v>
      </c>
      <c r="R245" s="2" t="s">
        <v>20</v>
      </c>
      <c r="S245" s="50" t="s">
        <v>20</v>
      </c>
      <c r="V245" s="864"/>
      <c r="W245" s="61" t="s">
        <v>250</v>
      </c>
      <c r="X245" s="21">
        <f t="shared" ref="X245:AB245" si="352">(C245/M245)*100*12.2354989838484</f>
        <v>48.079534664099874</v>
      </c>
      <c r="Y245" s="21">
        <f t="shared" si="352"/>
        <v>39.276574945127898</v>
      </c>
      <c r="Z245" s="21">
        <f t="shared" si="352"/>
        <v>28.413980140548567</v>
      </c>
      <c r="AA245" s="21">
        <f t="shared" si="352"/>
        <v>17.021841344297108</v>
      </c>
      <c r="AB245" s="21">
        <f t="shared" si="352"/>
        <v>7.5332112224407215</v>
      </c>
      <c r="AC245" s="2" t="s">
        <v>20</v>
      </c>
      <c r="AD245" s="50" t="s">
        <v>20</v>
      </c>
      <c r="AE245" s="51"/>
      <c r="AF245" s="51"/>
    </row>
    <row r="246" spans="1:32" ht="17.25">
      <c r="A246" s="864"/>
      <c r="B246" s="52" t="s">
        <v>251</v>
      </c>
      <c r="C246" s="526">
        <v>20.28</v>
      </c>
      <c r="D246" s="411">
        <v>18.05</v>
      </c>
      <c r="E246" s="307">
        <v>15.07</v>
      </c>
      <c r="F246" s="422">
        <v>9.41</v>
      </c>
      <c r="G246" s="4" t="s">
        <v>20</v>
      </c>
      <c r="H246" s="4" t="s">
        <v>20</v>
      </c>
      <c r="I246" s="245" t="s">
        <v>20</v>
      </c>
      <c r="K246" s="864"/>
      <c r="L246" s="61" t="s">
        <v>251</v>
      </c>
      <c r="M246" s="21">
        <f t="shared" si="334"/>
        <v>290.68510844011956</v>
      </c>
      <c r="N246" s="21">
        <f t="shared" si="322"/>
        <v>408.2475068674255</v>
      </c>
      <c r="O246" s="44">
        <f t="shared" si="313"/>
        <v>586.7711346216613</v>
      </c>
      <c r="P246" s="44">
        <f t="shared" si="347"/>
        <v>1096.3246013326082</v>
      </c>
      <c r="Q246" s="2" t="s">
        <v>20</v>
      </c>
      <c r="R246" s="2" t="s">
        <v>20</v>
      </c>
      <c r="S246" s="50" t="s">
        <v>20</v>
      </c>
      <c r="V246" s="864"/>
      <c r="W246" s="61" t="s">
        <v>251</v>
      </c>
      <c r="X246" s="21">
        <f t="shared" ref="X246:AA246" si="353">(C246/M246)*100*12.2354989838484</f>
        <v>85.36244623056119</v>
      </c>
      <c r="Y246" s="21">
        <f t="shared" si="353"/>
        <v>54.097270147000017</v>
      </c>
      <c r="Z246" s="21">
        <f t="shared" si="353"/>
        <v>31.424342270259398</v>
      </c>
      <c r="AA246" s="21">
        <f t="shared" si="353"/>
        <v>10.502003266009254</v>
      </c>
      <c r="AB246" s="2" t="s">
        <v>20</v>
      </c>
      <c r="AC246" s="2" t="s">
        <v>20</v>
      </c>
      <c r="AD246" s="50" t="s">
        <v>20</v>
      </c>
      <c r="AE246" s="51"/>
      <c r="AF246" s="51"/>
    </row>
    <row r="247" spans="1:32" ht="17.25">
      <c r="A247" s="864"/>
      <c r="B247" s="52" t="s">
        <v>252</v>
      </c>
      <c r="C247" s="4" t="s">
        <v>15</v>
      </c>
      <c r="D247" s="90">
        <v>15.83</v>
      </c>
      <c r="E247" s="149">
        <v>13.21</v>
      </c>
      <c r="F247" s="456">
        <v>11.02</v>
      </c>
      <c r="G247" s="538">
        <v>8.24</v>
      </c>
      <c r="H247" s="4" t="s">
        <v>20</v>
      </c>
      <c r="I247" s="245" t="s">
        <v>20</v>
      </c>
      <c r="K247" s="864"/>
      <c r="L247" s="61" t="s">
        <v>252</v>
      </c>
      <c r="M247" s="48" t="s">
        <v>20</v>
      </c>
      <c r="N247" s="21">
        <f t="shared" si="322"/>
        <v>465.50015786209912</v>
      </c>
      <c r="O247" s="44">
        <f t="shared" si="313"/>
        <v>669.38993177505199</v>
      </c>
      <c r="P247" s="44">
        <f t="shared" si="347"/>
        <v>936.1537657477171</v>
      </c>
      <c r="Q247" s="21">
        <f t="shared" ref="Q247:Q248" si="354">($Q$9*0.514444)/(G247*((PI()/180)))</f>
        <v>1430.8480580499088</v>
      </c>
      <c r="R247" s="2" t="s">
        <v>20</v>
      </c>
      <c r="S247" s="50" t="s">
        <v>20</v>
      </c>
      <c r="V247" s="864"/>
      <c r="W247" s="61" t="s">
        <v>252</v>
      </c>
      <c r="X247" s="2" t="s">
        <v>20</v>
      </c>
      <c r="Y247" s="21">
        <f t="shared" ref="Y247:AB247" si="355">(D247/N247)*100*12.2354989838484</f>
        <v>41.608567826028271</v>
      </c>
      <c r="Z247" s="21">
        <f t="shared" si="355"/>
        <v>24.146007267846588</v>
      </c>
      <c r="AA247" s="21">
        <f t="shared" si="355"/>
        <v>14.403103820697115</v>
      </c>
      <c r="AB247" s="21">
        <f t="shared" si="355"/>
        <v>7.0462066925763081</v>
      </c>
      <c r="AC247" s="2" t="s">
        <v>20</v>
      </c>
      <c r="AD247" s="50" t="s">
        <v>20</v>
      </c>
      <c r="AE247" s="51"/>
      <c r="AF247" s="51"/>
    </row>
    <row r="248" spans="1:32" ht="17.25">
      <c r="A248" s="864"/>
      <c r="B248" s="52" t="s">
        <v>253</v>
      </c>
      <c r="C248" s="4" t="s">
        <v>15</v>
      </c>
      <c r="D248" s="56">
        <v>17.170000000000002</v>
      </c>
      <c r="E248" s="97">
        <v>16.18</v>
      </c>
      <c r="F248" s="285">
        <v>13.89</v>
      </c>
      <c r="G248" s="215">
        <v>13.28</v>
      </c>
      <c r="H248" s="491">
        <v>10.33</v>
      </c>
      <c r="I248" s="245" t="s">
        <v>20</v>
      </c>
      <c r="K248" s="864"/>
      <c r="L248" s="61" t="s">
        <v>253</v>
      </c>
      <c r="M248" s="48" t="s">
        <v>20</v>
      </c>
      <c r="N248" s="21">
        <f t="shared" si="322"/>
        <v>429.17108322405534</v>
      </c>
      <c r="O248" s="44">
        <f t="shared" si="313"/>
        <v>546.51674899557713</v>
      </c>
      <c r="P248" s="44">
        <f t="shared" si="347"/>
        <v>742.72242610078058</v>
      </c>
      <c r="Q248" s="21">
        <f t="shared" si="354"/>
        <v>887.81536132012423</v>
      </c>
      <c r="R248" s="44">
        <f>($R$9*0.514444)/(H248*((PI()/180)))</f>
        <v>1284.0233783274593</v>
      </c>
      <c r="S248" s="50" t="s">
        <v>20</v>
      </c>
      <c r="V248" s="864"/>
      <c r="W248" s="61" t="s">
        <v>253</v>
      </c>
      <c r="X248" s="2" t="s">
        <v>20</v>
      </c>
      <c r="Y248" s="21">
        <f t="shared" ref="Y248:AC248" si="356">(D248/N248)*100*12.2354989838484</f>
        <v>48.950995480513235</v>
      </c>
      <c r="Z248" s="21">
        <f t="shared" si="356"/>
        <v>36.224026788293223</v>
      </c>
      <c r="AA248" s="21">
        <f t="shared" si="356"/>
        <v>22.882179790622541</v>
      </c>
      <c r="AB248" s="21">
        <f t="shared" si="356"/>
        <v>18.301939072545267</v>
      </c>
      <c r="AC248" s="21">
        <f t="shared" si="356"/>
        <v>9.843489350465747</v>
      </c>
      <c r="AD248" s="50" t="s">
        <v>20</v>
      </c>
      <c r="AE248" s="51"/>
      <c r="AF248" s="51"/>
    </row>
    <row r="249" spans="1:32" ht="17.25">
      <c r="A249" s="864"/>
      <c r="B249" s="52" t="s">
        <v>254</v>
      </c>
      <c r="C249" s="510">
        <v>21.39</v>
      </c>
      <c r="D249" s="164">
        <v>20.27</v>
      </c>
      <c r="E249" s="104">
        <v>17.29</v>
      </c>
      <c r="F249" s="92">
        <v>16.73</v>
      </c>
      <c r="G249" s="4" t="s">
        <v>20</v>
      </c>
      <c r="H249" s="4" t="s">
        <v>20</v>
      </c>
      <c r="I249" s="245" t="s">
        <v>20</v>
      </c>
      <c r="K249" s="864"/>
      <c r="L249" s="61" t="s">
        <v>254</v>
      </c>
      <c r="M249" s="21">
        <f t="shared" ref="M249:M254" si="357">($M$9*0.514444)/(C249*((PI()/180)))</f>
        <v>275.60046746917362</v>
      </c>
      <c r="N249" s="21">
        <f t="shared" si="322"/>
        <v>363.53564375713029</v>
      </c>
      <c r="O249" s="44">
        <f t="shared" si="313"/>
        <v>511.43094266908253</v>
      </c>
      <c r="P249" s="44">
        <f t="shared" si="347"/>
        <v>616.64163171188545</v>
      </c>
      <c r="Q249" s="2" t="s">
        <v>20</v>
      </c>
      <c r="R249" s="2" t="s">
        <v>20</v>
      </c>
      <c r="S249" s="50" t="s">
        <v>20</v>
      </c>
      <c r="V249" s="864"/>
      <c r="W249" s="61" t="s">
        <v>254</v>
      </c>
      <c r="X249" s="21">
        <f t="shared" ref="X249:AA249" si="358">(C249/M249)*100*12.2354989838484</f>
        <v>94.962583216151771</v>
      </c>
      <c r="Y249" s="21">
        <f t="shared" si="358"/>
        <v>68.222626491145149</v>
      </c>
      <c r="Z249" s="21">
        <f t="shared" si="358"/>
        <v>41.364680894488195</v>
      </c>
      <c r="AA249" s="21">
        <f t="shared" si="358"/>
        <v>33.195925716450169</v>
      </c>
      <c r="AB249" s="2" t="s">
        <v>20</v>
      </c>
      <c r="AC249" s="2" t="s">
        <v>20</v>
      </c>
      <c r="AD249" s="50" t="s">
        <v>20</v>
      </c>
      <c r="AE249" s="51"/>
      <c r="AF249" s="51"/>
    </row>
    <row r="250" spans="1:32" ht="17.25">
      <c r="A250" s="864"/>
      <c r="B250" s="52" t="s">
        <v>255</v>
      </c>
      <c r="C250" s="530">
        <v>16.920000000000002</v>
      </c>
      <c r="D250" s="90">
        <v>15.83</v>
      </c>
      <c r="E250" s="146">
        <v>14.7</v>
      </c>
      <c r="F250" s="365">
        <v>13.58</v>
      </c>
      <c r="G250" s="538">
        <v>8.24</v>
      </c>
      <c r="H250" s="4" t="s">
        <v>20</v>
      </c>
      <c r="I250" s="245" t="s">
        <v>20</v>
      </c>
      <c r="K250" s="864"/>
      <c r="L250" s="61" t="s">
        <v>255</v>
      </c>
      <c r="M250" s="21">
        <f t="shared" si="357"/>
        <v>348.40981082539145</v>
      </c>
      <c r="N250" s="21">
        <f t="shared" si="322"/>
        <v>465.50015786209912</v>
      </c>
      <c r="O250" s="44">
        <f t="shared" si="313"/>
        <v>601.54020399649232</v>
      </c>
      <c r="P250" s="44">
        <f t="shared" si="347"/>
        <v>759.67706174814748</v>
      </c>
      <c r="Q250" s="21">
        <f>($Q$9*0.514444)/(G250*((PI()/180)))</f>
        <v>1430.8480580499088</v>
      </c>
      <c r="R250" s="2" t="s">
        <v>20</v>
      </c>
      <c r="S250" s="50" t="s">
        <v>20</v>
      </c>
      <c r="V250" s="864"/>
      <c r="W250" s="61" t="s">
        <v>255</v>
      </c>
      <c r="X250" s="21">
        <f t="shared" ref="X250:AB250" si="359">(C250/M250)*100*12.2354989838484</f>
        <v>59.419866023941303</v>
      </c>
      <c r="Y250" s="21">
        <f t="shared" si="359"/>
        <v>41.608567826028271</v>
      </c>
      <c r="Z250" s="21">
        <f t="shared" si="359"/>
        <v>29.900218450506141</v>
      </c>
      <c r="AA250" s="21">
        <f t="shared" si="359"/>
        <v>21.872198670617088</v>
      </c>
      <c r="AB250" s="21">
        <f t="shared" si="359"/>
        <v>7.0462066925763081</v>
      </c>
      <c r="AC250" s="2" t="s">
        <v>20</v>
      </c>
      <c r="AD250" s="50" t="s">
        <v>20</v>
      </c>
      <c r="AE250" s="51"/>
      <c r="AF250" s="51"/>
    </row>
    <row r="251" spans="1:32" ht="17.25">
      <c r="A251" s="865"/>
      <c r="B251" s="70" t="s">
        <v>256</v>
      </c>
      <c r="C251" s="539">
        <v>18.05</v>
      </c>
      <c r="D251" s="346">
        <v>16.72</v>
      </c>
      <c r="E251" s="540">
        <v>15.07</v>
      </c>
      <c r="F251" s="532">
        <v>13.58</v>
      </c>
      <c r="G251" s="237" t="s">
        <v>20</v>
      </c>
      <c r="H251" s="237" t="s">
        <v>20</v>
      </c>
      <c r="I251" s="534" t="s">
        <v>20</v>
      </c>
      <c r="K251" s="865"/>
      <c r="L251" s="77" t="s">
        <v>256</v>
      </c>
      <c r="M251" s="32">
        <f t="shared" si="357"/>
        <v>326.59800549394043</v>
      </c>
      <c r="N251" s="32">
        <f t="shared" si="322"/>
        <v>440.72174036824345</v>
      </c>
      <c r="O251" s="78">
        <f t="shared" si="313"/>
        <v>586.7711346216613</v>
      </c>
      <c r="P251" s="78">
        <f t="shared" si="347"/>
        <v>759.67706174814748</v>
      </c>
      <c r="Q251" s="115" t="s">
        <v>20</v>
      </c>
      <c r="R251" s="115" t="s">
        <v>20</v>
      </c>
      <c r="S251" s="370" t="s">
        <v>20</v>
      </c>
      <c r="V251" s="865"/>
      <c r="W251" s="77" t="s">
        <v>256</v>
      </c>
      <c r="X251" s="32">
        <f t="shared" ref="X251:AA251" si="360">(C251/M251)*100*12.2354989838484</f>
        <v>67.621587683750022</v>
      </c>
      <c r="Y251" s="32">
        <f t="shared" si="360"/>
        <v>46.418754572672363</v>
      </c>
      <c r="Z251" s="32">
        <f t="shared" si="360"/>
        <v>31.424342270259398</v>
      </c>
      <c r="AA251" s="32">
        <f t="shared" si="360"/>
        <v>21.872198670617088</v>
      </c>
      <c r="AB251" s="115" t="s">
        <v>20</v>
      </c>
      <c r="AC251" s="115" t="s">
        <v>20</v>
      </c>
      <c r="AD251" s="370" t="s">
        <v>20</v>
      </c>
      <c r="AE251" s="51"/>
      <c r="AF251" s="51"/>
    </row>
    <row r="252" spans="1:32" ht="17.25">
      <c r="A252" s="866">
        <v>6.7</v>
      </c>
      <c r="B252" s="80" t="s">
        <v>257</v>
      </c>
      <c r="C252" s="541">
        <v>12.91</v>
      </c>
      <c r="D252" s="522">
        <v>12.21</v>
      </c>
      <c r="E252" s="542">
        <v>10.58</v>
      </c>
      <c r="F252" s="543">
        <v>6.06</v>
      </c>
      <c r="G252" s="536">
        <v>4.6900000000000004</v>
      </c>
      <c r="H252" s="224" t="s">
        <v>20</v>
      </c>
      <c r="I252" s="244" t="s">
        <v>20</v>
      </c>
      <c r="K252" s="863">
        <v>6.7</v>
      </c>
      <c r="L252" s="83" t="s">
        <v>257</v>
      </c>
      <c r="M252" s="122">
        <f t="shared" si="357"/>
        <v>456.63005415690355</v>
      </c>
      <c r="N252" s="122">
        <f t="shared" si="322"/>
        <v>603.51085167543238</v>
      </c>
      <c r="O252" s="123">
        <f t="shared" si="313"/>
        <v>835.78837417282011</v>
      </c>
      <c r="P252" s="123">
        <f t="shared" si="347"/>
        <v>1702.3786301220862</v>
      </c>
      <c r="Q252" s="122">
        <f>($Q$9*0.514444)/(G252*((PI()/180)))</f>
        <v>2513.8993599853411</v>
      </c>
      <c r="R252" s="85" t="s">
        <v>20</v>
      </c>
      <c r="S252" s="87" t="s">
        <v>20</v>
      </c>
      <c r="V252" s="863">
        <v>6.7</v>
      </c>
      <c r="W252" s="83" t="s">
        <v>257</v>
      </c>
      <c r="X252" s="122">
        <f t="shared" ref="X252:AB252" si="361">(C252/M252)*100*12.2354989838484</f>
        <v>34.592618344653637</v>
      </c>
      <c r="Y252" s="122">
        <f t="shared" si="361"/>
        <v>24.754392100497597</v>
      </c>
      <c r="Z252" s="122">
        <f t="shared" si="361"/>
        <v>15.488559454686639</v>
      </c>
      <c r="AA252" s="122">
        <f t="shared" si="361"/>
        <v>4.3555013279744843</v>
      </c>
      <c r="AB252" s="122">
        <f t="shared" si="361"/>
        <v>2.2826884459918722</v>
      </c>
      <c r="AC252" s="85" t="s">
        <v>20</v>
      </c>
      <c r="AD252" s="87" t="s">
        <v>20</v>
      </c>
      <c r="AE252" s="51"/>
      <c r="AF252" s="51"/>
    </row>
    <row r="253" spans="1:32" ht="17.25">
      <c r="A253" s="864"/>
      <c r="B253" s="52" t="s">
        <v>258</v>
      </c>
      <c r="C253" s="510">
        <v>21.95</v>
      </c>
      <c r="D253" s="164">
        <v>20.27</v>
      </c>
      <c r="E253" s="324">
        <v>11.71</v>
      </c>
      <c r="F253" s="4" t="s">
        <v>20</v>
      </c>
      <c r="G253" s="4" t="s">
        <v>20</v>
      </c>
      <c r="H253" s="4" t="s">
        <v>20</v>
      </c>
      <c r="I253" s="245" t="s">
        <v>20</v>
      </c>
      <c r="K253" s="864"/>
      <c r="L253" s="544" t="s">
        <v>258</v>
      </c>
      <c r="M253" s="21">
        <f t="shared" si="357"/>
        <v>268.56920269547265</v>
      </c>
      <c r="N253" s="21">
        <f>($M$9*0.514444)/(D253*((PI()/180)))</f>
        <v>290.82851500570422</v>
      </c>
      <c r="O253" s="44">
        <f t="shared" si="313"/>
        <v>755.1358666736495</v>
      </c>
      <c r="P253" s="2" t="s">
        <v>20</v>
      </c>
      <c r="Q253" s="2" t="s">
        <v>20</v>
      </c>
      <c r="R253" s="2" t="s">
        <v>20</v>
      </c>
      <c r="S253" s="50" t="s">
        <v>20</v>
      </c>
      <c r="V253" s="864"/>
      <c r="W253" s="544" t="s">
        <v>258</v>
      </c>
      <c r="X253" s="21">
        <f t="shared" ref="X253:Z253" si="362">(C253/M253)*100*12.2354989838484</f>
        <v>99.999999999999901</v>
      </c>
      <c r="Y253" s="21">
        <f t="shared" si="362"/>
        <v>85.278283113931451</v>
      </c>
      <c r="Z253" s="21">
        <f t="shared" si="362"/>
        <v>18.973763454250776</v>
      </c>
      <c r="AA253" s="2" t="s">
        <v>20</v>
      </c>
      <c r="AB253" s="2" t="s">
        <v>20</v>
      </c>
      <c r="AC253" s="2" t="s">
        <v>20</v>
      </c>
      <c r="AD253" s="50" t="s">
        <v>20</v>
      </c>
      <c r="AE253" s="51"/>
      <c r="AF253" s="51"/>
    </row>
    <row r="254" spans="1:32" ht="17.25">
      <c r="A254" s="864"/>
      <c r="B254" s="52" t="s">
        <v>259</v>
      </c>
      <c r="C254" s="545">
        <v>20.84</v>
      </c>
      <c r="D254" s="445">
        <v>18.5</v>
      </c>
      <c r="E254" s="67">
        <v>15.45</v>
      </c>
      <c r="F254" s="293">
        <v>11.66</v>
      </c>
      <c r="G254" s="4" t="s">
        <v>20</v>
      </c>
      <c r="H254" s="4" t="s">
        <v>20</v>
      </c>
      <c r="I254" s="245" t="s">
        <v>20</v>
      </c>
      <c r="K254" s="864"/>
      <c r="L254" s="61" t="s">
        <v>259</v>
      </c>
      <c r="M254" s="21">
        <f t="shared" si="357"/>
        <v>282.87399228241958</v>
      </c>
      <c r="N254" s="21">
        <f t="shared" ref="N254:N256" si="363">($N$9*0.514444)/(D254*((PI()/180)))</f>
        <v>398.31716210578537</v>
      </c>
      <c r="O254" s="44">
        <f t="shared" si="313"/>
        <v>572.33922321996363</v>
      </c>
      <c r="P254" s="44">
        <f t="shared" ref="P254:P256" si="364">($P$9*0.514444)/(F254*((PI()/180)))</f>
        <v>884.76968255058682</v>
      </c>
      <c r="Q254" s="2" t="s">
        <v>20</v>
      </c>
      <c r="R254" s="2" t="s">
        <v>20</v>
      </c>
      <c r="S254" s="50" t="s">
        <v>20</v>
      </c>
      <c r="V254" s="864"/>
      <c r="W254" s="61" t="s">
        <v>259</v>
      </c>
      <c r="X254" s="21">
        <f t="shared" ref="X254:AA254" si="365">(C254/M254)*100*12.2354989838484</f>
        <v>90.14183197471985</v>
      </c>
      <c r="Y254" s="21">
        <f t="shared" si="365"/>
        <v>56.82826469352063</v>
      </c>
      <c r="Z254" s="21">
        <f t="shared" si="365"/>
        <v>33.029093871451437</v>
      </c>
      <c r="AA254" s="21">
        <f t="shared" si="365"/>
        <v>16.124639097081111</v>
      </c>
      <c r="AB254" s="2" t="s">
        <v>20</v>
      </c>
      <c r="AC254" s="2" t="s">
        <v>20</v>
      </c>
      <c r="AD254" s="50" t="s">
        <v>20</v>
      </c>
      <c r="AE254" s="51"/>
      <c r="AF254" s="51"/>
    </row>
    <row r="255" spans="1:32" ht="17.25">
      <c r="A255" s="864"/>
      <c r="B255" s="52" t="s">
        <v>260</v>
      </c>
      <c r="C255" s="4" t="s">
        <v>15</v>
      </c>
      <c r="D255" s="174">
        <v>17.61</v>
      </c>
      <c r="E255" s="55">
        <v>16.55</v>
      </c>
      <c r="F255" s="365">
        <v>13.58</v>
      </c>
      <c r="G255" s="433">
        <v>11.06</v>
      </c>
      <c r="H255" s="4" t="s">
        <v>20</v>
      </c>
      <c r="I255" s="245" t="s">
        <v>20</v>
      </c>
      <c r="K255" s="864"/>
      <c r="L255" s="61" t="s">
        <v>260</v>
      </c>
      <c r="M255" s="48" t="s">
        <v>20</v>
      </c>
      <c r="N255" s="21">
        <f t="shared" si="363"/>
        <v>418.44789886184162</v>
      </c>
      <c r="O255" s="44">
        <f t="shared" si="313"/>
        <v>534.29854977331945</v>
      </c>
      <c r="P255" s="44">
        <f t="shared" si="364"/>
        <v>759.67706174814748</v>
      </c>
      <c r="Q255" s="21">
        <f>($Q$9*0.514444)/(G255*((PI()/180)))</f>
        <v>1066.020614677328</v>
      </c>
      <c r="R255" s="2" t="s">
        <v>20</v>
      </c>
      <c r="S255" s="50" t="s">
        <v>20</v>
      </c>
      <c r="V255" s="864"/>
      <c r="W255" s="61" t="s">
        <v>260</v>
      </c>
      <c r="X255" s="2" t="s">
        <v>20</v>
      </c>
      <c r="Y255" s="21">
        <f t="shared" ref="Y255:AB255" si="366">(D255/N255)*100*12.2354989838484</f>
        <v>51.491986861836487</v>
      </c>
      <c r="Z255" s="21">
        <f t="shared" si="366"/>
        <v>37.899692647229209</v>
      </c>
      <c r="AA255" s="21">
        <f t="shared" si="366"/>
        <v>21.872198670617088</v>
      </c>
      <c r="AB255" s="21">
        <f t="shared" si="366"/>
        <v>12.694371656435978</v>
      </c>
      <c r="AC255" s="2" t="s">
        <v>20</v>
      </c>
      <c r="AD255" s="50" t="s">
        <v>20</v>
      </c>
      <c r="AE255" s="51"/>
      <c r="AF255" s="51"/>
    </row>
    <row r="256" spans="1:32" ht="17.25">
      <c r="A256" s="865"/>
      <c r="B256" s="70" t="s">
        <v>261</v>
      </c>
      <c r="C256" s="546">
        <v>17.48</v>
      </c>
      <c r="D256" s="263">
        <v>14.93</v>
      </c>
      <c r="E256" s="547">
        <v>14.33</v>
      </c>
      <c r="F256" s="448">
        <v>11.66</v>
      </c>
      <c r="G256" s="237" t="s">
        <v>20</v>
      </c>
      <c r="H256" s="237" t="s">
        <v>20</v>
      </c>
      <c r="I256" s="534" t="s">
        <v>20</v>
      </c>
      <c r="K256" s="865"/>
      <c r="L256" s="77" t="s">
        <v>261</v>
      </c>
      <c r="M256" s="32">
        <f>($M$9*0.514444)/(C256*((PI()/180)))</f>
        <v>337.24794045569934</v>
      </c>
      <c r="N256" s="32">
        <f t="shared" si="363"/>
        <v>493.56111848339117</v>
      </c>
      <c r="O256" s="78">
        <f t="shared" si="313"/>
        <v>617.0719468770717</v>
      </c>
      <c r="P256" s="78">
        <f t="shared" si="364"/>
        <v>884.76968255058682</v>
      </c>
      <c r="Q256" s="115" t="s">
        <v>20</v>
      </c>
      <c r="R256" s="115" t="s">
        <v>20</v>
      </c>
      <c r="S256" s="370" t="s">
        <v>20</v>
      </c>
      <c r="V256" s="865"/>
      <c r="W256" s="77" t="s">
        <v>261</v>
      </c>
      <c r="X256" s="32">
        <f t="shared" ref="X256:AA256" si="367">(C256/M256)*100*12.2354989838484</f>
        <v>63.418184837147948</v>
      </c>
      <c r="Y256" s="32">
        <f t="shared" si="367"/>
        <v>37.011829535961276</v>
      </c>
      <c r="Z256" s="32">
        <f t="shared" si="367"/>
        <v>28.413980140548567</v>
      </c>
      <c r="AA256" s="32">
        <f t="shared" si="367"/>
        <v>16.124639097081111</v>
      </c>
      <c r="AB256" s="115" t="s">
        <v>20</v>
      </c>
      <c r="AC256" s="115" t="s">
        <v>20</v>
      </c>
      <c r="AD256" s="370" t="s">
        <v>20</v>
      </c>
      <c r="AE256" s="51"/>
      <c r="AF256" s="51"/>
    </row>
  </sheetData>
  <mergeCells count="78">
    <mergeCell ref="A40:A47"/>
    <mergeCell ref="A48:A52"/>
    <mergeCell ref="A53:A65"/>
    <mergeCell ref="A66:A78"/>
    <mergeCell ref="A79:A86"/>
    <mergeCell ref="A188:A200"/>
    <mergeCell ref="A201:A218"/>
    <mergeCell ref="A219:A231"/>
    <mergeCell ref="A232:A241"/>
    <mergeCell ref="A242:A251"/>
    <mergeCell ref="A252:A256"/>
    <mergeCell ref="A87:A103"/>
    <mergeCell ref="A104:A112"/>
    <mergeCell ref="A113:A120"/>
    <mergeCell ref="A121:A141"/>
    <mergeCell ref="A142:A157"/>
    <mergeCell ref="A158:A175"/>
    <mergeCell ref="A176:A187"/>
    <mergeCell ref="V1:AD7"/>
    <mergeCell ref="V8:AD8"/>
    <mergeCell ref="A1:P1"/>
    <mergeCell ref="A2:B2"/>
    <mergeCell ref="K3:S7"/>
    <mergeCell ref="A5:G5"/>
    <mergeCell ref="A6:I7"/>
    <mergeCell ref="A8:I8"/>
    <mergeCell ref="K8:S8"/>
    <mergeCell ref="A10:A12"/>
    <mergeCell ref="K10:K12"/>
    <mergeCell ref="V10:V12"/>
    <mergeCell ref="A13:A19"/>
    <mergeCell ref="K13:K19"/>
    <mergeCell ref="V13:V19"/>
    <mergeCell ref="A20:A25"/>
    <mergeCell ref="V26:V33"/>
    <mergeCell ref="K20:K25"/>
    <mergeCell ref="K26:K33"/>
    <mergeCell ref="K34:K39"/>
    <mergeCell ref="V20:V25"/>
    <mergeCell ref="V34:V39"/>
    <mergeCell ref="A26:A33"/>
    <mergeCell ref="A34:A39"/>
    <mergeCell ref="K40:K47"/>
    <mergeCell ref="K48:K52"/>
    <mergeCell ref="K53:K65"/>
    <mergeCell ref="K66:K78"/>
    <mergeCell ref="K176:K187"/>
    <mergeCell ref="K142:K157"/>
    <mergeCell ref="K158:K175"/>
    <mergeCell ref="K188:K200"/>
    <mergeCell ref="K201:K218"/>
    <mergeCell ref="K219:K231"/>
    <mergeCell ref="K79:K86"/>
    <mergeCell ref="K87:K103"/>
    <mergeCell ref="K104:K112"/>
    <mergeCell ref="K113:K120"/>
    <mergeCell ref="K121:K141"/>
    <mergeCell ref="V219:V231"/>
    <mergeCell ref="V232:V241"/>
    <mergeCell ref="V242:V251"/>
    <mergeCell ref="V252:V256"/>
    <mergeCell ref="K252:K256"/>
    <mergeCell ref="K232:K241"/>
    <mergeCell ref="K242:K251"/>
    <mergeCell ref="V40:V47"/>
    <mergeCell ref="V48:V52"/>
    <mergeCell ref="V53:V65"/>
    <mergeCell ref="V66:V78"/>
    <mergeCell ref="V201:V218"/>
    <mergeCell ref="V176:V187"/>
    <mergeCell ref="V188:V200"/>
    <mergeCell ref="V79:V86"/>
    <mergeCell ref="V87:V103"/>
    <mergeCell ref="V104:V112"/>
    <mergeCell ref="V113:V120"/>
    <mergeCell ref="V121:V141"/>
    <mergeCell ref="V142:V157"/>
    <mergeCell ref="V158:V175"/>
  </mergeCells>
  <conditionalFormatting sqref="A10:A256 K10:K256 V10:V256">
    <cfRule type="colorScale" priority="1">
      <colorScale>
        <cfvo type="min"/>
        <cfvo type="percentile" val="50"/>
        <cfvo type="max"/>
        <color rgb="FF57BB8A"/>
        <color rgb="FFFFD666"/>
        <color rgb="FFE67C73"/>
      </colorScale>
    </cfRule>
  </conditionalFormatting>
  <conditionalFormatting sqref="C10:I256">
    <cfRule type="colorScale" priority="3">
      <colorScale>
        <cfvo type="percentile" val="0"/>
        <cfvo type="percentile" val="50"/>
        <cfvo type="percentile" val="100"/>
        <color rgb="FFE67C73"/>
        <color rgb="FFF4D868"/>
        <color rgb="FF57BB8A"/>
      </colorScale>
    </cfRule>
  </conditionalFormatting>
  <conditionalFormatting sqref="M10:S256 X14:AD15 X17:AD17 X20:AD20 AD24 X25:AA25 AC25 AD36 X45:X46 X48 AD50 X52:X54 Y53:AD54 X57:AC57 AD57:AD59 X61:Z62 AA62:AD62 X65:Z65 X70:Z74 AA70:AD71 AB87:AD89 X88:X91 Y88:Z90 AA88:AA89 X93:Z93 X98:X103 Y98:Z100 Y103:Z103 X105:Z105 AC107:AD108 X108:Z110 AA108:AB108 AA110:AD110 X112:AD112 X116:Z119 AA117:AD119 X123:X129 Y123:Z127 Y129:AD129 X131 X133:Z137 X139:Z142 X145:Z145 X147:X158 Y147:Z148 Y150:Z158 AA152:AD154 AA156:AD156 X161:Z163 AA162:AD162 X165:AD165 X167:X171 Y168:Z169 Y171:AD171 X174:Z178 X180:Z180 X182:X191 Y182:Z183 Y185:Z190 X193:X197 Y193:Z195 AA194:AD194 Y197:Z197 X200:Z201 AD202:AD203 X204:X212 Y205:AB205 AC205:AD208 Y208:Z211 AA208:AB208 AA211:AC211 AD211:AD212 X214:X215 AD214 Y215:Z215 X217:X223 Y217:Z219 AA217:AD217 AD219:AD220 AC220 Y221:Z221 AD222:AD230 X225 AC226:AC227 X229:X230 AD232:AD256 AC234 AC236:AC237 AC240:AC241 AA241:AB241 AC243:AC247 AB246 X247:X248 AB249 AC249:AC256 AB251 AA253 AB253:AB254 X255 AB256">
    <cfRule type="colorScale" priority="2">
      <colorScale>
        <cfvo type="formula" val="275.6004675"/>
        <cfvo type="percentile" val="50"/>
        <cfvo type="formula" val="1500"/>
        <color rgb="FF57BB8A"/>
        <color rgb="FFFFD666"/>
        <color rgb="FFE67C73"/>
      </colorScale>
    </cfRule>
  </conditionalFormatting>
  <conditionalFormatting sqref="X10:AD256">
    <cfRule type="colorScale" priority="4">
      <colorScale>
        <cfvo type="percentile" val="0"/>
        <cfvo type="percentile" val="50"/>
        <cfvo type="percentile" val="100"/>
        <color rgb="FFFF6D4C"/>
        <color rgb="FFDAD06E"/>
        <color rgb="FF57BB8A"/>
      </colorScale>
    </cfRule>
  </conditionalFormatting>
  <hyperlinks>
    <hyperlink ref="A1" r:id="rId1" location="gid=785557311" xr:uid="{00000000-0004-0000-0000-000000000000}"/>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84"/>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cols>
    <col min="1" max="1" width="25.140625" customWidth="1"/>
    <col min="16" max="16" width="14.28515625" customWidth="1"/>
    <col min="29" max="29" width="14.28515625" customWidth="1"/>
  </cols>
  <sheetData>
    <row r="1" spans="1:33" ht="12.75">
      <c r="A1" s="60" t="s">
        <v>262</v>
      </c>
      <c r="B1" s="895" t="s">
        <v>263</v>
      </c>
      <c r="C1" s="868"/>
      <c r="D1" s="868"/>
      <c r="E1" s="868"/>
    </row>
    <row r="2" spans="1:33" ht="65.25" customHeight="1">
      <c r="A2" s="548" t="s">
        <v>264</v>
      </c>
      <c r="B2" s="549" t="s">
        <v>265</v>
      </c>
      <c r="C2" s="549" t="s">
        <v>266</v>
      </c>
      <c r="D2" s="549" t="s">
        <v>267</v>
      </c>
      <c r="E2" s="549" t="s">
        <v>268</v>
      </c>
      <c r="F2" s="549" t="str">
        <f>"Avg.acc boost phase: (m/s"&amp;CHAR(178)&amp;")"</f>
        <v>Avg.acc boost phase: (m/s²)</v>
      </c>
      <c r="G2" s="549" t="s">
        <v>269</v>
      </c>
      <c r="H2" s="549" t="s">
        <v>270</v>
      </c>
      <c r="I2" s="549" t="s">
        <v>271</v>
      </c>
      <c r="J2" s="549" t="s">
        <v>272</v>
      </c>
      <c r="K2" s="549" t="str">
        <f>"Avg.acc sustainer phase: (m/s"&amp;CHAR(178)&amp;")"</f>
        <v>Avg.acc sustainer phase: (m/s²)</v>
      </c>
      <c r="L2" s="549" t="s">
        <v>273</v>
      </c>
      <c r="M2" s="549" t="s">
        <v>274</v>
      </c>
      <c r="N2" s="549" t="s">
        <v>275</v>
      </c>
      <c r="O2" s="549" t="s">
        <v>276</v>
      </c>
      <c r="P2" s="549" t="s">
        <v>277</v>
      </c>
      <c r="Q2" s="549" t="s">
        <v>278</v>
      </c>
      <c r="R2" s="549" t="s">
        <v>279</v>
      </c>
      <c r="S2" s="549" t="s">
        <v>280</v>
      </c>
      <c r="T2" s="549" t="s">
        <v>281</v>
      </c>
      <c r="U2" s="549" t="s">
        <v>282</v>
      </c>
      <c r="V2" s="549" t="s">
        <v>283</v>
      </c>
      <c r="W2" s="549" t="s">
        <v>284</v>
      </c>
      <c r="X2" s="549" t="s">
        <v>285</v>
      </c>
      <c r="Y2" s="549" t="s">
        <v>286</v>
      </c>
      <c r="Z2" s="549" t="s">
        <v>287</v>
      </c>
      <c r="AA2" s="549" t="s">
        <v>288</v>
      </c>
      <c r="AB2" s="549" t="s">
        <v>289</v>
      </c>
      <c r="AC2" s="549" t="s">
        <v>290</v>
      </c>
      <c r="AD2" s="550" t="s">
        <v>291</v>
      </c>
      <c r="AE2" s="551"/>
      <c r="AF2" s="551"/>
      <c r="AG2" s="551"/>
    </row>
    <row r="3" spans="1:33" ht="12.75">
      <c r="A3" s="552" t="s">
        <v>292</v>
      </c>
      <c r="B3" s="553">
        <v>172</v>
      </c>
      <c r="C3" s="553">
        <v>144</v>
      </c>
      <c r="D3" s="553">
        <v>32200</v>
      </c>
      <c r="E3" s="553">
        <v>2.04</v>
      </c>
      <c r="F3" s="554">
        <f t="shared" ref="F3:F25" si="0">((D3/B3)+(D3/C3))/2</f>
        <v>205.41020671834627</v>
      </c>
      <c r="G3" s="554">
        <f t="shared" ref="G3:G25" si="1">F3*E3</f>
        <v>419.03682170542641</v>
      </c>
      <c r="H3" s="553" t="s">
        <v>293</v>
      </c>
      <c r="I3" s="553" t="s">
        <v>293</v>
      </c>
      <c r="J3" s="553" t="s">
        <v>293</v>
      </c>
      <c r="K3" s="553" t="s">
        <v>293</v>
      </c>
      <c r="L3" s="553">
        <v>0</v>
      </c>
      <c r="M3" s="555">
        <f t="shared" ref="M3:M25" si="2">G3+L3</f>
        <v>419.03682170542641</v>
      </c>
      <c r="N3" s="553">
        <v>1500</v>
      </c>
      <c r="O3" s="553">
        <v>3</v>
      </c>
      <c r="P3" s="553" t="s">
        <v>294</v>
      </c>
      <c r="Q3" s="553">
        <v>2</v>
      </c>
      <c r="R3" s="556" t="s">
        <v>293</v>
      </c>
      <c r="S3" s="553">
        <v>12</v>
      </c>
      <c r="T3" s="553">
        <v>15</v>
      </c>
      <c r="U3" s="553">
        <v>2.5</v>
      </c>
      <c r="V3" s="553">
        <v>4.5</v>
      </c>
      <c r="W3" s="553">
        <v>25</v>
      </c>
      <c r="X3" s="896" t="s">
        <v>295</v>
      </c>
      <c r="Y3" s="892"/>
      <c r="Z3" s="892"/>
      <c r="AA3" s="892"/>
      <c r="AB3" s="892"/>
      <c r="AC3" s="892"/>
      <c r="AD3" s="893"/>
    </row>
    <row r="4" spans="1:33" ht="12.75">
      <c r="A4" s="557" t="s">
        <v>296</v>
      </c>
      <c r="B4" s="554">
        <v>182.34</v>
      </c>
      <c r="C4" s="554">
        <v>144</v>
      </c>
      <c r="D4" s="554">
        <v>41000</v>
      </c>
      <c r="E4" s="554">
        <v>2.1</v>
      </c>
      <c r="F4" s="554">
        <f t="shared" si="0"/>
        <v>254.78844466381486</v>
      </c>
      <c r="G4" s="554">
        <f t="shared" si="1"/>
        <v>535.05573379401119</v>
      </c>
      <c r="H4" s="554" t="s">
        <v>293</v>
      </c>
      <c r="I4" s="554" t="s">
        <v>293</v>
      </c>
      <c r="J4" s="554" t="s">
        <v>293</v>
      </c>
      <c r="K4" s="554" t="s">
        <v>293</v>
      </c>
      <c r="L4" s="554">
        <v>0</v>
      </c>
      <c r="M4" s="16">
        <f t="shared" si="2"/>
        <v>535.05573379401119</v>
      </c>
      <c r="N4" s="554">
        <v>1500</v>
      </c>
      <c r="O4" s="554">
        <v>8</v>
      </c>
      <c r="P4" s="554" t="s">
        <v>294</v>
      </c>
      <c r="Q4" s="554">
        <v>1.8</v>
      </c>
      <c r="R4" s="554" t="s">
        <v>293</v>
      </c>
      <c r="S4" s="554">
        <v>15</v>
      </c>
      <c r="T4" s="554">
        <v>15</v>
      </c>
      <c r="U4" s="554">
        <v>2.5</v>
      </c>
      <c r="V4" s="554">
        <v>4.5</v>
      </c>
      <c r="W4" s="554">
        <v>45</v>
      </c>
      <c r="X4" s="868"/>
      <c r="Y4" s="868"/>
      <c r="Z4" s="868"/>
      <c r="AA4" s="868"/>
      <c r="AB4" s="868"/>
      <c r="AC4" s="868"/>
      <c r="AD4" s="894"/>
    </row>
    <row r="5" spans="1:33" ht="12.75">
      <c r="A5" s="557" t="s">
        <v>297</v>
      </c>
      <c r="B5" s="558">
        <v>205</v>
      </c>
      <c r="C5" s="558">
        <v>146</v>
      </c>
      <c r="D5" s="558">
        <v>35000</v>
      </c>
      <c r="E5" s="558">
        <v>2.8</v>
      </c>
      <c r="F5" s="554">
        <f t="shared" si="0"/>
        <v>205.22886735716673</v>
      </c>
      <c r="G5" s="554">
        <f t="shared" si="1"/>
        <v>574.64082860006681</v>
      </c>
      <c r="H5" s="558" t="s">
        <v>293</v>
      </c>
      <c r="I5" s="558" t="s">
        <v>293</v>
      </c>
      <c r="J5" s="558" t="s">
        <v>293</v>
      </c>
      <c r="K5" s="558" t="s">
        <v>293</v>
      </c>
      <c r="L5" s="558">
        <v>0</v>
      </c>
      <c r="M5" s="16">
        <f t="shared" si="2"/>
        <v>574.64082860006681</v>
      </c>
      <c r="N5" s="558">
        <v>1500</v>
      </c>
      <c r="O5" s="558">
        <v>8</v>
      </c>
      <c r="P5" s="558" t="s">
        <v>294</v>
      </c>
      <c r="Q5" s="558">
        <v>1.8</v>
      </c>
      <c r="R5" s="554" t="s">
        <v>293</v>
      </c>
      <c r="S5" s="558">
        <v>25</v>
      </c>
      <c r="T5" s="558">
        <v>25</v>
      </c>
      <c r="U5" s="558">
        <v>2.5</v>
      </c>
      <c r="V5" s="558">
        <v>4.5</v>
      </c>
      <c r="W5" s="558">
        <v>45</v>
      </c>
      <c r="X5" s="868"/>
      <c r="Y5" s="868"/>
      <c r="Z5" s="868"/>
      <c r="AA5" s="868"/>
      <c r="AB5" s="868"/>
      <c r="AC5" s="868"/>
      <c r="AD5" s="894"/>
    </row>
    <row r="6" spans="1:33" ht="12.75">
      <c r="A6" s="557" t="s">
        <v>298</v>
      </c>
      <c r="B6" s="558">
        <v>193.7</v>
      </c>
      <c r="C6" s="558">
        <v>146</v>
      </c>
      <c r="D6" s="558">
        <v>35000</v>
      </c>
      <c r="E6" s="558">
        <v>2.8</v>
      </c>
      <c r="F6" s="554">
        <f t="shared" si="0"/>
        <v>210.20890941365337</v>
      </c>
      <c r="G6" s="554">
        <f t="shared" si="1"/>
        <v>588.58494635822944</v>
      </c>
      <c r="H6" s="558" t="s">
        <v>293</v>
      </c>
      <c r="I6" s="558" t="s">
        <v>293</v>
      </c>
      <c r="J6" s="558" t="s">
        <v>293</v>
      </c>
      <c r="K6" s="558" t="s">
        <v>293</v>
      </c>
      <c r="L6" s="558">
        <v>0</v>
      </c>
      <c r="M6" s="16">
        <f t="shared" si="2"/>
        <v>588.58494635822944</v>
      </c>
      <c r="N6" s="558">
        <v>1500</v>
      </c>
      <c r="O6" s="558">
        <v>8</v>
      </c>
      <c r="P6" s="558" t="s">
        <v>294</v>
      </c>
      <c r="Q6" s="558">
        <v>0.7</v>
      </c>
      <c r="R6" s="554" t="s">
        <v>293</v>
      </c>
      <c r="S6" s="558">
        <v>25</v>
      </c>
      <c r="T6" s="558">
        <v>25</v>
      </c>
      <c r="U6" s="554" t="s">
        <v>293</v>
      </c>
      <c r="V6" s="554" t="s">
        <v>293</v>
      </c>
      <c r="W6" s="558">
        <v>45</v>
      </c>
      <c r="X6" s="868"/>
      <c r="Y6" s="868"/>
      <c r="Z6" s="868"/>
      <c r="AA6" s="868"/>
      <c r="AB6" s="868"/>
      <c r="AC6" s="868"/>
      <c r="AD6" s="894"/>
    </row>
    <row r="7" spans="1:33" ht="12.75">
      <c r="A7" s="557" t="s">
        <v>299</v>
      </c>
      <c r="B7" s="558">
        <v>231.33</v>
      </c>
      <c r="C7" s="558">
        <v>193.68</v>
      </c>
      <c r="D7" s="558">
        <v>26940</v>
      </c>
      <c r="E7" s="558">
        <v>4.5</v>
      </c>
      <c r="F7" s="554">
        <f t="shared" si="0"/>
        <v>127.77621229235757</v>
      </c>
      <c r="G7" s="554">
        <f t="shared" si="1"/>
        <v>574.99295531560904</v>
      </c>
      <c r="H7" s="558">
        <v>170.1</v>
      </c>
      <c r="I7" s="554">
        <v>6340</v>
      </c>
      <c r="J7" s="554">
        <v>11</v>
      </c>
      <c r="K7" s="558">
        <f t="shared" ref="K7:K8" si="3">((I7/C7)+(I7/H7))/2</f>
        <v>35.003300048735824</v>
      </c>
      <c r="L7" s="558">
        <f t="shared" ref="L7:L8" si="4">K7*J7</f>
        <v>385.03630053609407</v>
      </c>
      <c r="M7" s="16">
        <f t="shared" si="2"/>
        <v>960.02925585170306</v>
      </c>
      <c r="N7" s="558">
        <v>1500</v>
      </c>
      <c r="O7" s="558">
        <v>8</v>
      </c>
      <c r="P7" s="558" t="s">
        <v>294</v>
      </c>
      <c r="Q7" s="558" t="s">
        <v>293</v>
      </c>
      <c r="R7" s="554" t="s">
        <v>293</v>
      </c>
      <c r="S7" s="558">
        <v>40</v>
      </c>
      <c r="T7" s="558">
        <v>25</v>
      </c>
      <c r="U7" s="558" t="s">
        <v>293</v>
      </c>
      <c r="V7" s="558">
        <v>1</v>
      </c>
      <c r="W7" s="558">
        <v>55</v>
      </c>
      <c r="X7" s="868"/>
      <c r="Y7" s="868"/>
      <c r="Z7" s="868"/>
      <c r="AA7" s="868"/>
      <c r="AB7" s="868"/>
      <c r="AC7" s="868"/>
      <c r="AD7" s="894"/>
    </row>
    <row r="8" spans="1:33" ht="12.75">
      <c r="A8" s="557" t="s">
        <v>300</v>
      </c>
      <c r="B8" s="559">
        <v>231.33</v>
      </c>
      <c r="C8" s="559">
        <v>193.68</v>
      </c>
      <c r="D8" s="559">
        <v>26940</v>
      </c>
      <c r="E8" s="559">
        <v>4.5</v>
      </c>
      <c r="F8" s="554">
        <f t="shared" si="0"/>
        <v>127.77621229235757</v>
      </c>
      <c r="G8" s="554">
        <f t="shared" si="1"/>
        <v>574.99295531560904</v>
      </c>
      <c r="H8" s="559">
        <v>170.1</v>
      </c>
      <c r="I8" s="559">
        <v>6340</v>
      </c>
      <c r="J8" s="559">
        <v>11</v>
      </c>
      <c r="K8" s="558">
        <f t="shared" si="3"/>
        <v>35.003300048735824</v>
      </c>
      <c r="L8" s="558">
        <f t="shared" si="4"/>
        <v>385.03630053609407</v>
      </c>
      <c r="M8" s="16">
        <f t="shared" si="2"/>
        <v>960.02925585170306</v>
      </c>
      <c r="N8" s="559">
        <v>1500</v>
      </c>
      <c r="O8" s="559">
        <v>8</v>
      </c>
      <c r="P8" s="559" t="s">
        <v>294</v>
      </c>
      <c r="Q8" s="559" t="s">
        <v>293</v>
      </c>
      <c r="R8" s="554" t="s">
        <v>293</v>
      </c>
      <c r="S8" s="559">
        <v>40</v>
      </c>
      <c r="T8" s="559">
        <v>25</v>
      </c>
      <c r="U8" s="559" t="s">
        <v>293</v>
      </c>
      <c r="V8" s="559">
        <v>1</v>
      </c>
      <c r="W8" s="559">
        <v>60</v>
      </c>
      <c r="X8" s="868"/>
      <c r="Y8" s="868"/>
      <c r="Z8" s="868"/>
      <c r="AA8" s="868"/>
      <c r="AB8" s="868"/>
      <c r="AC8" s="868"/>
      <c r="AD8" s="894"/>
    </row>
    <row r="9" spans="1:33" ht="12.75">
      <c r="A9" s="557" t="s">
        <v>301</v>
      </c>
      <c r="B9" s="554">
        <v>95.254400000000004</v>
      </c>
      <c r="C9" s="554">
        <v>67.857420000000005</v>
      </c>
      <c r="D9" s="554">
        <v>11000</v>
      </c>
      <c r="E9" s="554">
        <v>5</v>
      </c>
      <c r="F9" s="554">
        <f t="shared" si="0"/>
        <v>138.79241543661874</v>
      </c>
      <c r="G9" s="554">
        <f t="shared" si="1"/>
        <v>693.9620771830937</v>
      </c>
      <c r="H9" s="558" t="s">
        <v>293</v>
      </c>
      <c r="I9" s="554" t="s">
        <v>293</v>
      </c>
      <c r="J9" s="554" t="s">
        <v>293</v>
      </c>
      <c r="K9" s="558">
        <v>0</v>
      </c>
      <c r="L9" s="558">
        <v>0</v>
      </c>
      <c r="M9" s="16">
        <f t="shared" si="2"/>
        <v>693.9620771830937</v>
      </c>
      <c r="N9" s="554">
        <v>1000</v>
      </c>
      <c r="O9" s="554">
        <v>5</v>
      </c>
      <c r="P9" s="554" t="s">
        <v>294</v>
      </c>
      <c r="Q9" s="554">
        <v>0.5</v>
      </c>
      <c r="R9" s="554" t="s">
        <v>293</v>
      </c>
      <c r="S9" s="554">
        <v>9</v>
      </c>
      <c r="T9" s="554">
        <v>18</v>
      </c>
      <c r="U9" s="554" t="s">
        <v>293</v>
      </c>
      <c r="V9" s="554" t="s">
        <v>293</v>
      </c>
      <c r="W9" s="554">
        <v>30</v>
      </c>
      <c r="X9" s="868"/>
      <c r="Y9" s="868"/>
      <c r="Z9" s="868"/>
      <c r="AA9" s="868"/>
      <c r="AB9" s="868"/>
      <c r="AC9" s="868"/>
      <c r="AD9" s="894"/>
    </row>
    <row r="10" spans="1:33" ht="12.75">
      <c r="A10" s="557" t="s">
        <v>302</v>
      </c>
      <c r="B10" s="559">
        <v>625</v>
      </c>
      <c r="C10" s="559">
        <v>443</v>
      </c>
      <c r="D10" s="559">
        <v>83900</v>
      </c>
      <c r="E10" s="559">
        <v>5</v>
      </c>
      <c r="F10" s="554">
        <f t="shared" si="0"/>
        <v>161.81525959367946</v>
      </c>
      <c r="G10" s="554">
        <f t="shared" si="1"/>
        <v>809.07629796839728</v>
      </c>
      <c r="H10" s="559">
        <v>330</v>
      </c>
      <c r="I10" s="559">
        <v>12400</v>
      </c>
      <c r="J10" s="559">
        <v>21</v>
      </c>
      <c r="K10" s="558">
        <f>((I10/C10)+(I10/H10))/2</f>
        <v>32.783364115192555</v>
      </c>
      <c r="L10" s="558">
        <f>K10*J10</f>
        <v>688.45064641904366</v>
      </c>
      <c r="M10" s="16">
        <f t="shared" si="2"/>
        <v>1497.5269443874408</v>
      </c>
      <c r="N10" s="559">
        <v>1500</v>
      </c>
      <c r="O10" s="559">
        <v>20</v>
      </c>
      <c r="P10" s="559" t="s">
        <v>294</v>
      </c>
      <c r="Q10" s="559">
        <v>1.5</v>
      </c>
      <c r="R10" s="554" t="s">
        <v>293</v>
      </c>
      <c r="S10" s="559">
        <v>40</v>
      </c>
      <c r="T10" s="559">
        <v>20</v>
      </c>
      <c r="U10" s="559" t="s">
        <v>293</v>
      </c>
      <c r="V10" s="558" t="s">
        <v>293</v>
      </c>
      <c r="W10" s="559">
        <v>60</v>
      </c>
      <c r="X10" s="868"/>
      <c r="Y10" s="868"/>
      <c r="Z10" s="868"/>
      <c r="AA10" s="868"/>
      <c r="AB10" s="868"/>
      <c r="AC10" s="868"/>
      <c r="AD10" s="894"/>
    </row>
    <row r="11" spans="1:33" ht="12.75">
      <c r="A11" s="557" t="s">
        <v>303</v>
      </c>
      <c r="B11" s="554">
        <v>75.3</v>
      </c>
      <c r="C11" s="554">
        <v>54.8</v>
      </c>
      <c r="D11" s="554">
        <v>17318</v>
      </c>
      <c r="E11" s="554">
        <v>2.2000000000000002</v>
      </c>
      <c r="F11" s="554">
        <f t="shared" si="0"/>
        <v>273.00430879886778</v>
      </c>
      <c r="G11" s="554">
        <f t="shared" si="1"/>
        <v>600.60947935750914</v>
      </c>
      <c r="H11" s="554" t="s">
        <v>293</v>
      </c>
      <c r="I11" s="554" t="s">
        <v>293</v>
      </c>
      <c r="J11" s="554" t="s">
        <v>293</v>
      </c>
      <c r="K11" s="558">
        <v>0</v>
      </c>
      <c r="L11" s="558">
        <v>0</v>
      </c>
      <c r="M11" s="16">
        <f t="shared" si="2"/>
        <v>600.60947935750914</v>
      </c>
      <c r="N11" s="554">
        <v>1000</v>
      </c>
      <c r="O11" s="554">
        <v>5</v>
      </c>
      <c r="P11" s="554" t="s">
        <v>294</v>
      </c>
      <c r="Q11" s="554">
        <v>0.5</v>
      </c>
      <c r="R11" s="554" t="s">
        <v>293</v>
      </c>
      <c r="S11" s="554">
        <v>8</v>
      </c>
      <c r="T11" s="554">
        <v>11</v>
      </c>
      <c r="U11" s="554" t="s">
        <v>293</v>
      </c>
      <c r="V11" s="554" t="s">
        <v>293</v>
      </c>
      <c r="W11" s="554">
        <v>30</v>
      </c>
      <c r="X11" s="868"/>
      <c r="Y11" s="868"/>
      <c r="Z11" s="868"/>
      <c r="AA11" s="868"/>
      <c r="AB11" s="868"/>
      <c r="AC11" s="868"/>
      <c r="AD11" s="894"/>
    </row>
    <row r="12" spans="1:33" ht="12.75">
      <c r="A12" s="557" t="s">
        <v>304</v>
      </c>
      <c r="B12" s="558">
        <v>223</v>
      </c>
      <c r="C12" s="558">
        <v>190</v>
      </c>
      <c r="D12" s="558">
        <v>60000</v>
      </c>
      <c r="E12" s="558">
        <v>1.85</v>
      </c>
      <c r="F12" s="554">
        <f t="shared" si="0"/>
        <v>292.423884824168</v>
      </c>
      <c r="G12" s="554">
        <f t="shared" si="1"/>
        <v>540.9841869247108</v>
      </c>
      <c r="H12" s="558" t="s">
        <v>293</v>
      </c>
      <c r="I12" s="558" t="s">
        <v>293</v>
      </c>
      <c r="J12" s="558" t="s">
        <v>293</v>
      </c>
      <c r="K12" s="558">
        <v>0</v>
      </c>
      <c r="L12" s="558">
        <v>0</v>
      </c>
      <c r="M12" s="16">
        <f t="shared" si="2"/>
        <v>540.9841869247108</v>
      </c>
      <c r="N12" s="558">
        <v>1000</v>
      </c>
      <c r="O12" s="558">
        <v>10</v>
      </c>
      <c r="P12" s="558" t="s">
        <v>294</v>
      </c>
      <c r="Q12" s="558">
        <v>1.7</v>
      </c>
      <c r="R12" s="554" t="s">
        <v>293</v>
      </c>
      <c r="S12" s="558">
        <v>20</v>
      </c>
      <c r="T12" s="558">
        <v>20</v>
      </c>
      <c r="U12" s="560">
        <v>2.5</v>
      </c>
      <c r="V12" s="560">
        <v>5</v>
      </c>
      <c r="W12" s="558">
        <v>50</v>
      </c>
      <c r="X12" s="868"/>
      <c r="Y12" s="868"/>
      <c r="Z12" s="868"/>
      <c r="AA12" s="868"/>
      <c r="AB12" s="868"/>
      <c r="AC12" s="868"/>
      <c r="AD12" s="894"/>
    </row>
    <row r="13" spans="1:33" ht="12.75">
      <c r="A13" s="557" t="s">
        <v>305</v>
      </c>
      <c r="B13" s="558">
        <v>244</v>
      </c>
      <c r="C13" s="558">
        <v>169</v>
      </c>
      <c r="D13" s="558">
        <v>50000</v>
      </c>
      <c r="E13" s="558">
        <v>3</v>
      </c>
      <c r="F13" s="554">
        <f t="shared" si="0"/>
        <v>250.38801047628286</v>
      </c>
      <c r="G13" s="554">
        <f t="shared" si="1"/>
        <v>751.1640314288486</v>
      </c>
      <c r="H13" s="554" t="s">
        <v>293</v>
      </c>
      <c r="I13" s="558" t="s">
        <v>293</v>
      </c>
      <c r="J13" s="558" t="s">
        <v>293</v>
      </c>
      <c r="K13" s="558">
        <v>0</v>
      </c>
      <c r="L13" s="558">
        <v>0</v>
      </c>
      <c r="M13" s="16">
        <f t="shared" si="2"/>
        <v>751.1640314288486</v>
      </c>
      <c r="N13" s="558">
        <v>1500</v>
      </c>
      <c r="O13" s="558">
        <v>10</v>
      </c>
      <c r="P13" s="558" t="s">
        <v>306</v>
      </c>
      <c r="Q13" s="558">
        <v>0.5</v>
      </c>
      <c r="R13" s="554" t="s">
        <v>293</v>
      </c>
      <c r="S13" s="558">
        <v>25</v>
      </c>
      <c r="T13" s="558">
        <v>24</v>
      </c>
      <c r="U13" s="560" t="s">
        <v>293</v>
      </c>
      <c r="V13" s="560">
        <v>1</v>
      </c>
      <c r="W13" s="558">
        <v>50</v>
      </c>
      <c r="X13" s="868"/>
      <c r="Y13" s="868"/>
      <c r="Z13" s="868"/>
      <c r="AA13" s="868"/>
      <c r="AB13" s="868"/>
      <c r="AC13" s="868"/>
      <c r="AD13" s="894"/>
    </row>
    <row r="14" spans="1:33" ht="12.75">
      <c r="A14" s="557" t="s">
        <v>307</v>
      </c>
      <c r="B14" s="558">
        <v>253</v>
      </c>
      <c r="C14" s="558">
        <v>186</v>
      </c>
      <c r="D14" s="558">
        <v>25125</v>
      </c>
      <c r="E14" s="558">
        <v>6</v>
      </c>
      <c r="F14" s="554">
        <f t="shared" si="0"/>
        <v>117.19447277827362</v>
      </c>
      <c r="G14" s="554">
        <f t="shared" si="1"/>
        <v>703.16683666964173</v>
      </c>
      <c r="H14" s="554" t="s">
        <v>293</v>
      </c>
      <c r="I14" s="558" t="s">
        <v>293</v>
      </c>
      <c r="J14" s="558" t="s">
        <v>293</v>
      </c>
      <c r="K14" s="558">
        <v>0</v>
      </c>
      <c r="L14" s="558">
        <v>0</v>
      </c>
      <c r="M14" s="16">
        <f t="shared" si="2"/>
        <v>703.16683666964173</v>
      </c>
      <c r="N14" s="558">
        <v>1500</v>
      </c>
      <c r="O14" s="558">
        <v>8</v>
      </c>
      <c r="P14" s="558" t="s">
        <v>308</v>
      </c>
      <c r="Q14" s="558">
        <v>0.35</v>
      </c>
      <c r="R14" s="554" t="s">
        <v>293</v>
      </c>
      <c r="S14" s="558">
        <v>25</v>
      </c>
      <c r="T14" s="558">
        <v>35</v>
      </c>
      <c r="U14" s="560" t="s">
        <v>293</v>
      </c>
      <c r="V14" s="560">
        <v>0.4</v>
      </c>
      <c r="W14" s="558">
        <v>55</v>
      </c>
      <c r="X14" s="868"/>
      <c r="Y14" s="868"/>
      <c r="Z14" s="868"/>
      <c r="AA14" s="868"/>
      <c r="AB14" s="868"/>
      <c r="AC14" s="868"/>
      <c r="AD14" s="894"/>
    </row>
    <row r="15" spans="1:33" ht="12.75">
      <c r="A15" s="557" t="s">
        <v>309</v>
      </c>
      <c r="B15" s="558">
        <v>253</v>
      </c>
      <c r="C15" s="558">
        <v>186</v>
      </c>
      <c r="D15" s="558">
        <v>25125</v>
      </c>
      <c r="E15" s="558">
        <v>6</v>
      </c>
      <c r="F15" s="554">
        <f t="shared" si="0"/>
        <v>117.19447277827362</v>
      </c>
      <c r="G15" s="554">
        <f t="shared" si="1"/>
        <v>703.16683666964173</v>
      </c>
      <c r="H15" s="554" t="s">
        <v>293</v>
      </c>
      <c r="I15" s="558" t="s">
        <v>293</v>
      </c>
      <c r="J15" s="558" t="s">
        <v>293</v>
      </c>
      <c r="K15" s="558">
        <v>0</v>
      </c>
      <c r="L15" s="558">
        <v>0</v>
      </c>
      <c r="M15" s="16">
        <f t="shared" si="2"/>
        <v>703.16683666964173</v>
      </c>
      <c r="N15" s="558">
        <v>1500</v>
      </c>
      <c r="O15" s="558">
        <v>8</v>
      </c>
      <c r="P15" s="558" t="s">
        <v>308</v>
      </c>
      <c r="Q15" s="558">
        <v>0.35</v>
      </c>
      <c r="R15" s="554" t="s">
        <v>293</v>
      </c>
      <c r="S15" s="558">
        <v>25</v>
      </c>
      <c r="T15" s="558">
        <v>35</v>
      </c>
      <c r="U15" s="560" t="s">
        <v>293</v>
      </c>
      <c r="V15" s="560">
        <v>0.4</v>
      </c>
      <c r="W15" s="558">
        <v>55</v>
      </c>
      <c r="X15" s="868"/>
      <c r="Y15" s="868"/>
      <c r="Z15" s="868"/>
      <c r="AA15" s="868"/>
      <c r="AB15" s="868"/>
      <c r="AC15" s="868"/>
      <c r="AD15" s="894"/>
    </row>
    <row r="16" spans="1:33" ht="12.75">
      <c r="A16" s="557" t="s">
        <v>310</v>
      </c>
      <c r="B16" s="558">
        <v>350</v>
      </c>
      <c r="C16" s="558">
        <v>286</v>
      </c>
      <c r="D16" s="558">
        <v>55275</v>
      </c>
      <c r="E16" s="558">
        <v>3.2</v>
      </c>
      <c r="F16" s="554">
        <f t="shared" si="0"/>
        <v>175.59890109890108</v>
      </c>
      <c r="G16" s="554">
        <f t="shared" si="1"/>
        <v>561.91648351648348</v>
      </c>
      <c r="H16" s="554">
        <v>211.5</v>
      </c>
      <c r="I16" s="558">
        <v>26630</v>
      </c>
      <c r="J16" s="558">
        <v>4.8</v>
      </c>
      <c r="K16" s="558">
        <f>((I16/C16)+(I16/H16))/2</f>
        <v>109.51102679826084</v>
      </c>
      <c r="L16" s="558">
        <f>K16*J16</f>
        <v>525.652928631652</v>
      </c>
      <c r="M16" s="16">
        <f t="shared" si="2"/>
        <v>1087.5694121481356</v>
      </c>
      <c r="N16" s="558">
        <v>1750</v>
      </c>
      <c r="O16" s="558">
        <v>8</v>
      </c>
      <c r="P16" s="558" t="s">
        <v>308</v>
      </c>
      <c r="Q16" s="558">
        <v>0.35</v>
      </c>
      <c r="R16" s="554" t="s">
        <v>293</v>
      </c>
      <c r="S16" s="558">
        <v>25</v>
      </c>
      <c r="T16" s="558">
        <v>35</v>
      </c>
      <c r="U16" s="560" t="s">
        <v>293</v>
      </c>
      <c r="V16" s="560">
        <v>0.4</v>
      </c>
      <c r="W16" s="558">
        <v>55</v>
      </c>
      <c r="X16" s="868"/>
      <c r="Y16" s="868"/>
      <c r="Z16" s="868"/>
      <c r="AA16" s="868"/>
      <c r="AB16" s="868"/>
      <c r="AC16" s="868"/>
      <c r="AD16" s="894"/>
    </row>
    <row r="17" spans="1:30" ht="12.75">
      <c r="A17" s="557" t="s">
        <v>311</v>
      </c>
      <c r="B17" s="554">
        <v>193</v>
      </c>
      <c r="C17" s="554">
        <v>146</v>
      </c>
      <c r="D17" s="554">
        <v>35000</v>
      </c>
      <c r="E17" s="554">
        <v>2.8</v>
      </c>
      <c r="F17" s="554">
        <f t="shared" si="0"/>
        <v>210.53658882816381</v>
      </c>
      <c r="G17" s="554">
        <f t="shared" si="1"/>
        <v>589.50244871885866</v>
      </c>
      <c r="H17" s="558" t="s">
        <v>293</v>
      </c>
      <c r="I17" s="554" t="s">
        <v>293</v>
      </c>
      <c r="J17" s="554" t="s">
        <v>293</v>
      </c>
      <c r="K17" s="558">
        <v>0</v>
      </c>
      <c r="L17" s="558">
        <v>0</v>
      </c>
      <c r="M17" s="16">
        <f t="shared" si="2"/>
        <v>589.50244871885866</v>
      </c>
      <c r="N17" s="554">
        <v>1500</v>
      </c>
      <c r="O17" s="561">
        <v>15.25</v>
      </c>
      <c r="P17" s="554" t="s">
        <v>294</v>
      </c>
      <c r="Q17" s="554">
        <v>1.8</v>
      </c>
      <c r="R17" s="554" t="s">
        <v>293</v>
      </c>
      <c r="S17" s="554">
        <v>37</v>
      </c>
      <c r="T17" s="554">
        <v>25</v>
      </c>
      <c r="U17" s="562">
        <v>2.5</v>
      </c>
      <c r="V17" s="562">
        <v>4.5</v>
      </c>
      <c r="W17" s="554">
        <v>46</v>
      </c>
      <c r="X17" s="868"/>
      <c r="Y17" s="868"/>
      <c r="Z17" s="868"/>
      <c r="AA17" s="868"/>
      <c r="AB17" s="868"/>
      <c r="AC17" s="868"/>
      <c r="AD17" s="894"/>
    </row>
    <row r="18" spans="1:30" ht="12.75">
      <c r="A18" s="557" t="s">
        <v>312</v>
      </c>
      <c r="B18" s="558">
        <v>193</v>
      </c>
      <c r="C18" s="558">
        <v>146</v>
      </c>
      <c r="D18" s="558">
        <v>35000</v>
      </c>
      <c r="E18" s="558">
        <v>2.8</v>
      </c>
      <c r="F18" s="554">
        <f t="shared" si="0"/>
        <v>210.53658882816381</v>
      </c>
      <c r="G18" s="554">
        <f t="shared" si="1"/>
        <v>589.50244871885866</v>
      </c>
      <c r="H18" s="558" t="s">
        <v>293</v>
      </c>
      <c r="I18" s="558" t="s">
        <v>293</v>
      </c>
      <c r="J18" s="558" t="s">
        <v>293</v>
      </c>
      <c r="K18" s="558">
        <v>0</v>
      </c>
      <c r="L18" s="558">
        <v>0</v>
      </c>
      <c r="M18" s="16">
        <f t="shared" si="2"/>
        <v>589.50244871885866</v>
      </c>
      <c r="N18" s="558">
        <v>1500</v>
      </c>
      <c r="O18" s="561">
        <v>15.25</v>
      </c>
      <c r="P18" s="558" t="s">
        <v>294</v>
      </c>
      <c r="Q18" s="558">
        <v>0.7</v>
      </c>
      <c r="R18" s="554" t="s">
        <v>293</v>
      </c>
      <c r="S18" s="554">
        <v>37</v>
      </c>
      <c r="T18" s="558">
        <v>25</v>
      </c>
      <c r="U18" s="554" t="s">
        <v>293</v>
      </c>
      <c r="V18" s="554" t="s">
        <v>293</v>
      </c>
      <c r="W18" s="554">
        <v>46</v>
      </c>
      <c r="X18" s="868"/>
      <c r="Y18" s="868"/>
      <c r="Z18" s="868"/>
      <c r="AA18" s="868"/>
      <c r="AB18" s="868"/>
      <c r="AC18" s="868"/>
      <c r="AD18" s="894"/>
    </row>
    <row r="19" spans="1:30" ht="12.75">
      <c r="A19" s="557" t="s">
        <v>313</v>
      </c>
      <c r="B19" s="561">
        <v>208.2</v>
      </c>
      <c r="C19" s="561">
        <v>163</v>
      </c>
      <c r="D19" s="561">
        <v>33900</v>
      </c>
      <c r="E19" s="561">
        <v>3</v>
      </c>
      <c r="F19" s="554">
        <f t="shared" si="0"/>
        <v>185.3998338077474</v>
      </c>
      <c r="G19" s="554">
        <f t="shared" si="1"/>
        <v>556.19950142324217</v>
      </c>
      <c r="H19" s="561">
        <v>146</v>
      </c>
      <c r="I19" s="561">
        <v>9562</v>
      </c>
      <c r="J19" s="561">
        <v>4</v>
      </c>
      <c r="K19" s="558">
        <f>((I19/C19)+(I19/H19))/2</f>
        <v>62.077863686024031</v>
      </c>
      <c r="L19" s="558">
        <f>K19*J19</f>
        <v>248.31145474409612</v>
      </c>
      <c r="M19" s="16">
        <f t="shared" si="2"/>
        <v>804.51095616733824</v>
      </c>
      <c r="N19" s="561">
        <v>1500</v>
      </c>
      <c r="O19" s="561">
        <v>15.25</v>
      </c>
      <c r="P19" s="561" t="s">
        <v>294</v>
      </c>
      <c r="Q19" s="561">
        <v>0.7</v>
      </c>
      <c r="R19" s="554" t="s">
        <v>293</v>
      </c>
      <c r="S19" s="554">
        <v>37</v>
      </c>
      <c r="T19" s="561">
        <v>25</v>
      </c>
      <c r="U19" s="561" t="s">
        <v>293</v>
      </c>
      <c r="V19" s="561" t="s">
        <v>293</v>
      </c>
      <c r="W19" s="554">
        <v>46</v>
      </c>
      <c r="X19" s="868"/>
      <c r="Y19" s="868"/>
      <c r="Z19" s="868"/>
      <c r="AA19" s="868"/>
      <c r="AB19" s="868"/>
      <c r="AC19" s="868"/>
      <c r="AD19" s="894"/>
    </row>
    <row r="20" spans="1:30" ht="12.75">
      <c r="A20" s="557" t="s">
        <v>314</v>
      </c>
      <c r="B20" s="558">
        <v>230</v>
      </c>
      <c r="C20" s="558">
        <v>173</v>
      </c>
      <c r="D20" s="558">
        <v>37500</v>
      </c>
      <c r="E20" s="558">
        <v>3.5</v>
      </c>
      <c r="F20" s="554">
        <f t="shared" si="0"/>
        <v>189.90324202060819</v>
      </c>
      <c r="G20" s="554">
        <f t="shared" si="1"/>
        <v>664.66134707212871</v>
      </c>
      <c r="H20" s="558" t="s">
        <v>293</v>
      </c>
      <c r="I20" s="558" t="s">
        <v>293</v>
      </c>
      <c r="J20" s="558" t="s">
        <v>293</v>
      </c>
      <c r="K20" s="558">
        <v>0</v>
      </c>
      <c r="L20" s="558">
        <v>0</v>
      </c>
      <c r="M20" s="16">
        <f t="shared" si="2"/>
        <v>664.66134707212871</v>
      </c>
      <c r="N20" s="558">
        <v>1500</v>
      </c>
      <c r="O20" s="558">
        <v>8</v>
      </c>
      <c r="P20" s="558" t="s">
        <v>294</v>
      </c>
      <c r="Q20" s="558">
        <v>0.5</v>
      </c>
      <c r="R20" s="554" t="s">
        <v>293</v>
      </c>
      <c r="S20" s="558">
        <v>30</v>
      </c>
      <c r="T20" s="558">
        <v>25</v>
      </c>
      <c r="U20" s="558" t="s">
        <v>293</v>
      </c>
      <c r="V20" s="558" t="s">
        <v>293</v>
      </c>
      <c r="W20" s="558">
        <v>50</v>
      </c>
      <c r="X20" s="868"/>
      <c r="Y20" s="868"/>
      <c r="Z20" s="868"/>
      <c r="AA20" s="868"/>
      <c r="AB20" s="868"/>
      <c r="AC20" s="868"/>
      <c r="AD20" s="894"/>
    </row>
    <row r="21" spans="1:30" ht="12.75">
      <c r="A21" s="557" t="s">
        <v>315</v>
      </c>
      <c r="B21" s="554">
        <v>172.5</v>
      </c>
      <c r="C21" s="554">
        <v>148.69999999999999</v>
      </c>
      <c r="D21" s="554">
        <v>15500</v>
      </c>
      <c r="E21" s="554">
        <v>3</v>
      </c>
      <c r="F21" s="554">
        <f t="shared" si="0"/>
        <v>97.045895344190711</v>
      </c>
      <c r="G21" s="554">
        <f t="shared" si="1"/>
        <v>291.13768603257211</v>
      </c>
      <c r="H21" s="554">
        <v>136.80000000000001</v>
      </c>
      <c r="I21" s="554">
        <v>1765</v>
      </c>
      <c r="J21" s="554">
        <v>13.5</v>
      </c>
      <c r="K21" s="558">
        <f t="shared" ref="K21:K24" si="5">((I21/C21)+(I21/H21))/2</f>
        <v>12.385791381052947</v>
      </c>
      <c r="L21" s="558">
        <f t="shared" ref="L21:L24" si="6">K21*J21</f>
        <v>167.20818364421478</v>
      </c>
      <c r="M21" s="16">
        <f t="shared" si="2"/>
        <v>458.34586967678689</v>
      </c>
      <c r="N21" s="558" t="s">
        <v>293</v>
      </c>
      <c r="O21" s="554">
        <v>8</v>
      </c>
      <c r="P21" s="554" t="s">
        <v>294</v>
      </c>
      <c r="Q21" s="554">
        <v>1.5</v>
      </c>
      <c r="R21" s="554" t="s">
        <v>293</v>
      </c>
      <c r="S21" s="554">
        <v>8</v>
      </c>
      <c r="T21" s="554">
        <v>15</v>
      </c>
      <c r="U21" s="562" t="s">
        <v>293</v>
      </c>
      <c r="V21" s="554">
        <v>2</v>
      </c>
      <c r="W21" s="554">
        <v>10</v>
      </c>
      <c r="X21" s="868"/>
      <c r="Y21" s="868"/>
      <c r="Z21" s="868"/>
      <c r="AA21" s="868"/>
      <c r="AB21" s="868"/>
      <c r="AC21" s="868"/>
      <c r="AD21" s="894"/>
    </row>
    <row r="22" spans="1:30" ht="12.75">
      <c r="A22" s="557" t="s">
        <v>316</v>
      </c>
      <c r="B22" s="554">
        <v>193.5</v>
      </c>
      <c r="C22" s="554">
        <v>160</v>
      </c>
      <c r="D22" s="554">
        <v>34500</v>
      </c>
      <c r="E22" s="554">
        <v>2.7</v>
      </c>
      <c r="F22" s="554">
        <f t="shared" si="0"/>
        <v>196.95978682170542</v>
      </c>
      <c r="G22" s="554">
        <f t="shared" si="1"/>
        <v>531.79142441860472</v>
      </c>
      <c r="H22" s="554">
        <v>148</v>
      </c>
      <c r="I22" s="554">
        <v>4000</v>
      </c>
      <c r="J22" s="554">
        <v>6.5</v>
      </c>
      <c r="K22" s="558">
        <f t="shared" si="5"/>
        <v>26.013513513513516</v>
      </c>
      <c r="L22" s="558">
        <f t="shared" si="6"/>
        <v>169.08783783783787</v>
      </c>
      <c r="M22" s="16">
        <f t="shared" si="2"/>
        <v>700.87926225644264</v>
      </c>
      <c r="N22" s="558" t="s">
        <v>293</v>
      </c>
      <c r="O22" s="554">
        <v>8</v>
      </c>
      <c r="P22" s="554" t="s">
        <v>294</v>
      </c>
      <c r="Q22" s="554">
        <v>0.5</v>
      </c>
      <c r="R22" s="554" t="s">
        <v>293</v>
      </c>
      <c r="S22" s="554">
        <v>12.5</v>
      </c>
      <c r="T22" s="554">
        <v>15</v>
      </c>
      <c r="U22" s="562" t="s">
        <v>293</v>
      </c>
      <c r="V22" s="554">
        <v>2.5</v>
      </c>
      <c r="W22" s="554">
        <v>45</v>
      </c>
      <c r="X22" s="868"/>
      <c r="Y22" s="868"/>
      <c r="Z22" s="868"/>
      <c r="AA22" s="868"/>
      <c r="AB22" s="868"/>
      <c r="AC22" s="868"/>
      <c r="AD22" s="894"/>
    </row>
    <row r="23" spans="1:30" ht="12.75">
      <c r="A23" s="557" t="s">
        <v>317</v>
      </c>
      <c r="B23" s="554">
        <v>245</v>
      </c>
      <c r="C23" s="554">
        <v>210.45</v>
      </c>
      <c r="D23" s="554">
        <v>38000</v>
      </c>
      <c r="E23" s="554">
        <v>2</v>
      </c>
      <c r="F23" s="554">
        <f t="shared" si="0"/>
        <v>167.83374789687792</v>
      </c>
      <c r="G23" s="554">
        <f t="shared" si="1"/>
        <v>335.66749579375585</v>
      </c>
      <c r="H23" s="554">
        <v>165</v>
      </c>
      <c r="I23" s="554">
        <v>25000</v>
      </c>
      <c r="J23" s="554">
        <v>4</v>
      </c>
      <c r="K23" s="558">
        <f t="shared" si="5"/>
        <v>135.15410700015119</v>
      </c>
      <c r="L23" s="558">
        <f t="shared" si="6"/>
        <v>540.61642800060474</v>
      </c>
      <c r="M23" s="16">
        <f t="shared" si="2"/>
        <v>876.28392379436059</v>
      </c>
      <c r="N23" s="558" t="s">
        <v>293</v>
      </c>
      <c r="O23" s="554">
        <v>8</v>
      </c>
      <c r="P23" s="554" t="s">
        <v>294</v>
      </c>
      <c r="Q23" s="554">
        <v>0.5</v>
      </c>
      <c r="R23" s="554" t="s">
        <v>293</v>
      </c>
      <c r="S23" s="554">
        <v>25</v>
      </c>
      <c r="T23" s="554">
        <v>20</v>
      </c>
      <c r="U23" s="562" t="s">
        <v>293</v>
      </c>
      <c r="V23" s="554">
        <v>1.5</v>
      </c>
      <c r="W23" s="554">
        <v>55</v>
      </c>
      <c r="X23" s="868"/>
      <c r="Y23" s="868"/>
      <c r="Z23" s="868"/>
      <c r="AA23" s="868"/>
      <c r="AB23" s="868"/>
      <c r="AC23" s="868"/>
      <c r="AD23" s="894"/>
    </row>
    <row r="24" spans="1:30" ht="12.75">
      <c r="A24" s="557" t="s">
        <v>318</v>
      </c>
      <c r="B24" s="554">
        <v>270</v>
      </c>
      <c r="C24" s="554">
        <v>234</v>
      </c>
      <c r="D24" s="554">
        <v>38700</v>
      </c>
      <c r="E24" s="554">
        <v>2</v>
      </c>
      <c r="F24" s="554">
        <f t="shared" si="0"/>
        <v>154.35897435897436</v>
      </c>
      <c r="G24" s="554">
        <f t="shared" si="1"/>
        <v>308.71794871794873</v>
      </c>
      <c r="H24" s="554">
        <v>171.5</v>
      </c>
      <c r="I24" s="554">
        <v>16800</v>
      </c>
      <c r="J24" s="554">
        <v>8</v>
      </c>
      <c r="K24" s="558">
        <f t="shared" si="5"/>
        <v>84.877027734170582</v>
      </c>
      <c r="L24" s="558">
        <f t="shared" si="6"/>
        <v>679.01622187336466</v>
      </c>
      <c r="M24" s="16">
        <f t="shared" si="2"/>
        <v>987.73417059131339</v>
      </c>
      <c r="N24" s="558" t="s">
        <v>293</v>
      </c>
      <c r="O24" s="554">
        <v>8</v>
      </c>
      <c r="P24" s="554" t="s">
        <v>294</v>
      </c>
      <c r="Q24" s="554">
        <v>0.5</v>
      </c>
      <c r="R24" s="554" t="s">
        <v>293</v>
      </c>
      <c r="S24" s="554">
        <v>30</v>
      </c>
      <c r="T24" s="554">
        <v>30</v>
      </c>
      <c r="U24" s="562" t="s">
        <v>293</v>
      </c>
      <c r="V24" s="554">
        <v>0.7</v>
      </c>
      <c r="W24" s="554">
        <v>55</v>
      </c>
      <c r="X24" s="868"/>
      <c r="Y24" s="868"/>
      <c r="Z24" s="868"/>
      <c r="AA24" s="868"/>
      <c r="AB24" s="868"/>
      <c r="AC24" s="868"/>
      <c r="AD24" s="894"/>
    </row>
    <row r="25" spans="1:30" ht="12.75">
      <c r="A25" s="563" t="s">
        <v>319</v>
      </c>
      <c r="B25" s="564">
        <v>193</v>
      </c>
      <c r="C25" s="564">
        <v>146</v>
      </c>
      <c r="D25" s="564">
        <v>35000</v>
      </c>
      <c r="E25" s="564">
        <v>2.8</v>
      </c>
      <c r="F25" s="564">
        <f t="shared" si="0"/>
        <v>210.53658882816381</v>
      </c>
      <c r="G25" s="564">
        <f t="shared" si="1"/>
        <v>589.50244871885866</v>
      </c>
      <c r="H25" s="565" t="s">
        <v>293</v>
      </c>
      <c r="I25" s="564" t="s">
        <v>293</v>
      </c>
      <c r="J25" s="564" t="s">
        <v>293</v>
      </c>
      <c r="K25" s="565">
        <v>0</v>
      </c>
      <c r="L25" s="565">
        <v>0</v>
      </c>
      <c r="M25" s="566">
        <f t="shared" si="2"/>
        <v>589.50244871885866</v>
      </c>
      <c r="N25" s="564">
        <v>1500</v>
      </c>
      <c r="O25" s="567">
        <v>15.25</v>
      </c>
      <c r="P25" s="564" t="s">
        <v>294</v>
      </c>
      <c r="Q25" s="564">
        <v>0.7</v>
      </c>
      <c r="R25" s="564" t="s">
        <v>293</v>
      </c>
      <c r="S25" s="564">
        <v>37</v>
      </c>
      <c r="T25" s="564">
        <v>25</v>
      </c>
      <c r="U25" s="564" t="s">
        <v>293</v>
      </c>
      <c r="V25" s="564" t="s">
        <v>293</v>
      </c>
      <c r="W25" s="564">
        <v>46</v>
      </c>
      <c r="X25" s="869"/>
      <c r="Y25" s="869"/>
      <c r="Z25" s="869"/>
      <c r="AA25" s="869"/>
      <c r="AB25" s="869"/>
      <c r="AC25" s="869"/>
      <c r="AD25" s="888"/>
    </row>
    <row r="26" spans="1:30" ht="12.75">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row>
    <row r="27" spans="1:30" ht="12.75">
      <c r="A27" s="568" t="s">
        <v>320</v>
      </c>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row>
    <row r="28" spans="1:30" ht="12.75">
      <c r="A28" s="569" t="s">
        <v>321</v>
      </c>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row>
    <row r="29" spans="1:30" ht="12.75">
      <c r="A29" s="570" t="s">
        <v>322</v>
      </c>
      <c r="B29" s="571">
        <v>72.569999999999993</v>
      </c>
      <c r="C29" s="556">
        <v>55.8</v>
      </c>
      <c r="D29" s="556">
        <v>17263</v>
      </c>
      <c r="E29" s="556">
        <v>2.2000000000000002</v>
      </c>
      <c r="F29" s="553">
        <f t="shared" ref="F29:F69" si="7">((D29/B29)+(D29/C29))/2</f>
        <v>273.62671339944677</v>
      </c>
      <c r="G29" s="553">
        <f t="shared" ref="G29:G69" si="8">F29*E29</f>
        <v>601.97876947878297</v>
      </c>
      <c r="H29" s="556" t="s">
        <v>293</v>
      </c>
      <c r="I29" s="556" t="s">
        <v>293</v>
      </c>
      <c r="J29" s="556" t="s">
        <v>293</v>
      </c>
      <c r="K29" s="553">
        <v>0</v>
      </c>
      <c r="L29" s="553">
        <v>0</v>
      </c>
      <c r="M29" s="553">
        <f t="shared" ref="M29:M69" si="9">G29+L29</f>
        <v>601.97876947878297</v>
      </c>
      <c r="N29" s="553">
        <v>1000</v>
      </c>
      <c r="O29" s="556">
        <v>9.1440000000000001</v>
      </c>
      <c r="P29" s="556" t="s">
        <v>323</v>
      </c>
      <c r="Q29" s="556">
        <v>0.5</v>
      </c>
      <c r="R29" s="556">
        <v>4</v>
      </c>
      <c r="S29" s="553" t="s">
        <v>293</v>
      </c>
      <c r="T29" s="556">
        <v>11</v>
      </c>
      <c r="U29" s="553" t="s">
        <v>293</v>
      </c>
      <c r="V29" s="553" t="s">
        <v>293</v>
      </c>
      <c r="W29" s="556">
        <v>25</v>
      </c>
      <c r="X29" s="556">
        <v>10</v>
      </c>
      <c r="Y29" s="556" t="s">
        <v>293</v>
      </c>
      <c r="Z29" s="553" t="s">
        <v>293</v>
      </c>
      <c r="AA29" s="556" t="s">
        <v>324</v>
      </c>
      <c r="AB29" s="556" t="s">
        <v>324</v>
      </c>
      <c r="AC29" s="553" t="s">
        <v>293</v>
      </c>
      <c r="AD29" s="572">
        <v>4</v>
      </c>
    </row>
    <row r="30" spans="1:30" ht="12.75">
      <c r="A30" s="573" t="s">
        <v>325</v>
      </c>
      <c r="B30" s="574">
        <v>77.55</v>
      </c>
      <c r="C30" s="558">
        <v>60.79</v>
      </c>
      <c r="D30" s="558">
        <v>17263</v>
      </c>
      <c r="E30" s="558">
        <v>2.2000000000000002</v>
      </c>
      <c r="F30" s="558">
        <f t="shared" si="7"/>
        <v>253.29119950736748</v>
      </c>
      <c r="G30" s="558">
        <f t="shared" si="8"/>
        <v>557.24063891620847</v>
      </c>
      <c r="H30" s="558" t="s">
        <v>293</v>
      </c>
      <c r="I30" s="558" t="s">
        <v>293</v>
      </c>
      <c r="J30" s="558" t="s">
        <v>293</v>
      </c>
      <c r="K30" s="558">
        <v>0</v>
      </c>
      <c r="L30" s="558">
        <v>0</v>
      </c>
      <c r="M30" s="558">
        <f t="shared" si="9"/>
        <v>557.24063891620847</v>
      </c>
      <c r="N30" s="558">
        <v>1000</v>
      </c>
      <c r="O30" s="554">
        <v>9.1440000000000001</v>
      </c>
      <c r="P30" s="554" t="s">
        <v>323</v>
      </c>
      <c r="Q30" s="558">
        <v>0.5</v>
      </c>
      <c r="R30" s="558">
        <v>5.5</v>
      </c>
      <c r="S30" s="558" t="s">
        <v>293</v>
      </c>
      <c r="T30" s="558">
        <v>11</v>
      </c>
      <c r="U30" s="558" t="s">
        <v>293</v>
      </c>
      <c r="V30" s="558" t="s">
        <v>293</v>
      </c>
      <c r="W30" s="558">
        <v>25</v>
      </c>
      <c r="X30" s="558">
        <v>8</v>
      </c>
      <c r="Y30" s="558" t="s">
        <v>293</v>
      </c>
      <c r="Z30" s="558" t="s">
        <v>293</v>
      </c>
      <c r="AA30" s="558" t="s">
        <v>324</v>
      </c>
      <c r="AB30" s="558" t="s">
        <v>324</v>
      </c>
      <c r="AC30" s="558" t="s">
        <v>293</v>
      </c>
      <c r="AD30" s="575">
        <v>4</v>
      </c>
    </row>
    <row r="31" spans="1:30" ht="12.75">
      <c r="A31" s="573" t="s">
        <v>326</v>
      </c>
      <c r="B31" s="574">
        <v>88.45</v>
      </c>
      <c r="C31" s="558">
        <v>55.8</v>
      </c>
      <c r="D31" s="558">
        <v>11000</v>
      </c>
      <c r="E31" s="558">
        <v>5</v>
      </c>
      <c r="F31" s="558">
        <f t="shared" si="7"/>
        <v>160.74833198595485</v>
      </c>
      <c r="G31" s="558">
        <f t="shared" si="8"/>
        <v>803.74165992977419</v>
      </c>
      <c r="H31" s="558" t="s">
        <v>293</v>
      </c>
      <c r="I31" s="558" t="s">
        <v>293</v>
      </c>
      <c r="J31" s="558" t="s">
        <v>293</v>
      </c>
      <c r="K31" s="558">
        <v>0</v>
      </c>
      <c r="L31" s="558">
        <v>0</v>
      </c>
      <c r="M31" s="558">
        <f t="shared" si="9"/>
        <v>803.74165992977419</v>
      </c>
      <c r="N31" s="554">
        <v>1000</v>
      </c>
      <c r="O31" s="558">
        <v>5</v>
      </c>
      <c r="P31" s="554" t="s">
        <v>323</v>
      </c>
      <c r="Q31" s="558">
        <v>0.4</v>
      </c>
      <c r="R31" s="558">
        <v>5.5</v>
      </c>
      <c r="S31" s="558" t="s">
        <v>293</v>
      </c>
      <c r="T31" s="558">
        <v>18</v>
      </c>
      <c r="U31" s="558" t="s">
        <v>293</v>
      </c>
      <c r="V31" s="558" t="s">
        <v>293</v>
      </c>
      <c r="W31" s="558">
        <v>40</v>
      </c>
      <c r="X31" s="558">
        <v>8</v>
      </c>
      <c r="Y31" s="558" t="s">
        <v>293</v>
      </c>
      <c r="Z31" s="558" t="s">
        <v>293</v>
      </c>
      <c r="AA31" s="558" t="s">
        <v>324</v>
      </c>
      <c r="AB31" s="558" t="s">
        <v>324</v>
      </c>
      <c r="AC31" s="558" t="s">
        <v>293</v>
      </c>
      <c r="AD31" s="575">
        <v>2.5</v>
      </c>
    </row>
    <row r="32" spans="1:30" ht="12.75">
      <c r="A32" s="573" t="s">
        <v>327</v>
      </c>
      <c r="B32" s="576">
        <v>76.430000000000007</v>
      </c>
      <c r="C32" s="554">
        <v>57.5</v>
      </c>
      <c r="D32" s="554">
        <v>18100</v>
      </c>
      <c r="E32" s="554">
        <v>2.2000000000000002</v>
      </c>
      <c r="F32" s="558">
        <f t="shared" si="7"/>
        <v>275.80030604872888</v>
      </c>
      <c r="G32" s="558">
        <f t="shared" si="8"/>
        <v>606.76067330720355</v>
      </c>
      <c r="H32" s="554" t="s">
        <v>293</v>
      </c>
      <c r="I32" s="554" t="s">
        <v>293</v>
      </c>
      <c r="J32" s="554" t="s">
        <v>293</v>
      </c>
      <c r="K32" s="558">
        <v>0</v>
      </c>
      <c r="L32" s="558">
        <v>0</v>
      </c>
      <c r="M32" s="558">
        <f t="shared" si="9"/>
        <v>606.76067330720355</v>
      </c>
      <c r="N32" s="554">
        <v>1000</v>
      </c>
      <c r="O32" s="554">
        <v>5</v>
      </c>
      <c r="P32" s="554" t="s">
        <v>323</v>
      </c>
      <c r="Q32" s="558">
        <v>0.5</v>
      </c>
      <c r="R32" s="554">
        <v>5.5</v>
      </c>
      <c r="S32" s="558" t="s">
        <v>293</v>
      </c>
      <c r="T32" s="554">
        <v>11</v>
      </c>
      <c r="U32" s="558" t="s">
        <v>293</v>
      </c>
      <c r="V32" s="558" t="s">
        <v>293</v>
      </c>
      <c r="W32" s="554">
        <v>40</v>
      </c>
      <c r="X32" s="554">
        <v>8</v>
      </c>
      <c r="Y32" s="554" t="s">
        <v>293</v>
      </c>
      <c r="Z32" s="558" t="s">
        <v>293</v>
      </c>
      <c r="AA32" s="554" t="s">
        <v>328</v>
      </c>
      <c r="AB32" s="554" t="s">
        <v>324</v>
      </c>
      <c r="AC32" s="558" t="s">
        <v>293</v>
      </c>
      <c r="AD32" s="577">
        <v>2.5</v>
      </c>
    </row>
    <row r="33" spans="1:30" ht="12.75">
      <c r="A33" s="573" t="s">
        <v>329</v>
      </c>
      <c r="B33" s="574">
        <v>88.45</v>
      </c>
      <c r="C33" s="558">
        <v>55.8</v>
      </c>
      <c r="D33" s="558">
        <v>11000</v>
      </c>
      <c r="E33" s="558">
        <v>5</v>
      </c>
      <c r="F33" s="558">
        <f t="shared" si="7"/>
        <v>160.74833198595485</v>
      </c>
      <c r="G33" s="558">
        <f t="shared" si="8"/>
        <v>803.74165992977419</v>
      </c>
      <c r="H33" s="554" t="s">
        <v>293</v>
      </c>
      <c r="I33" s="558" t="s">
        <v>293</v>
      </c>
      <c r="J33" s="558" t="s">
        <v>293</v>
      </c>
      <c r="K33" s="558">
        <v>0</v>
      </c>
      <c r="L33" s="558">
        <v>0</v>
      </c>
      <c r="M33" s="558">
        <f t="shared" si="9"/>
        <v>803.74165992977419</v>
      </c>
      <c r="N33" s="558">
        <v>1000</v>
      </c>
      <c r="O33" s="558">
        <v>5</v>
      </c>
      <c r="P33" s="554" t="s">
        <v>323</v>
      </c>
      <c r="Q33" s="558">
        <v>0.4</v>
      </c>
      <c r="R33" s="558">
        <v>5.5</v>
      </c>
      <c r="S33" s="558" t="s">
        <v>293</v>
      </c>
      <c r="T33" s="558">
        <v>18</v>
      </c>
      <c r="U33" s="558" t="s">
        <v>293</v>
      </c>
      <c r="V33" s="558" t="s">
        <v>293</v>
      </c>
      <c r="W33" s="558">
        <v>40</v>
      </c>
      <c r="X33" s="558">
        <v>8</v>
      </c>
      <c r="Y33" s="558" t="s">
        <v>293</v>
      </c>
      <c r="Z33" s="558" t="s">
        <v>293</v>
      </c>
      <c r="AA33" s="558" t="s">
        <v>328</v>
      </c>
      <c r="AB33" s="558" t="s">
        <v>328</v>
      </c>
      <c r="AC33" s="558" t="s">
        <v>293</v>
      </c>
      <c r="AD33" s="575">
        <v>2.5</v>
      </c>
    </row>
    <row r="34" spans="1:30" ht="12.75">
      <c r="A34" s="573" t="s">
        <v>330</v>
      </c>
      <c r="B34" s="576">
        <v>76.930000000000007</v>
      </c>
      <c r="C34" s="554">
        <v>58</v>
      </c>
      <c r="D34" s="554">
        <v>18100</v>
      </c>
      <c r="E34" s="554">
        <v>2.2000000000000002</v>
      </c>
      <c r="F34" s="558">
        <f t="shared" si="7"/>
        <v>273.67389521149994</v>
      </c>
      <c r="G34" s="558">
        <f t="shared" si="8"/>
        <v>602.08256946529991</v>
      </c>
      <c r="H34" s="558" t="s">
        <v>293</v>
      </c>
      <c r="I34" s="554" t="s">
        <v>293</v>
      </c>
      <c r="J34" s="554" t="s">
        <v>293</v>
      </c>
      <c r="K34" s="558">
        <v>0</v>
      </c>
      <c r="L34" s="558">
        <v>0</v>
      </c>
      <c r="M34" s="558">
        <f t="shared" si="9"/>
        <v>602.08256946529991</v>
      </c>
      <c r="N34" s="558">
        <v>1000</v>
      </c>
      <c r="O34" s="554">
        <v>5</v>
      </c>
      <c r="P34" s="554" t="s">
        <v>323</v>
      </c>
      <c r="Q34" s="558">
        <v>0.5</v>
      </c>
      <c r="R34" s="554">
        <v>5.5</v>
      </c>
      <c r="S34" s="558" t="s">
        <v>293</v>
      </c>
      <c r="T34" s="554">
        <v>20</v>
      </c>
      <c r="U34" s="558" t="s">
        <v>293</v>
      </c>
      <c r="V34" s="558" t="s">
        <v>293</v>
      </c>
      <c r="W34" s="554">
        <v>40</v>
      </c>
      <c r="X34" s="554">
        <v>8</v>
      </c>
      <c r="Y34" s="554" t="s">
        <v>293</v>
      </c>
      <c r="Z34" s="558" t="s">
        <v>293</v>
      </c>
      <c r="AA34" s="554" t="s">
        <v>328</v>
      </c>
      <c r="AB34" s="554" t="s">
        <v>324</v>
      </c>
      <c r="AC34" s="558" t="s">
        <v>293</v>
      </c>
      <c r="AD34" s="577">
        <v>2.5</v>
      </c>
    </row>
    <row r="35" spans="1:30" ht="12.75">
      <c r="A35" s="573" t="s">
        <v>331</v>
      </c>
      <c r="B35" s="576">
        <v>76.930000000000007</v>
      </c>
      <c r="C35" s="554">
        <v>58</v>
      </c>
      <c r="D35" s="554">
        <v>18100</v>
      </c>
      <c r="E35" s="554">
        <v>2.2000000000000002</v>
      </c>
      <c r="F35" s="558">
        <f t="shared" si="7"/>
        <v>273.67389521149994</v>
      </c>
      <c r="G35" s="558">
        <f t="shared" si="8"/>
        <v>602.08256946529991</v>
      </c>
      <c r="H35" s="554" t="s">
        <v>293</v>
      </c>
      <c r="I35" s="554" t="s">
        <v>293</v>
      </c>
      <c r="J35" s="554" t="s">
        <v>293</v>
      </c>
      <c r="K35" s="558">
        <v>0</v>
      </c>
      <c r="L35" s="558">
        <v>0</v>
      </c>
      <c r="M35" s="558">
        <f t="shared" si="9"/>
        <v>602.08256946529991</v>
      </c>
      <c r="N35" s="554">
        <v>1000</v>
      </c>
      <c r="O35" s="554">
        <v>5</v>
      </c>
      <c r="P35" s="554" t="s">
        <v>323</v>
      </c>
      <c r="Q35" s="558">
        <v>0.5</v>
      </c>
      <c r="R35" s="554">
        <v>5.5</v>
      </c>
      <c r="S35" s="558" t="s">
        <v>293</v>
      </c>
      <c r="T35" s="554">
        <v>20</v>
      </c>
      <c r="U35" s="558" t="s">
        <v>293</v>
      </c>
      <c r="V35" s="558" t="s">
        <v>293</v>
      </c>
      <c r="W35" s="554">
        <v>40</v>
      </c>
      <c r="X35" s="554">
        <v>8</v>
      </c>
      <c r="Y35" s="554" t="s">
        <v>293</v>
      </c>
      <c r="Z35" s="558" t="s">
        <v>293</v>
      </c>
      <c r="AA35" s="554" t="s">
        <v>328</v>
      </c>
      <c r="AB35" s="554" t="s">
        <v>328</v>
      </c>
      <c r="AC35" s="558" t="s">
        <v>293</v>
      </c>
      <c r="AD35" s="577">
        <v>2.5</v>
      </c>
    </row>
    <row r="36" spans="1:30" ht="12.75">
      <c r="A36" s="573" t="s">
        <v>332</v>
      </c>
      <c r="B36" s="574">
        <v>75.3</v>
      </c>
      <c r="C36" s="558">
        <v>54.8</v>
      </c>
      <c r="D36" s="558">
        <v>17318</v>
      </c>
      <c r="E36" s="558">
        <v>2.2000000000000002</v>
      </c>
      <c r="F36" s="558">
        <f t="shared" si="7"/>
        <v>273.00430879886778</v>
      </c>
      <c r="G36" s="558">
        <f t="shared" si="8"/>
        <v>600.60947935750914</v>
      </c>
      <c r="H36" s="554" t="s">
        <v>293</v>
      </c>
      <c r="I36" s="558" t="s">
        <v>293</v>
      </c>
      <c r="J36" s="558" t="s">
        <v>293</v>
      </c>
      <c r="K36" s="558">
        <v>0</v>
      </c>
      <c r="L36" s="558">
        <v>0</v>
      </c>
      <c r="M36" s="558">
        <f t="shared" si="9"/>
        <v>600.60947935750914</v>
      </c>
      <c r="N36" s="558">
        <v>1000</v>
      </c>
      <c r="O36" s="554">
        <v>9</v>
      </c>
      <c r="P36" s="554" t="s">
        <v>323</v>
      </c>
      <c r="Q36" s="558">
        <v>0.5</v>
      </c>
      <c r="R36" s="558">
        <v>3.5</v>
      </c>
      <c r="S36" s="558" t="s">
        <v>293</v>
      </c>
      <c r="T36" s="558">
        <v>11</v>
      </c>
      <c r="U36" s="558" t="s">
        <v>293</v>
      </c>
      <c r="V36" s="558" t="s">
        <v>293</v>
      </c>
      <c r="W36" s="558">
        <v>28</v>
      </c>
      <c r="X36" s="558">
        <v>8.6999999999999993</v>
      </c>
      <c r="Y36" s="558" t="s">
        <v>293</v>
      </c>
      <c r="Z36" s="558" t="s">
        <v>293</v>
      </c>
      <c r="AA36" s="558" t="s">
        <v>324</v>
      </c>
      <c r="AB36" s="558" t="s">
        <v>324</v>
      </c>
      <c r="AC36" s="558" t="s">
        <v>293</v>
      </c>
      <c r="AD36" s="575">
        <v>3.5</v>
      </c>
    </row>
    <row r="37" spans="1:30" ht="12.75">
      <c r="A37" s="573" t="s">
        <v>333</v>
      </c>
      <c r="B37" s="574">
        <v>87.7</v>
      </c>
      <c r="C37" s="558">
        <v>60</v>
      </c>
      <c r="D37" s="558">
        <v>26000</v>
      </c>
      <c r="E37" s="558">
        <v>2</v>
      </c>
      <c r="F37" s="558">
        <f t="shared" si="7"/>
        <v>364.89927784112501</v>
      </c>
      <c r="G37" s="558">
        <f t="shared" si="8"/>
        <v>729.79855568225003</v>
      </c>
      <c r="H37" s="558" t="s">
        <v>293</v>
      </c>
      <c r="I37" s="558" t="s">
        <v>293</v>
      </c>
      <c r="J37" s="558" t="s">
        <v>293</v>
      </c>
      <c r="K37" s="558">
        <v>0</v>
      </c>
      <c r="L37" s="558">
        <v>0</v>
      </c>
      <c r="M37" s="558">
        <f t="shared" si="9"/>
        <v>729.79855568225003</v>
      </c>
      <c r="N37" s="558">
        <v>1000</v>
      </c>
      <c r="O37" s="558">
        <v>5</v>
      </c>
      <c r="P37" s="554" t="s">
        <v>323</v>
      </c>
      <c r="Q37" s="558">
        <v>0.5</v>
      </c>
      <c r="R37" s="558">
        <v>5.5</v>
      </c>
      <c r="S37" s="558" t="s">
        <v>293</v>
      </c>
      <c r="T37" s="558">
        <v>15</v>
      </c>
      <c r="U37" s="558" t="s">
        <v>293</v>
      </c>
      <c r="V37" s="558" t="s">
        <v>293</v>
      </c>
      <c r="W37" s="558">
        <v>40</v>
      </c>
      <c r="X37" s="558">
        <v>8</v>
      </c>
      <c r="Y37" s="558" t="s">
        <v>293</v>
      </c>
      <c r="Z37" s="558" t="s">
        <v>293</v>
      </c>
      <c r="AA37" s="558" t="s">
        <v>328</v>
      </c>
      <c r="AB37" s="558" t="s">
        <v>324</v>
      </c>
      <c r="AC37" s="558" t="s">
        <v>293</v>
      </c>
      <c r="AD37" s="575">
        <v>3</v>
      </c>
    </row>
    <row r="38" spans="1:30" ht="12.75">
      <c r="A38" s="573" t="s">
        <v>334</v>
      </c>
      <c r="B38" s="576">
        <v>90.6</v>
      </c>
      <c r="C38" s="554">
        <v>60</v>
      </c>
      <c r="D38" s="554">
        <v>26000</v>
      </c>
      <c r="E38" s="554">
        <v>2</v>
      </c>
      <c r="F38" s="558">
        <f t="shared" si="7"/>
        <v>360.15452538631348</v>
      </c>
      <c r="G38" s="558">
        <f t="shared" si="8"/>
        <v>720.30905077262696</v>
      </c>
      <c r="H38" s="558" t="s">
        <v>293</v>
      </c>
      <c r="I38" s="554" t="s">
        <v>293</v>
      </c>
      <c r="J38" s="554" t="s">
        <v>293</v>
      </c>
      <c r="K38" s="558">
        <v>0</v>
      </c>
      <c r="L38" s="558">
        <v>0</v>
      </c>
      <c r="M38" s="558">
        <f t="shared" si="9"/>
        <v>720.30905077262696</v>
      </c>
      <c r="N38" s="554">
        <v>1000</v>
      </c>
      <c r="O38" s="554">
        <v>5</v>
      </c>
      <c r="P38" s="554" t="s">
        <v>323</v>
      </c>
      <c r="Q38" s="558">
        <v>0.5</v>
      </c>
      <c r="R38" s="554">
        <v>5.5</v>
      </c>
      <c r="S38" s="558" t="s">
        <v>293</v>
      </c>
      <c r="T38" s="554">
        <v>20</v>
      </c>
      <c r="U38" s="558" t="s">
        <v>293</v>
      </c>
      <c r="V38" s="558" t="s">
        <v>293</v>
      </c>
      <c r="W38" s="554">
        <v>40</v>
      </c>
      <c r="X38" s="554">
        <v>8</v>
      </c>
      <c r="Y38" s="554" t="s">
        <v>293</v>
      </c>
      <c r="Z38" s="558" t="s">
        <v>293</v>
      </c>
      <c r="AA38" s="554" t="s">
        <v>328</v>
      </c>
      <c r="AB38" s="554" t="s">
        <v>328</v>
      </c>
      <c r="AC38" s="558" t="s">
        <v>293</v>
      </c>
      <c r="AD38" s="577">
        <v>2.5</v>
      </c>
    </row>
    <row r="39" spans="1:30" ht="12.75">
      <c r="A39" s="573" t="s">
        <v>335</v>
      </c>
      <c r="B39" s="574">
        <v>43.5</v>
      </c>
      <c r="C39" s="558">
        <v>33.5</v>
      </c>
      <c r="D39" s="558">
        <v>9500</v>
      </c>
      <c r="E39" s="558">
        <v>3</v>
      </c>
      <c r="F39" s="558">
        <f t="shared" si="7"/>
        <v>250.98644707496999</v>
      </c>
      <c r="G39" s="558">
        <f t="shared" si="8"/>
        <v>752.95934122490996</v>
      </c>
      <c r="H39" s="558" t="s">
        <v>293</v>
      </c>
      <c r="I39" s="558" t="s">
        <v>293</v>
      </c>
      <c r="J39" s="558" t="s">
        <v>293</v>
      </c>
      <c r="K39" s="558">
        <v>0</v>
      </c>
      <c r="L39" s="558">
        <v>0</v>
      </c>
      <c r="M39" s="558">
        <f t="shared" si="9"/>
        <v>752.95934122490996</v>
      </c>
      <c r="N39" s="558" t="s">
        <v>293</v>
      </c>
      <c r="O39" s="558">
        <v>3</v>
      </c>
      <c r="P39" s="554" t="s">
        <v>323</v>
      </c>
      <c r="Q39" s="558">
        <v>0.35</v>
      </c>
      <c r="R39" s="558">
        <v>5</v>
      </c>
      <c r="S39" s="558" t="s">
        <v>293</v>
      </c>
      <c r="T39" s="558">
        <v>30</v>
      </c>
      <c r="U39" s="558" t="s">
        <v>293</v>
      </c>
      <c r="V39" s="558" t="s">
        <v>293</v>
      </c>
      <c r="W39" s="558">
        <v>45</v>
      </c>
      <c r="X39" s="558">
        <v>7.5</v>
      </c>
      <c r="Y39" s="558" t="s">
        <v>293</v>
      </c>
      <c r="Z39" s="558" t="s">
        <v>293</v>
      </c>
      <c r="AA39" s="558" t="s">
        <v>328</v>
      </c>
      <c r="AB39" s="558" t="s">
        <v>328</v>
      </c>
      <c r="AC39" s="558" t="s">
        <v>293</v>
      </c>
      <c r="AD39" s="575">
        <v>5</v>
      </c>
    </row>
    <row r="40" spans="1:30" ht="12.75">
      <c r="A40" s="573" t="s">
        <v>336</v>
      </c>
      <c r="B40" s="574">
        <v>136</v>
      </c>
      <c r="C40" s="558">
        <v>96</v>
      </c>
      <c r="D40" s="558">
        <v>38000</v>
      </c>
      <c r="E40" s="558">
        <v>1.9</v>
      </c>
      <c r="F40" s="558">
        <f t="shared" si="7"/>
        <v>337.62254901960785</v>
      </c>
      <c r="G40" s="558">
        <f t="shared" si="8"/>
        <v>641.48284313725492</v>
      </c>
      <c r="H40" s="554" t="s">
        <v>293</v>
      </c>
      <c r="I40" s="558" t="s">
        <v>293</v>
      </c>
      <c r="J40" s="558" t="s">
        <v>293</v>
      </c>
      <c r="K40" s="558">
        <v>0</v>
      </c>
      <c r="L40" s="558">
        <v>0</v>
      </c>
      <c r="M40" s="558">
        <f t="shared" si="9"/>
        <v>641.48284313725492</v>
      </c>
      <c r="N40" s="558">
        <v>1000</v>
      </c>
      <c r="O40" s="558">
        <v>10</v>
      </c>
      <c r="P40" s="554" t="s">
        <v>323</v>
      </c>
      <c r="Q40" s="558">
        <v>0.34</v>
      </c>
      <c r="R40" s="558">
        <v>4</v>
      </c>
      <c r="S40" s="558" t="s">
        <v>293</v>
      </c>
      <c r="T40" s="558">
        <v>15</v>
      </c>
      <c r="U40" s="558" t="s">
        <v>293</v>
      </c>
      <c r="V40" s="558" t="s">
        <v>293</v>
      </c>
      <c r="W40" s="558">
        <v>30</v>
      </c>
      <c r="X40" s="558">
        <v>8</v>
      </c>
      <c r="Y40" s="558" t="s">
        <v>293</v>
      </c>
      <c r="Z40" s="558" t="s">
        <v>293</v>
      </c>
      <c r="AA40" s="558" t="s">
        <v>328</v>
      </c>
      <c r="AB40" s="558" t="s">
        <v>328</v>
      </c>
      <c r="AC40" s="558" t="s">
        <v>293</v>
      </c>
      <c r="AD40" s="575">
        <v>5</v>
      </c>
    </row>
    <row r="41" spans="1:30" ht="12.75">
      <c r="A41" s="573" t="s">
        <v>337</v>
      </c>
      <c r="B41" s="576">
        <v>167.82919999999999</v>
      </c>
      <c r="C41" s="554">
        <v>131.99539999999999</v>
      </c>
      <c r="D41" s="554">
        <v>30500</v>
      </c>
      <c r="E41" s="554">
        <v>2.5</v>
      </c>
      <c r="F41" s="558">
        <f t="shared" si="7"/>
        <v>206.40051937708708</v>
      </c>
      <c r="G41" s="558">
        <f t="shared" si="8"/>
        <v>516.00129844271771</v>
      </c>
      <c r="H41" s="558" t="s">
        <v>293</v>
      </c>
      <c r="I41" s="554" t="s">
        <v>293</v>
      </c>
      <c r="J41" s="554" t="s">
        <v>293</v>
      </c>
      <c r="K41" s="558">
        <v>0</v>
      </c>
      <c r="L41" s="558">
        <v>0</v>
      </c>
      <c r="M41" s="558">
        <f t="shared" si="9"/>
        <v>516.00129844271771</v>
      </c>
      <c r="N41" s="554" t="s">
        <v>293</v>
      </c>
      <c r="O41" s="554">
        <v>12</v>
      </c>
      <c r="P41" s="554" t="s">
        <v>323</v>
      </c>
      <c r="Q41" s="558">
        <v>0.3</v>
      </c>
      <c r="R41" s="554">
        <v>6</v>
      </c>
      <c r="S41" s="558" t="s">
        <v>293</v>
      </c>
      <c r="T41" s="554">
        <v>12</v>
      </c>
      <c r="U41" s="558" t="s">
        <v>293</v>
      </c>
      <c r="V41" s="558" t="s">
        <v>293</v>
      </c>
      <c r="W41" s="554">
        <v>60</v>
      </c>
      <c r="X41" s="554">
        <v>7</v>
      </c>
      <c r="Y41" s="554" t="s">
        <v>293</v>
      </c>
      <c r="Z41" s="558" t="s">
        <v>293</v>
      </c>
      <c r="AA41" s="554" t="s">
        <v>328</v>
      </c>
      <c r="AB41" s="554" t="s">
        <v>328</v>
      </c>
      <c r="AC41" s="558" t="s">
        <v>293</v>
      </c>
      <c r="AD41" s="577">
        <v>2</v>
      </c>
    </row>
    <row r="42" spans="1:30" ht="12.75">
      <c r="A42" s="573" t="s">
        <v>338</v>
      </c>
      <c r="B42" s="574">
        <v>70</v>
      </c>
      <c r="C42" s="558">
        <v>51</v>
      </c>
      <c r="D42" s="558">
        <v>15300</v>
      </c>
      <c r="E42" s="558">
        <v>3.2</v>
      </c>
      <c r="F42" s="558">
        <f t="shared" si="7"/>
        <v>259.28571428571428</v>
      </c>
      <c r="G42" s="558">
        <f t="shared" si="8"/>
        <v>829.71428571428578</v>
      </c>
      <c r="H42" s="558" t="s">
        <v>293</v>
      </c>
      <c r="I42" s="558" t="s">
        <v>293</v>
      </c>
      <c r="J42" s="558" t="s">
        <v>293</v>
      </c>
      <c r="K42" s="558">
        <v>0</v>
      </c>
      <c r="L42" s="558">
        <v>0</v>
      </c>
      <c r="M42" s="558">
        <f t="shared" si="9"/>
        <v>829.71428571428578</v>
      </c>
      <c r="N42" s="558">
        <v>1000</v>
      </c>
      <c r="O42" s="558">
        <v>5</v>
      </c>
      <c r="P42" s="554" t="s">
        <v>323</v>
      </c>
      <c r="Q42" s="558" t="s">
        <v>293</v>
      </c>
      <c r="R42" s="558">
        <v>4</v>
      </c>
      <c r="S42" s="558" t="s">
        <v>293</v>
      </c>
      <c r="T42" s="558" t="s">
        <v>293</v>
      </c>
      <c r="U42" s="558" t="s">
        <v>293</v>
      </c>
      <c r="V42" s="558" t="s">
        <v>293</v>
      </c>
      <c r="W42" s="558">
        <v>50</v>
      </c>
      <c r="X42" s="558">
        <v>6</v>
      </c>
      <c r="Y42" s="558" t="s">
        <v>293</v>
      </c>
      <c r="Z42" s="558" t="s">
        <v>293</v>
      </c>
      <c r="AA42" s="558" t="s">
        <v>328</v>
      </c>
      <c r="AB42" s="558" t="s">
        <v>324</v>
      </c>
      <c r="AC42" s="558" t="s">
        <v>293</v>
      </c>
      <c r="AD42" s="575">
        <v>5</v>
      </c>
    </row>
    <row r="43" spans="1:30" ht="12.75">
      <c r="A43" s="573" t="s">
        <v>339</v>
      </c>
      <c r="B43" s="576">
        <v>75.3</v>
      </c>
      <c r="C43" s="554">
        <v>54.8</v>
      </c>
      <c r="D43" s="554">
        <v>17318</v>
      </c>
      <c r="E43" s="554">
        <v>2.2000000000000002</v>
      </c>
      <c r="F43" s="558">
        <f t="shared" si="7"/>
        <v>273.00430879886778</v>
      </c>
      <c r="G43" s="558">
        <f t="shared" si="8"/>
        <v>600.60947935750914</v>
      </c>
      <c r="H43" s="554" t="s">
        <v>293</v>
      </c>
      <c r="I43" s="554" t="s">
        <v>293</v>
      </c>
      <c r="J43" s="554" t="s">
        <v>293</v>
      </c>
      <c r="K43" s="558">
        <v>0</v>
      </c>
      <c r="L43" s="558">
        <v>0</v>
      </c>
      <c r="M43" s="558">
        <f t="shared" si="9"/>
        <v>600.60947935750914</v>
      </c>
      <c r="N43" s="554">
        <v>800</v>
      </c>
      <c r="O43" s="554">
        <v>5</v>
      </c>
      <c r="P43" s="554" t="s">
        <v>323</v>
      </c>
      <c r="Q43" s="558">
        <v>0.5</v>
      </c>
      <c r="R43" s="554">
        <v>3.5</v>
      </c>
      <c r="S43" s="558" t="s">
        <v>293</v>
      </c>
      <c r="T43" s="554">
        <v>11</v>
      </c>
      <c r="U43" s="558" t="s">
        <v>293</v>
      </c>
      <c r="V43" s="558" t="s">
        <v>293</v>
      </c>
      <c r="W43" s="554">
        <v>28</v>
      </c>
      <c r="X43" s="554">
        <v>8.6999999999999993</v>
      </c>
      <c r="Y43" s="554" t="s">
        <v>293</v>
      </c>
      <c r="Z43" s="558" t="s">
        <v>293</v>
      </c>
      <c r="AA43" s="554" t="s">
        <v>324</v>
      </c>
      <c r="AB43" s="554" t="s">
        <v>324</v>
      </c>
      <c r="AC43" s="558" t="s">
        <v>293</v>
      </c>
      <c r="AD43" s="577">
        <v>4</v>
      </c>
    </row>
    <row r="44" spans="1:30" ht="12.75">
      <c r="A44" s="573" t="s">
        <v>340</v>
      </c>
      <c r="B44" s="574">
        <v>84.5</v>
      </c>
      <c r="C44" s="558">
        <v>59.7</v>
      </c>
      <c r="D44" s="558">
        <v>27900</v>
      </c>
      <c r="E44" s="558">
        <v>2</v>
      </c>
      <c r="F44" s="558">
        <f t="shared" si="7"/>
        <v>398.75709910499239</v>
      </c>
      <c r="G44" s="558">
        <f t="shared" si="8"/>
        <v>797.51419820998478</v>
      </c>
      <c r="H44" s="558" t="s">
        <v>293</v>
      </c>
      <c r="I44" s="558" t="s">
        <v>293</v>
      </c>
      <c r="J44" s="558" t="s">
        <v>293</v>
      </c>
      <c r="K44" s="558">
        <v>0</v>
      </c>
      <c r="L44" s="558">
        <v>0</v>
      </c>
      <c r="M44" s="558">
        <f t="shared" si="9"/>
        <v>797.51419820998478</v>
      </c>
      <c r="N44" s="558">
        <v>1000</v>
      </c>
      <c r="O44" s="558">
        <v>9</v>
      </c>
      <c r="P44" s="554" t="s">
        <v>323</v>
      </c>
      <c r="Q44" s="558">
        <v>0.5</v>
      </c>
      <c r="R44" s="558">
        <v>5.5</v>
      </c>
      <c r="S44" s="558" t="s">
        <v>293</v>
      </c>
      <c r="T44" s="558">
        <v>30</v>
      </c>
      <c r="U44" s="558" t="s">
        <v>293</v>
      </c>
      <c r="V44" s="558" t="s">
        <v>293</v>
      </c>
      <c r="W44" s="558">
        <v>40</v>
      </c>
      <c r="X44" s="558">
        <v>8</v>
      </c>
      <c r="Y44" s="558" t="s">
        <v>293</v>
      </c>
      <c r="Z44" s="558" t="s">
        <v>293</v>
      </c>
      <c r="AA44" s="558" t="s">
        <v>328</v>
      </c>
      <c r="AB44" s="558" t="s">
        <v>328</v>
      </c>
      <c r="AC44" s="558" t="s">
        <v>293</v>
      </c>
      <c r="AD44" s="575">
        <v>2.4</v>
      </c>
    </row>
    <row r="45" spans="1:30" ht="12.75">
      <c r="A45" s="573" t="s">
        <v>341</v>
      </c>
      <c r="B45" s="574">
        <v>89</v>
      </c>
      <c r="C45" s="558">
        <v>66</v>
      </c>
      <c r="D45" s="558">
        <v>27000</v>
      </c>
      <c r="E45" s="558">
        <v>2</v>
      </c>
      <c r="F45" s="558">
        <f t="shared" si="7"/>
        <v>356.23084780388149</v>
      </c>
      <c r="G45" s="558">
        <f t="shared" si="8"/>
        <v>712.46169560776298</v>
      </c>
      <c r="H45" s="558" t="s">
        <v>293</v>
      </c>
      <c r="I45" s="558" t="s">
        <v>293</v>
      </c>
      <c r="J45" s="558" t="s">
        <v>293</v>
      </c>
      <c r="K45" s="558">
        <v>0</v>
      </c>
      <c r="L45" s="558">
        <v>0</v>
      </c>
      <c r="M45" s="558">
        <f t="shared" si="9"/>
        <v>712.46169560776298</v>
      </c>
      <c r="N45" s="554" t="s">
        <v>293</v>
      </c>
      <c r="O45" s="558">
        <v>9</v>
      </c>
      <c r="P45" s="554" t="s">
        <v>323</v>
      </c>
      <c r="Q45" s="558">
        <v>0.25</v>
      </c>
      <c r="R45" s="558">
        <v>5.5</v>
      </c>
      <c r="S45" s="558" t="s">
        <v>293</v>
      </c>
      <c r="T45" s="558">
        <v>35</v>
      </c>
      <c r="U45" s="558" t="s">
        <v>293</v>
      </c>
      <c r="V45" s="558" t="s">
        <v>293</v>
      </c>
      <c r="W45" s="558">
        <v>30</v>
      </c>
      <c r="X45" s="558">
        <v>8</v>
      </c>
      <c r="Y45" s="558" t="s">
        <v>293</v>
      </c>
      <c r="Z45" s="558" t="s">
        <v>293</v>
      </c>
      <c r="AA45" s="558" t="s">
        <v>328</v>
      </c>
      <c r="AB45" s="558" t="s">
        <v>328</v>
      </c>
      <c r="AC45" s="558" t="s">
        <v>293</v>
      </c>
      <c r="AD45" s="575">
        <v>2.5</v>
      </c>
    </row>
    <row r="46" spans="1:30" ht="12.75">
      <c r="A46" s="573" t="s">
        <v>342</v>
      </c>
      <c r="B46" s="574">
        <v>193.5</v>
      </c>
      <c r="C46" s="558">
        <v>160</v>
      </c>
      <c r="D46" s="558">
        <v>34500</v>
      </c>
      <c r="E46" s="558">
        <v>2.7</v>
      </c>
      <c r="F46" s="558">
        <f t="shared" si="7"/>
        <v>196.95978682170542</v>
      </c>
      <c r="G46" s="558">
        <f t="shared" si="8"/>
        <v>531.79142441860472</v>
      </c>
      <c r="H46" s="558">
        <v>148</v>
      </c>
      <c r="I46" s="558">
        <v>4000</v>
      </c>
      <c r="J46" s="558">
        <v>6.5</v>
      </c>
      <c r="K46" s="558">
        <f>((I46/C46)+(I46/H46))/2</f>
        <v>26.013513513513516</v>
      </c>
      <c r="L46" s="558">
        <f>K46*J46</f>
        <v>169.08783783783787</v>
      </c>
      <c r="M46" s="558">
        <f t="shared" si="9"/>
        <v>700.87926225644264</v>
      </c>
      <c r="N46" s="558" t="s">
        <v>293</v>
      </c>
      <c r="O46" s="558">
        <v>8</v>
      </c>
      <c r="P46" s="554" t="s">
        <v>323</v>
      </c>
      <c r="Q46" s="558">
        <v>0.5</v>
      </c>
      <c r="R46" s="558">
        <v>5.5</v>
      </c>
      <c r="S46" s="558" t="s">
        <v>293</v>
      </c>
      <c r="T46" s="558">
        <v>15</v>
      </c>
      <c r="U46" s="558" t="s">
        <v>293</v>
      </c>
      <c r="V46" s="558">
        <v>2.5</v>
      </c>
      <c r="W46" s="558">
        <v>45</v>
      </c>
      <c r="X46" s="558">
        <v>8</v>
      </c>
      <c r="Y46" s="558" t="s">
        <v>293</v>
      </c>
      <c r="Z46" s="558" t="s">
        <v>293</v>
      </c>
      <c r="AA46" s="558" t="s">
        <v>328</v>
      </c>
      <c r="AB46" s="558" t="s">
        <v>328</v>
      </c>
      <c r="AC46" s="558" t="s">
        <v>293</v>
      </c>
      <c r="AD46" s="575">
        <v>2.5</v>
      </c>
    </row>
    <row r="47" spans="1:30" ht="12.75">
      <c r="A47" s="573" t="s">
        <v>343</v>
      </c>
      <c r="B47" s="574">
        <v>89</v>
      </c>
      <c r="C47" s="558">
        <v>66</v>
      </c>
      <c r="D47" s="558">
        <v>27000</v>
      </c>
      <c r="E47" s="558">
        <v>2</v>
      </c>
      <c r="F47" s="558">
        <f t="shared" si="7"/>
        <v>356.23084780388149</v>
      </c>
      <c r="G47" s="558">
        <f t="shared" si="8"/>
        <v>712.46169560776298</v>
      </c>
      <c r="H47" s="554" t="s">
        <v>293</v>
      </c>
      <c r="I47" s="558" t="s">
        <v>293</v>
      </c>
      <c r="J47" s="558" t="s">
        <v>293</v>
      </c>
      <c r="K47" s="558">
        <v>0</v>
      </c>
      <c r="L47" s="558">
        <v>0</v>
      </c>
      <c r="M47" s="558">
        <f t="shared" si="9"/>
        <v>712.46169560776298</v>
      </c>
      <c r="N47" s="558" t="s">
        <v>293</v>
      </c>
      <c r="O47" s="558">
        <v>5</v>
      </c>
      <c r="P47" s="554" t="s">
        <v>323</v>
      </c>
      <c r="Q47" s="558">
        <v>0.25</v>
      </c>
      <c r="R47" s="558">
        <v>5.5</v>
      </c>
      <c r="S47" s="558" t="s">
        <v>293</v>
      </c>
      <c r="T47" s="558">
        <v>35</v>
      </c>
      <c r="U47" s="558" t="s">
        <v>293</v>
      </c>
      <c r="V47" s="558" t="s">
        <v>293</v>
      </c>
      <c r="W47" s="558">
        <v>30</v>
      </c>
      <c r="X47" s="558">
        <v>8</v>
      </c>
      <c r="Y47" s="558" t="s">
        <v>293</v>
      </c>
      <c r="Z47" s="558" t="s">
        <v>293</v>
      </c>
      <c r="AA47" s="558" t="s">
        <v>328</v>
      </c>
      <c r="AB47" s="558" t="s">
        <v>328</v>
      </c>
      <c r="AC47" s="558" t="s">
        <v>293</v>
      </c>
      <c r="AD47" s="575">
        <v>2.5</v>
      </c>
    </row>
    <row r="48" spans="1:30" ht="12.75">
      <c r="A48" s="573" t="s">
        <v>344</v>
      </c>
      <c r="B48" s="574">
        <v>65</v>
      </c>
      <c r="C48" s="558">
        <v>45</v>
      </c>
      <c r="D48" s="558">
        <v>17263</v>
      </c>
      <c r="E48" s="558">
        <v>2.2000000000000002</v>
      </c>
      <c r="F48" s="558">
        <f t="shared" si="7"/>
        <v>324.60341880341878</v>
      </c>
      <c r="G48" s="558">
        <f t="shared" si="8"/>
        <v>714.12752136752135</v>
      </c>
      <c r="H48" s="558" t="s">
        <v>293</v>
      </c>
      <c r="I48" s="558" t="s">
        <v>293</v>
      </c>
      <c r="J48" s="558" t="s">
        <v>293</v>
      </c>
      <c r="K48" s="558">
        <v>0</v>
      </c>
      <c r="L48" s="558">
        <v>0</v>
      </c>
      <c r="M48" s="558">
        <f t="shared" si="9"/>
        <v>714.12752136752135</v>
      </c>
      <c r="N48" s="558">
        <v>1000</v>
      </c>
      <c r="O48" s="558">
        <v>5</v>
      </c>
      <c r="P48" s="554" t="s">
        <v>323</v>
      </c>
      <c r="Q48" s="558">
        <v>0.5</v>
      </c>
      <c r="R48" s="558">
        <v>4</v>
      </c>
      <c r="S48" s="558" t="s">
        <v>293</v>
      </c>
      <c r="T48" s="558">
        <v>11</v>
      </c>
      <c r="U48" s="558" t="s">
        <v>293</v>
      </c>
      <c r="V48" s="558" t="s">
        <v>293</v>
      </c>
      <c r="W48" s="558">
        <v>25</v>
      </c>
      <c r="X48" s="558">
        <v>10</v>
      </c>
      <c r="Y48" s="558" t="s">
        <v>293</v>
      </c>
      <c r="Z48" s="558" t="s">
        <v>293</v>
      </c>
      <c r="AA48" s="558" t="s">
        <v>324</v>
      </c>
      <c r="AB48" s="558" t="s">
        <v>324</v>
      </c>
      <c r="AC48" s="558" t="s">
        <v>293</v>
      </c>
      <c r="AD48" s="575">
        <v>4</v>
      </c>
    </row>
    <row r="49" spans="1:30" ht="12.75">
      <c r="A49" s="573" t="s">
        <v>345</v>
      </c>
      <c r="B49" s="574">
        <v>93</v>
      </c>
      <c r="C49" s="558">
        <v>63</v>
      </c>
      <c r="D49" s="558">
        <v>11400</v>
      </c>
      <c r="E49" s="558">
        <v>5</v>
      </c>
      <c r="F49" s="558">
        <f t="shared" si="7"/>
        <v>151.76651305683563</v>
      </c>
      <c r="G49" s="558">
        <f t="shared" si="8"/>
        <v>758.83256528417814</v>
      </c>
      <c r="H49" s="558" t="s">
        <v>293</v>
      </c>
      <c r="I49" s="558" t="s">
        <v>293</v>
      </c>
      <c r="J49" s="558" t="s">
        <v>293</v>
      </c>
      <c r="K49" s="558">
        <v>0</v>
      </c>
      <c r="L49" s="558">
        <v>0</v>
      </c>
      <c r="M49" s="558">
        <f t="shared" si="9"/>
        <v>758.83256528417814</v>
      </c>
      <c r="N49" s="558">
        <v>1000</v>
      </c>
      <c r="O49" s="558">
        <v>5</v>
      </c>
      <c r="P49" s="554" t="s">
        <v>323</v>
      </c>
      <c r="Q49" s="558">
        <v>0.5</v>
      </c>
      <c r="R49" s="558">
        <v>4</v>
      </c>
      <c r="S49" s="558" t="s">
        <v>293</v>
      </c>
      <c r="T49" s="558">
        <v>18</v>
      </c>
      <c r="U49" s="558" t="s">
        <v>293</v>
      </c>
      <c r="V49" s="558" t="s">
        <v>293</v>
      </c>
      <c r="W49" s="558">
        <v>30</v>
      </c>
      <c r="X49" s="558">
        <v>10</v>
      </c>
      <c r="Y49" s="558" t="s">
        <v>293</v>
      </c>
      <c r="Z49" s="558" t="s">
        <v>293</v>
      </c>
      <c r="AA49" s="558" t="s">
        <v>328</v>
      </c>
      <c r="AB49" s="558" t="s">
        <v>324</v>
      </c>
      <c r="AC49" s="558" t="s">
        <v>293</v>
      </c>
      <c r="AD49" s="575">
        <v>4</v>
      </c>
    </row>
    <row r="50" spans="1:30" ht="12.75">
      <c r="A50" s="578" t="s">
        <v>346</v>
      </c>
      <c r="B50" s="574">
        <v>84.46</v>
      </c>
      <c r="C50" s="558">
        <v>57.06</v>
      </c>
      <c r="D50" s="558">
        <v>10800</v>
      </c>
      <c r="E50" s="558">
        <v>5.3</v>
      </c>
      <c r="F50" s="558">
        <f t="shared" si="7"/>
        <v>158.57281478698221</v>
      </c>
      <c r="G50" s="558">
        <f t="shared" si="8"/>
        <v>840.43591837100564</v>
      </c>
      <c r="H50" s="558" t="s">
        <v>293</v>
      </c>
      <c r="I50" s="558" t="s">
        <v>293</v>
      </c>
      <c r="J50" s="558" t="s">
        <v>293</v>
      </c>
      <c r="K50" s="558">
        <v>0</v>
      </c>
      <c r="L50" s="558">
        <v>0</v>
      </c>
      <c r="M50" s="558">
        <f t="shared" si="9"/>
        <v>840.43591837100564</v>
      </c>
      <c r="N50" s="554">
        <v>1000</v>
      </c>
      <c r="O50" s="558">
        <v>5</v>
      </c>
      <c r="P50" s="554" t="s">
        <v>323</v>
      </c>
      <c r="Q50" s="558">
        <v>0.4</v>
      </c>
      <c r="R50" s="558">
        <v>11</v>
      </c>
      <c r="S50" s="558">
        <v>3</v>
      </c>
      <c r="T50" s="558">
        <v>30</v>
      </c>
      <c r="U50" s="558" t="s">
        <v>293</v>
      </c>
      <c r="V50" s="558" t="s">
        <v>293</v>
      </c>
      <c r="W50" s="558">
        <v>45</v>
      </c>
      <c r="X50" s="558">
        <v>11</v>
      </c>
      <c r="Y50" s="558" t="s">
        <v>293</v>
      </c>
      <c r="Z50" s="558">
        <v>6</v>
      </c>
      <c r="AA50" s="558" t="s">
        <v>328</v>
      </c>
      <c r="AB50" s="558" t="s">
        <v>328</v>
      </c>
      <c r="AC50" s="558" t="s">
        <v>293</v>
      </c>
      <c r="AD50" s="575">
        <v>3.6</v>
      </c>
    </row>
    <row r="51" spans="1:30" ht="12.75">
      <c r="A51" s="578" t="s">
        <v>347</v>
      </c>
      <c r="B51" s="579">
        <v>84.46</v>
      </c>
      <c r="C51" s="580">
        <v>57.06</v>
      </c>
      <c r="D51" s="580">
        <v>10800</v>
      </c>
      <c r="E51" s="580">
        <v>5.3</v>
      </c>
      <c r="F51" s="558">
        <f t="shared" si="7"/>
        <v>158.57281478698221</v>
      </c>
      <c r="G51" s="558">
        <f t="shared" si="8"/>
        <v>840.43591837100564</v>
      </c>
      <c r="H51" s="580" t="s">
        <v>293</v>
      </c>
      <c r="I51" s="580" t="s">
        <v>293</v>
      </c>
      <c r="J51" s="580" t="s">
        <v>293</v>
      </c>
      <c r="K51" s="558">
        <v>0</v>
      </c>
      <c r="L51" s="558">
        <v>0</v>
      </c>
      <c r="M51" s="558">
        <f t="shared" si="9"/>
        <v>840.43591837100564</v>
      </c>
      <c r="N51" s="580">
        <v>1000</v>
      </c>
      <c r="O51" s="580">
        <v>5</v>
      </c>
      <c r="P51" s="554" t="s">
        <v>323</v>
      </c>
      <c r="Q51" s="580">
        <v>0.4</v>
      </c>
      <c r="R51" s="580">
        <v>11</v>
      </c>
      <c r="S51" s="580">
        <v>3</v>
      </c>
      <c r="T51" s="580">
        <v>30</v>
      </c>
      <c r="U51" s="558" t="s">
        <v>293</v>
      </c>
      <c r="V51" s="580" t="s">
        <v>293</v>
      </c>
      <c r="W51" s="580">
        <v>45</v>
      </c>
      <c r="X51" s="580">
        <v>11</v>
      </c>
      <c r="Y51" s="580" t="s">
        <v>293</v>
      </c>
      <c r="Z51" s="580">
        <v>6</v>
      </c>
      <c r="AA51" s="580" t="s">
        <v>328</v>
      </c>
      <c r="AB51" s="580" t="s">
        <v>328</v>
      </c>
      <c r="AC51" s="580" t="s">
        <v>348</v>
      </c>
      <c r="AD51" s="581">
        <v>3.6</v>
      </c>
    </row>
    <row r="52" spans="1:30" ht="12.75">
      <c r="A52" s="578" t="s">
        <v>349</v>
      </c>
      <c r="B52" s="579">
        <v>84.46</v>
      </c>
      <c r="C52" s="580">
        <v>57.06</v>
      </c>
      <c r="D52" s="580">
        <v>10800</v>
      </c>
      <c r="E52" s="580">
        <v>5.3</v>
      </c>
      <c r="F52" s="558">
        <f t="shared" si="7"/>
        <v>158.57281478698221</v>
      </c>
      <c r="G52" s="558">
        <f t="shared" si="8"/>
        <v>840.43591837100564</v>
      </c>
      <c r="H52" s="580" t="s">
        <v>293</v>
      </c>
      <c r="I52" s="580" t="s">
        <v>293</v>
      </c>
      <c r="J52" s="580" t="s">
        <v>293</v>
      </c>
      <c r="K52" s="558">
        <v>0</v>
      </c>
      <c r="L52" s="558">
        <v>0</v>
      </c>
      <c r="M52" s="558">
        <f t="shared" si="9"/>
        <v>840.43591837100564</v>
      </c>
      <c r="N52" s="580">
        <v>1000</v>
      </c>
      <c r="O52" s="580">
        <v>5</v>
      </c>
      <c r="P52" s="554" t="s">
        <v>323</v>
      </c>
      <c r="Q52" s="580">
        <v>0.4</v>
      </c>
      <c r="R52" s="580">
        <v>11</v>
      </c>
      <c r="S52" s="580">
        <v>3</v>
      </c>
      <c r="T52" s="580">
        <v>30</v>
      </c>
      <c r="U52" s="558" t="s">
        <v>293</v>
      </c>
      <c r="V52" s="580" t="s">
        <v>293</v>
      </c>
      <c r="W52" s="580">
        <v>45</v>
      </c>
      <c r="X52" s="580">
        <v>11</v>
      </c>
      <c r="Y52" s="580" t="s">
        <v>293</v>
      </c>
      <c r="Z52" s="580">
        <v>6</v>
      </c>
      <c r="AA52" s="580" t="s">
        <v>328</v>
      </c>
      <c r="AB52" s="580" t="s">
        <v>328</v>
      </c>
      <c r="AC52" s="580" t="s">
        <v>348</v>
      </c>
      <c r="AD52" s="581">
        <v>3.6</v>
      </c>
    </row>
    <row r="53" spans="1:30" ht="12.75">
      <c r="A53" s="578" t="s">
        <v>350</v>
      </c>
      <c r="B53" s="576">
        <v>76.930000000000007</v>
      </c>
      <c r="C53" s="554">
        <v>58</v>
      </c>
      <c r="D53" s="554">
        <v>18100</v>
      </c>
      <c r="E53" s="554">
        <v>2.2000000000000002</v>
      </c>
      <c r="F53" s="558">
        <f t="shared" si="7"/>
        <v>273.67389521149994</v>
      </c>
      <c r="G53" s="558">
        <f t="shared" si="8"/>
        <v>602.08256946529991</v>
      </c>
      <c r="H53" s="554" t="s">
        <v>293</v>
      </c>
      <c r="I53" s="554" t="s">
        <v>293</v>
      </c>
      <c r="J53" s="554" t="s">
        <v>293</v>
      </c>
      <c r="K53" s="558">
        <v>0</v>
      </c>
      <c r="L53" s="558">
        <v>0</v>
      </c>
      <c r="M53" s="558">
        <f t="shared" si="9"/>
        <v>602.08256946529991</v>
      </c>
      <c r="N53" s="554">
        <v>1000</v>
      </c>
      <c r="O53" s="554">
        <v>5</v>
      </c>
      <c r="P53" s="554" t="s">
        <v>323</v>
      </c>
      <c r="Q53" s="580">
        <v>0.5</v>
      </c>
      <c r="R53" s="580">
        <v>11</v>
      </c>
      <c r="S53" s="580">
        <v>3</v>
      </c>
      <c r="T53" s="558">
        <v>20</v>
      </c>
      <c r="U53" s="558" t="s">
        <v>293</v>
      </c>
      <c r="V53" s="558" t="s">
        <v>293</v>
      </c>
      <c r="W53" s="580">
        <v>45</v>
      </c>
      <c r="X53" s="580">
        <v>11</v>
      </c>
      <c r="Y53" s="580" t="s">
        <v>293</v>
      </c>
      <c r="Z53" s="580">
        <v>6</v>
      </c>
      <c r="AA53" s="580" t="s">
        <v>328</v>
      </c>
      <c r="AB53" s="558" t="s">
        <v>328</v>
      </c>
      <c r="AC53" s="558" t="s">
        <v>293</v>
      </c>
      <c r="AD53" s="581">
        <v>3.6</v>
      </c>
    </row>
    <row r="54" spans="1:30" ht="12.75">
      <c r="A54" s="578" t="s">
        <v>351</v>
      </c>
      <c r="B54" s="576">
        <v>215</v>
      </c>
      <c r="C54" s="554">
        <v>182</v>
      </c>
      <c r="D54" s="554">
        <v>60000</v>
      </c>
      <c r="E54" s="554">
        <v>1.85</v>
      </c>
      <c r="F54" s="558">
        <f t="shared" si="7"/>
        <v>304.37004855609507</v>
      </c>
      <c r="G54" s="558">
        <f t="shared" si="8"/>
        <v>563.08458982877596</v>
      </c>
      <c r="H54" s="554" t="s">
        <v>293</v>
      </c>
      <c r="I54" s="554" t="s">
        <v>293</v>
      </c>
      <c r="J54" s="554" t="s">
        <v>293</v>
      </c>
      <c r="K54" s="558">
        <v>0</v>
      </c>
      <c r="L54" s="558">
        <v>0</v>
      </c>
      <c r="M54" s="558">
        <f t="shared" si="9"/>
        <v>563.08458982877596</v>
      </c>
      <c r="N54" s="554">
        <v>1000</v>
      </c>
      <c r="O54" s="554">
        <v>10</v>
      </c>
      <c r="P54" s="554" t="s">
        <v>323</v>
      </c>
      <c r="Q54" s="554">
        <v>0.5</v>
      </c>
      <c r="R54" s="554">
        <v>12</v>
      </c>
      <c r="S54" s="554">
        <v>2.2999999999999998</v>
      </c>
      <c r="T54" s="554">
        <v>20</v>
      </c>
      <c r="U54" s="558" t="s">
        <v>293</v>
      </c>
      <c r="V54" s="558">
        <v>2.5</v>
      </c>
      <c r="W54" s="554">
        <v>60</v>
      </c>
      <c r="X54" s="554">
        <v>12</v>
      </c>
      <c r="Y54" s="554" t="s">
        <v>293</v>
      </c>
      <c r="Z54" s="554">
        <v>4</v>
      </c>
      <c r="AA54" s="554" t="s">
        <v>328</v>
      </c>
      <c r="AB54" s="554" t="s">
        <v>328</v>
      </c>
      <c r="AC54" s="558" t="s">
        <v>293</v>
      </c>
      <c r="AD54" s="577">
        <v>2.6</v>
      </c>
    </row>
    <row r="55" spans="1:30" ht="12.75">
      <c r="A55" s="578" t="s">
        <v>352</v>
      </c>
      <c r="B55" s="576">
        <v>237</v>
      </c>
      <c r="C55" s="554">
        <v>162</v>
      </c>
      <c r="D55" s="554">
        <v>50000</v>
      </c>
      <c r="E55" s="554">
        <v>3</v>
      </c>
      <c r="F55" s="558">
        <f t="shared" si="7"/>
        <v>259.80621972183155</v>
      </c>
      <c r="G55" s="558">
        <f t="shared" si="8"/>
        <v>779.41865916549466</v>
      </c>
      <c r="H55" s="554" t="s">
        <v>293</v>
      </c>
      <c r="I55" s="554" t="s">
        <v>293</v>
      </c>
      <c r="J55" s="554" t="s">
        <v>293</v>
      </c>
      <c r="K55" s="558">
        <v>0</v>
      </c>
      <c r="L55" s="558">
        <v>0</v>
      </c>
      <c r="M55" s="558">
        <f t="shared" si="9"/>
        <v>779.41865916549466</v>
      </c>
      <c r="N55" s="554">
        <v>1500</v>
      </c>
      <c r="O55" s="554">
        <v>10</v>
      </c>
      <c r="P55" s="554" t="s">
        <v>323</v>
      </c>
      <c r="Q55" s="558">
        <v>0.5</v>
      </c>
      <c r="R55" s="554">
        <v>16</v>
      </c>
      <c r="S55" s="554">
        <v>4.3</v>
      </c>
      <c r="T55" s="554">
        <v>24</v>
      </c>
      <c r="U55" s="558" t="s">
        <v>293</v>
      </c>
      <c r="V55" s="560">
        <v>1</v>
      </c>
      <c r="W55" s="554">
        <v>55</v>
      </c>
      <c r="X55" s="554">
        <v>15</v>
      </c>
      <c r="Y55" s="554" t="s">
        <v>293</v>
      </c>
      <c r="Z55" s="554">
        <v>8</v>
      </c>
      <c r="AA55" s="554" t="s">
        <v>328</v>
      </c>
      <c r="AB55" s="554" t="s">
        <v>328</v>
      </c>
      <c r="AC55" s="558" t="s">
        <v>293</v>
      </c>
      <c r="AD55" s="577">
        <v>2.6</v>
      </c>
    </row>
    <row r="56" spans="1:30" ht="12.75">
      <c r="A56" s="578" t="s">
        <v>353</v>
      </c>
      <c r="B56" s="576">
        <v>245</v>
      </c>
      <c r="C56" s="554">
        <v>178.5</v>
      </c>
      <c r="D56" s="558">
        <v>25125</v>
      </c>
      <c r="E56" s="554">
        <v>6</v>
      </c>
      <c r="F56" s="558">
        <f t="shared" si="7"/>
        <v>121.65366146458584</v>
      </c>
      <c r="G56" s="558">
        <f t="shared" si="8"/>
        <v>729.92196878751497</v>
      </c>
      <c r="H56" s="554" t="s">
        <v>293</v>
      </c>
      <c r="I56" s="554" t="s">
        <v>293</v>
      </c>
      <c r="J56" s="554" t="s">
        <v>293</v>
      </c>
      <c r="K56" s="558">
        <v>0</v>
      </c>
      <c r="L56" s="558">
        <v>0</v>
      </c>
      <c r="M56" s="558">
        <f t="shared" si="9"/>
        <v>729.92196878751497</v>
      </c>
      <c r="N56" s="554">
        <v>1500</v>
      </c>
      <c r="O56" s="554">
        <v>8</v>
      </c>
      <c r="P56" s="554" t="s">
        <v>323</v>
      </c>
      <c r="Q56" s="558">
        <v>0.35</v>
      </c>
      <c r="R56" s="554">
        <v>18</v>
      </c>
      <c r="S56" s="554">
        <v>4.8</v>
      </c>
      <c r="T56" s="554">
        <v>30</v>
      </c>
      <c r="U56" s="558" t="s">
        <v>293</v>
      </c>
      <c r="V56" s="558">
        <v>0.4</v>
      </c>
      <c r="W56" s="554">
        <v>60</v>
      </c>
      <c r="X56" s="554">
        <v>15</v>
      </c>
      <c r="Y56" s="554" t="s">
        <v>293</v>
      </c>
      <c r="Z56" s="554">
        <v>9</v>
      </c>
      <c r="AA56" s="554" t="s">
        <v>328</v>
      </c>
      <c r="AB56" s="558" t="s">
        <v>293</v>
      </c>
      <c r="AC56" s="554" t="s">
        <v>354</v>
      </c>
      <c r="AD56" s="577">
        <v>2</v>
      </c>
    </row>
    <row r="57" spans="1:30" ht="12.75">
      <c r="A57" s="578" t="s">
        <v>355</v>
      </c>
      <c r="B57" s="582">
        <v>245</v>
      </c>
      <c r="C57" s="554">
        <v>178.5</v>
      </c>
      <c r="D57" s="558">
        <v>25125</v>
      </c>
      <c r="E57" s="583">
        <v>6</v>
      </c>
      <c r="F57" s="558">
        <f t="shared" si="7"/>
        <v>121.65366146458584</v>
      </c>
      <c r="G57" s="558">
        <f t="shared" si="8"/>
        <v>729.92196878751497</v>
      </c>
      <c r="H57" s="583" t="s">
        <v>293</v>
      </c>
      <c r="I57" s="583" t="s">
        <v>293</v>
      </c>
      <c r="J57" s="583" t="s">
        <v>293</v>
      </c>
      <c r="K57" s="558">
        <v>0</v>
      </c>
      <c r="L57" s="558">
        <v>0</v>
      </c>
      <c r="M57" s="558">
        <f t="shared" si="9"/>
        <v>729.92196878751497</v>
      </c>
      <c r="N57" s="583">
        <v>1500</v>
      </c>
      <c r="O57" s="583">
        <v>8</v>
      </c>
      <c r="P57" s="554" t="s">
        <v>323</v>
      </c>
      <c r="Q57" s="558">
        <v>0.35</v>
      </c>
      <c r="R57" s="583">
        <v>18</v>
      </c>
      <c r="S57" s="583">
        <v>4.8</v>
      </c>
      <c r="T57" s="583">
        <v>30</v>
      </c>
      <c r="U57" s="558" t="s">
        <v>293</v>
      </c>
      <c r="V57" s="558">
        <v>0.4</v>
      </c>
      <c r="W57" s="554">
        <v>60</v>
      </c>
      <c r="X57" s="554">
        <v>15</v>
      </c>
      <c r="Y57" s="554" t="s">
        <v>293</v>
      </c>
      <c r="Z57" s="554">
        <v>9</v>
      </c>
      <c r="AA57" s="583" t="s">
        <v>328</v>
      </c>
      <c r="AB57" s="583" t="s">
        <v>328</v>
      </c>
      <c r="AC57" s="554" t="s">
        <v>354</v>
      </c>
      <c r="AD57" s="584">
        <v>2</v>
      </c>
    </row>
    <row r="58" spans="1:30" ht="12.75">
      <c r="A58" s="578" t="s">
        <v>356</v>
      </c>
      <c r="B58" s="576">
        <v>343</v>
      </c>
      <c r="C58" s="554">
        <v>262.60000000000002</v>
      </c>
      <c r="D58" s="554">
        <v>55275</v>
      </c>
      <c r="E58" s="554">
        <v>3.2</v>
      </c>
      <c r="F58" s="558">
        <f t="shared" si="7"/>
        <v>185.82142246518887</v>
      </c>
      <c r="G58" s="558">
        <f t="shared" si="8"/>
        <v>594.62855188860442</v>
      </c>
      <c r="H58" s="554">
        <v>204.5</v>
      </c>
      <c r="I58" s="554">
        <v>26630</v>
      </c>
      <c r="J58" s="554">
        <v>4.8</v>
      </c>
      <c r="K58" s="558">
        <f>((I58/C58)+(I58/H58))/2</f>
        <v>115.81451797615345</v>
      </c>
      <c r="L58" s="558">
        <f>K58*J58</f>
        <v>555.90968628553651</v>
      </c>
      <c r="M58" s="558">
        <f t="shared" si="9"/>
        <v>1150.538238174141</v>
      </c>
      <c r="N58" s="554">
        <v>1750</v>
      </c>
      <c r="O58" s="554">
        <v>8</v>
      </c>
      <c r="P58" s="554" t="s">
        <v>323</v>
      </c>
      <c r="Q58" s="558">
        <v>0.35</v>
      </c>
      <c r="R58" s="554">
        <v>18</v>
      </c>
      <c r="S58" s="554">
        <v>4.8</v>
      </c>
      <c r="T58" s="554">
        <v>35</v>
      </c>
      <c r="U58" s="558" t="s">
        <v>293</v>
      </c>
      <c r="V58" s="558">
        <v>0.4</v>
      </c>
      <c r="W58" s="554">
        <v>60</v>
      </c>
      <c r="X58" s="554">
        <v>15</v>
      </c>
      <c r="Y58" s="554" t="s">
        <v>293</v>
      </c>
      <c r="Z58" s="554">
        <v>9</v>
      </c>
      <c r="AA58" s="554" t="s">
        <v>328</v>
      </c>
      <c r="AB58" s="554" t="s">
        <v>328</v>
      </c>
      <c r="AC58" s="554" t="s">
        <v>354</v>
      </c>
      <c r="AD58" s="577">
        <v>2</v>
      </c>
    </row>
    <row r="59" spans="1:30" ht="12.75">
      <c r="A59" s="578" t="s">
        <v>357</v>
      </c>
      <c r="B59" s="576">
        <v>44</v>
      </c>
      <c r="C59" s="554">
        <v>34</v>
      </c>
      <c r="D59" s="554">
        <v>9500</v>
      </c>
      <c r="E59" s="554">
        <v>3</v>
      </c>
      <c r="F59" s="558">
        <f t="shared" si="7"/>
        <v>247.66042780748666</v>
      </c>
      <c r="G59" s="558">
        <f t="shared" si="8"/>
        <v>742.98128342245991</v>
      </c>
      <c r="H59" s="558" t="s">
        <v>293</v>
      </c>
      <c r="I59" s="554" t="s">
        <v>293</v>
      </c>
      <c r="J59" s="554" t="s">
        <v>293</v>
      </c>
      <c r="K59" s="558">
        <v>0</v>
      </c>
      <c r="L59" s="558">
        <v>0</v>
      </c>
      <c r="M59" s="558">
        <f t="shared" si="9"/>
        <v>742.98128342245991</v>
      </c>
      <c r="N59" s="558" t="s">
        <v>293</v>
      </c>
      <c r="O59" s="554">
        <v>3</v>
      </c>
      <c r="P59" s="554" t="s">
        <v>323</v>
      </c>
      <c r="Q59" s="558">
        <v>0.35</v>
      </c>
      <c r="R59" s="554">
        <v>7.4</v>
      </c>
      <c r="S59" s="554">
        <v>2</v>
      </c>
      <c r="T59" s="554">
        <v>30</v>
      </c>
      <c r="U59" s="558" t="s">
        <v>293</v>
      </c>
      <c r="V59" s="558" t="s">
        <v>293</v>
      </c>
      <c r="W59" s="554">
        <v>45</v>
      </c>
      <c r="X59" s="554">
        <v>7.4</v>
      </c>
      <c r="Y59" s="554" t="s">
        <v>293</v>
      </c>
      <c r="Z59" s="554">
        <v>3</v>
      </c>
      <c r="AA59" s="554" t="s">
        <v>328</v>
      </c>
      <c r="AB59" s="554" t="s">
        <v>328</v>
      </c>
      <c r="AC59" s="558" t="s">
        <v>293</v>
      </c>
      <c r="AD59" s="577">
        <v>5</v>
      </c>
    </row>
    <row r="60" spans="1:30" ht="12.75">
      <c r="A60" s="578" t="s">
        <v>358</v>
      </c>
      <c r="B60" s="576">
        <v>105</v>
      </c>
      <c r="C60" s="554">
        <v>71</v>
      </c>
      <c r="D60" s="554">
        <v>13750</v>
      </c>
      <c r="E60" s="554">
        <v>5.5</v>
      </c>
      <c r="F60" s="558">
        <f t="shared" si="7"/>
        <v>162.30717639168344</v>
      </c>
      <c r="G60" s="558">
        <f t="shared" si="8"/>
        <v>892.68947015425897</v>
      </c>
      <c r="H60" s="554" t="s">
        <v>293</v>
      </c>
      <c r="I60" s="554" t="s">
        <v>293</v>
      </c>
      <c r="J60" s="554" t="s">
        <v>293</v>
      </c>
      <c r="K60" s="558">
        <v>0</v>
      </c>
      <c r="L60" s="558">
        <v>0</v>
      </c>
      <c r="M60" s="558">
        <f t="shared" si="9"/>
        <v>892.68947015425897</v>
      </c>
      <c r="N60" s="558" t="s">
        <v>293</v>
      </c>
      <c r="O60" s="554">
        <v>6</v>
      </c>
      <c r="P60" s="554" t="s">
        <v>323</v>
      </c>
      <c r="Q60" s="558">
        <v>0.15</v>
      </c>
      <c r="R60" s="554">
        <v>11</v>
      </c>
      <c r="S60" s="554">
        <v>3.4</v>
      </c>
      <c r="T60" s="554">
        <v>40</v>
      </c>
      <c r="U60" s="558" t="s">
        <v>293</v>
      </c>
      <c r="V60" s="558" t="s">
        <v>293</v>
      </c>
      <c r="W60" s="554">
        <v>75</v>
      </c>
      <c r="X60" s="554">
        <v>10</v>
      </c>
      <c r="Y60" s="554">
        <v>1</v>
      </c>
      <c r="Z60" s="554">
        <v>6</v>
      </c>
      <c r="AA60" s="554" t="s">
        <v>328</v>
      </c>
      <c r="AB60" s="554" t="s">
        <v>328</v>
      </c>
      <c r="AC60" s="554" t="s">
        <v>354</v>
      </c>
      <c r="AD60" s="577">
        <v>4.5</v>
      </c>
    </row>
    <row r="61" spans="1:30" ht="12.75">
      <c r="A61" s="578" t="s">
        <v>359</v>
      </c>
      <c r="B61" s="574">
        <v>91</v>
      </c>
      <c r="C61" s="558">
        <v>63.6</v>
      </c>
      <c r="D61" s="558">
        <v>11952.69</v>
      </c>
      <c r="E61" s="558">
        <v>5.2</v>
      </c>
      <c r="F61" s="558">
        <f t="shared" si="7"/>
        <v>159.64180955836616</v>
      </c>
      <c r="G61" s="558">
        <f t="shared" si="8"/>
        <v>830.13740970350409</v>
      </c>
      <c r="H61" s="558" t="s">
        <v>293</v>
      </c>
      <c r="I61" s="558" t="s">
        <v>293</v>
      </c>
      <c r="J61" s="558" t="s">
        <v>293</v>
      </c>
      <c r="K61" s="558">
        <v>0</v>
      </c>
      <c r="L61" s="558">
        <v>0</v>
      </c>
      <c r="M61" s="558">
        <f t="shared" si="9"/>
        <v>830.13740970350409</v>
      </c>
      <c r="N61" s="554">
        <v>1000</v>
      </c>
      <c r="O61" s="558">
        <v>6</v>
      </c>
      <c r="P61" s="554" t="s">
        <v>323</v>
      </c>
      <c r="Q61" s="558">
        <v>0.4</v>
      </c>
      <c r="R61" s="558">
        <v>11</v>
      </c>
      <c r="S61" s="558">
        <v>3</v>
      </c>
      <c r="T61" s="558">
        <v>40</v>
      </c>
      <c r="U61" s="558" t="s">
        <v>293</v>
      </c>
      <c r="V61" s="558" t="s">
        <v>293</v>
      </c>
      <c r="W61" s="558">
        <v>60</v>
      </c>
      <c r="X61" s="558">
        <v>11</v>
      </c>
      <c r="Y61" s="558" t="s">
        <v>293</v>
      </c>
      <c r="Z61" s="558">
        <v>6</v>
      </c>
      <c r="AA61" s="558" t="s">
        <v>328</v>
      </c>
      <c r="AB61" s="558" t="s">
        <v>328</v>
      </c>
      <c r="AC61" s="558" t="s">
        <v>348</v>
      </c>
      <c r="AD61" s="575">
        <v>3.6</v>
      </c>
    </row>
    <row r="62" spans="1:30" ht="12.75">
      <c r="A62" s="578" t="s">
        <v>360</v>
      </c>
      <c r="B62" s="574">
        <v>84.5</v>
      </c>
      <c r="C62" s="558">
        <v>59.7</v>
      </c>
      <c r="D62" s="558">
        <v>27900</v>
      </c>
      <c r="E62" s="558">
        <v>2</v>
      </c>
      <c r="F62" s="558">
        <f t="shared" si="7"/>
        <v>398.75709910499239</v>
      </c>
      <c r="G62" s="558">
        <f t="shared" si="8"/>
        <v>797.51419820998478</v>
      </c>
      <c r="H62" s="558" t="s">
        <v>293</v>
      </c>
      <c r="I62" s="558" t="s">
        <v>293</v>
      </c>
      <c r="J62" s="558" t="s">
        <v>293</v>
      </c>
      <c r="K62" s="558">
        <v>0</v>
      </c>
      <c r="L62" s="558">
        <v>0</v>
      </c>
      <c r="M62" s="558">
        <f t="shared" si="9"/>
        <v>797.51419820998478</v>
      </c>
      <c r="N62" s="558">
        <v>1000</v>
      </c>
      <c r="O62" s="558">
        <v>9</v>
      </c>
      <c r="P62" s="554" t="s">
        <v>323</v>
      </c>
      <c r="Q62" s="558">
        <v>0.5</v>
      </c>
      <c r="R62" s="554">
        <v>11</v>
      </c>
      <c r="S62" s="554">
        <v>2.5</v>
      </c>
      <c r="T62" s="558">
        <v>30</v>
      </c>
      <c r="U62" s="558" t="s">
        <v>293</v>
      </c>
      <c r="V62" s="558" t="s">
        <v>293</v>
      </c>
      <c r="W62" s="558">
        <v>40</v>
      </c>
      <c r="X62" s="554">
        <v>11</v>
      </c>
      <c r="Y62" s="558" t="s">
        <v>293</v>
      </c>
      <c r="Z62" s="554">
        <v>6</v>
      </c>
      <c r="AA62" s="558" t="s">
        <v>328</v>
      </c>
      <c r="AB62" s="554" t="s">
        <v>328</v>
      </c>
      <c r="AC62" s="558" t="s">
        <v>293</v>
      </c>
      <c r="AD62" s="575">
        <v>4</v>
      </c>
    </row>
    <row r="63" spans="1:30" ht="12.75">
      <c r="A63" s="578" t="s">
        <v>361</v>
      </c>
      <c r="B63" s="585">
        <v>83</v>
      </c>
      <c r="C63" s="561">
        <v>58.2</v>
      </c>
      <c r="D63" s="561">
        <v>27900</v>
      </c>
      <c r="E63" s="561">
        <v>2</v>
      </c>
      <c r="F63" s="558">
        <f t="shared" si="7"/>
        <v>407.76301080611103</v>
      </c>
      <c r="G63" s="558">
        <f t="shared" si="8"/>
        <v>815.52602161222205</v>
      </c>
      <c r="H63" s="561" t="s">
        <v>293</v>
      </c>
      <c r="I63" s="561" t="s">
        <v>293</v>
      </c>
      <c r="J63" s="561" t="s">
        <v>293</v>
      </c>
      <c r="K63" s="558">
        <v>0</v>
      </c>
      <c r="L63" s="558">
        <v>0</v>
      </c>
      <c r="M63" s="558">
        <f t="shared" si="9"/>
        <v>815.52602161222205</v>
      </c>
      <c r="N63" s="561">
        <v>1000</v>
      </c>
      <c r="O63" s="561">
        <v>9</v>
      </c>
      <c r="P63" s="554" t="s">
        <v>323</v>
      </c>
      <c r="Q63" s="561">
        <v>0.5</v>
      </c>
      <c r="R63" s="561">
        <v>11</v>
      </c>
      <c r="S63" s="561">
        <v>3.4</v>
      </c>
      <c r="T63" s="561">
        <v>35</v>
      </c>
      <c r="U63" s="558" t="s">
        <v>293</v>
      </c>
      <c r="V63" s="561" t="s">
        <v>293</v>
      </c>
      <c r="W63" s="561">
        <v>40</v>
      </c>
      <c r="X63" s="558">
        <v>10</v>
      </c>
      <c r="Y63" s="554">
        <v>1</v>
      </c>
      <c r="Z63" s="561">
        <v>6</v>
      </c>
      <c r="AA63" s="561" t="s">
        <v>328</v>
      </c>
      <c r="AB63" s="561" t="s">
        <v>328</v>
      </c>
      <c r="AC63" s="554" t="s">
        <v>354</v>
      </c>
      <c r="AD63" s="586">
        <v>4</v>
      </c>
    </row>
    <row r="64" spans="1:30" ht="12.75">
      <c r="A64" s="578" t="s">
        <v>362</v>
      </c>
      <c r="B64" s="574">
        <v>121</v>
      </c>
      <c r="C64" s="558">
        <v>108</v>
      </c>
      <c r="D64" s="558">
        <v>37675</v>
      </c>
      <c r="E64" s="558">
        <v>0.78500000000000003</v>
      </c>
      <c r="F64" s="558">
        <f t="shared" si="7"/>
        <v>330.10311447811449</v>
      </c>
      <c r="G64" s="558">
        <f t="shared" si="8"/>
        <v>259.13094486531986</v>
      </c>
      <c r="H64" s="558">
        <v>82.3</v>
      </c>
      <c r="I64" s="558">
        <v>20500</v>
      </c>
      <c r="J64" s="558">
        <v>2.85</v>
      </c>
      <c r="K64" s="558">
        <f t="shared" ref="K64:K65" si="10">((I64/C64)+(I64/H64))/2</f>
        <v>219.45175734665406</v>
      </c>
      <c r="L64" s="558">
        <f t="shared" ref="L64:L65" si="11">K64*J64</f>
        <v>625.43750843796408</v>
      </c>
      <c r="M64" s="558">
        <f t="shared" si="9"/>
        <v>884.56845330328395</v>
      </c>
      <c r="N64" s="558">
        <v>1000</v>
      </c>
      <c r="O64" s="558">
        <v>7</v>
      </c>
      <c r="P64" s="554" t="s">
        <v>323</v>
      </c>
      <c r="Q64" s="558">
        <v>0.5</v>
      </c>
      <c r="R64" s="554">
        <v>11</v>
      </c>
      <c r="S64" s="558">
        <v>3</v>
      </c>
      <c r="T64" s="558">
        <v>40</v>
      </c>
      <c r="U64" s="558" t="s">
        <v>293</v>
      </c>
      <c r="V64" s="558" t="s">
        <v>293</v>
      </c>
      <c r="W64" s="558">
        <v>40</v>
      </c>
      <c r="X64" s="558">
        <v>11</v>
      </c>
      <c r="Y64" s="558" t="s">
        <v>293</v>
      </c>
      <c r="Z64" s="558">
        <v>6</v>
      </c>
      <c r="AA64" s="558" t="s">
        <v>328</v>
      </c>
      <c r="AB64" s="558" t="s">
        <v>328</v>
      </c>
      <c r="AC64" s="558" t="s">
        <v>293</v>
      </c>
      <c r="AD64" s="575">
        <v>3.6</v>
      </c>
    </row>
    <row r="65" spans="1:30" ht="12.75">
      <c r="A65" s="578" t="s">
        <v>363</v>
      </c>
      <c r="B65" s="574">
        <v>115</v>
      </c>
      <c r="C65" s="558">
        <v>95</v>
      </c>
      <c r="D65" s="558">
        <v>35200</v>
      </c>
      <c r="E65" s="558">
        <v>1.25</v>
      </c>
      <c r="F65" s="558">
        <f t="shared" si="7"/>
        <v>338.30663615560638</v>
      </c>
      <c r="G65" s="558">
        <f t="shared" si="8"/>
        <v>422.88329519450798</v>
      </c>
      <c r="H65" s="558">
        <v>74.8</v>
      </c>
      <c r="I65" s="558">
        <v>16160</v>
      </c>
      <c r="J65" s="558">
        <v>2.75</v>
      </c>
      <c r="K65" s="558">
        <f t="shared" si="10"/>
        <v>193.07402195327893</v>
      </c>
      <c r="L65" s="558">
        <f t="shared" si="11"/>
        <v>530.95356037151703</v>
      </c>
      <c r="M65" s="558">
        <f t="shared" si="9"/>
        <v>953.83685556602495</v>
      </c>
      <c r="N65" s="558">
        <v>1500</v>
      </c>
      <c r="O65" s="558">
        <v>7</v>
      </c>
      <c r="P65" s="554" t="s">
        <v>323</v>
      </c>
      <c r="Q65" s="558">
        <v>0.5</v>
      </c>
      <c r="R65" s="554">
        <v>11</v>
      </c>
      <c r="S65" s="558">
        <v>3</v>
      </c>
      <c r="T65" s="558">
        <v>35</v>
      </c>
      <c r="U65" s="558" t="s">
        <v>293</v>
      </c>
      <c r="V65" s="558" t="s">
        <v>293</v>
      </c>
      <c r="W65" s="558">
        <v>40</v>
      </c>
      <c r="X65" s="558">
        <v>11</v>
      </c>
      <c r="Y65" s="558" t="s">
        <v>293</v>
      </c>
      <c r="Z65" s="558">
        <v>6</v>
      </c>
      <c r="AA65" s="558" t="s">
        <v>328</v>
      </c>
      <c r="AB65" s="558" t="s">
        <v>328</v>
      </c>
      <c r="AC65" s="558" t="s">
        <v>293</v>
      </c>
      <c r="AD65" s="575">
        <v>3</v>
      </c>
    </row>
    <row r="66" spans="1:30" ht="12.75">
      <c r="A66" s="578" t="s">
        <v>364</v>
      </c>
      <c r="B66" s="574">
        <v>89</v>
      </c>
      <c r="C66" s="558">
        <v>66</v>
      </c>
      <c r="D66" s="558">
        <v>25000</v>
      </c>
      <c r="E66" s="558">
        <v>2.2000000000000002</v>
      </c>
      <c r="F66" s="558">
        <f t="shared" si="7"/>
        <v>329.8433775961866</v>
      </c>
      <c r="G66" s="558">
        <f t="shared" si="8"/>
        <v>725.65543071161062</v>
      </c>
      <c r="H66" s="554" t="s">
        <v>293</v>
      </c>
      <c r="I66" s="558" t="s">
        <v>293</v>
      </c>
      <c r="J66" s="558" t="s">
        <v>293</v>
      </c>
      <c r="K66" s="558">
        <v>0</v>
      </c>
      <c r="L66" s="558">
        <v>0</v>
      </c>
      <c r="M66" s="558">
        <f t="shared" si="9"/>
        <v>725.65543071161062</v>
      </c>
      <c r="N66" s="558" t="s">
        <v>293</v>
      </c>
      <c r="O66" s="558">
        <v>8</v>
      </c>
      <c r="P66" s="554" t="s">
        <v>323</v>
      </c>
      <c r="Q66" s="558">
        <v>0.25</v>
      </c>
      <c r="R66" s="558">
        <v>11</v>
      </c>
      <c r="S66" s="554">
        <v>3.4</v>
      </c>
      <c r="T66" s="558">
        <v>35</v>
      </c>
      <c r="U66" s="558" t="s">
        <v>293</v>
      </c>
      <c r="V66" s="558" t="s">
        <v>293</v>
      </c>
      <c r="W66" s="558">
        <v>45</v>
      </c>
      <c r="X66" s="558">
        <v>10</v>
      </c>
      <c r="Y66" s="554">
        <v>1</v>
      </c>
      <c r="Z66" s="558">
        <v>6</v>
      </c>
      <c r="AA66" s="558" t="s">
        <v>328</v>
      </c>
      <c r="AB66" s="558" t="s">
        <v>328</v>
      </c>
      <c r="AC66" s="558" t="s">
        <v>354</v>
      </c>
      <c r="AD66" s="575">
        <v>2.4</v>
      </c>
    </row>
    <row r="67" spans="1:30" ht="12.75">
      <c r="A67" s="578" t="s">
        <v>365</v>
      </c>
      <c r="B67" s="574">
        <v>121</v>
      </c>
      <c r="C67" s="558">
        <v>108</v>
      </c>
      <c r="D67" s="558">
        <v>37675</v>
      </c>
      <c r="E67" s="558">
        <v>0.78500000000000003</v>
      </c>
      <c r="F67" s="558">
        <f t="shared" si="7"/>
        <v>330.10311447811449</v>
      </c>
      <c r="G67" s="558">
        <f t="shared" si="8"/>
        <v>259.13094486531986</v>
      </c>
      <c r="H67" s="558">
        <v>82.3</v>
      </c>
      <c r="I67" s="558">
        <v>20500</v>
      </c>
      <c r="J67" s="558">
        <v>2.85</v>
      </c>
      <c r="K67" s="558">
        <f t="shared" ref="K67:K68" si="12">((I67/C67)+(I67/H67))/2</f>
        <v>219.45175734665406</v>
      </c>
      <c r="L67" s="558">
        <f t="shared" ref="L67:L68" si="13">K67*J67</f>
        <v>625.43750843796408</v>
      </c>
      <c r="M67" s="558">
        <f t="shared" si="9"/>
        <v>884.56845330328395</v>
      </c>
      <c r="N67" s="558">
        <v>1000</v>
      </c>
      <c r="O67" s="558">
        <v>7</v>
      </c>
      <c r="P67" s="554" t="s">
        <v>323</v>
      </c>
      <c r="Q67" s="558">
        <v>0.5</v>
      </c>
      <c r="R67" s="554">
        <v>11</v>
      </c>
      <c r="S67" s="558">
        <v>3</v>
      </c>
      <c r="T67" s="558">
        <v>40</v>
      </c>
      <c r="U67" s="558" t="s">
        <v>293</v>
      </c>
      <c r="V67" s="558" t="s">
        <v>293</v>
      </c>
      <c r="W67" s="558">
        <v>40</v>
      </c>
      <c r="X67" s="558">
        <v>11</v>
      </c>
      <c r="Y67" s="558" t="s">
        <v>293</v>
      </c>
      <c r="Z67" s="558">
        <v>6</v>
      </c>
      <c r="AA67" s="558" t="s">
        <v>328</v>
      </c>
      <c r="AB67" s="558" t="s">
        <v>328</v>
      </c>
      <c r="AC67" s="558" t="s">
        <v>293</v>
      </c>
      <c r="AD67" s="575">
        <v>3.6</v>
      </c>
    </row>
    <row r="68" spans="1:30" ht="17.25" customHeight="1">
      <c r="A68" s="578" t="s">
        <v>366</v>
      </c>
      <c r="B68" s="574">
        <v>105</v>
      </c>
      <c r="C68" s="558">
        <v>81</v>
      </c>
      <c r="D68" s="558">
        <v>17600</v>
      </c>
      <c r="E68" s="558">
        <v>3</v>
      </c>
      <c r="F68" s="558">
        <f t="shared" si="7"/>
        <v>192.45149911816577</v>
      </c>
      <c r="G68" s="558">
        <f t="shared" si="8"/>
        <v>577.35449735449731</v>
      </c>
      <c r="H68" s="558">
        <v>63</v>
      </c>
      <c r="I68" s="558">
        <v>7920</v>
      </c>
      <c r="J68" s="558">
        <v>5</v>
      </c>
      <c r="K68" s="558">
        <f t="shared" si="12"/>
        <v>111.74603174603175</v>
      </c>
      <c r="L68" s="558">
        <f t="shared" si="13"/>
        <v>558.73015873015879</v>
      </c>
      <c r="M68" s="558">
        <f t="shared" si="9"/>
        <v>1136.0846560846562</v>
      </c>
      <c r="N68" s="558">
        <v>1000</v>
      </c>
      <c r="O68" s="558">
        <v>7</v>
      </c>
      <c r="P68" s="554" t="s">
        <v>323</v>
      </c>
      <c r="Q68" s="558">
        <v>0.2</v>
      </c>
      <c r="R68" s="554">
        <v>11</v>
      </c>
      <c r="S68" s="558">
        <v>3.8</v>
      </c>
      <c r="T68" s="558">
        <v>50</v>
      </c>
      <c r="U68" s="558" t="s">
        <v>293</v>
      </c>
      <c r="V68" s="558" t="s">
        <v>293</v>
      </c>
      <c r="W68" s="558">
        <v>90</v>
      </c>
      <c r="X68" s="558">
        <v>11</v>
      </c>
      <c r="Y68" s="558">
        <v>1</v>
      </c>
      <c r="Z68" s="558">
        <v>6</v>
      </c>
      <c r="AA68" s="558" t="s">
        <v>328</v>
      </c>
      <c r="AB68" s="558" t="s">
        <v>328</v>
      </c>
      <c r="AC68" s="587" t="s">
        <v>367</v>
      </c>
      <c r="AD68" s="575">
        <v>3.6</v>
      </c>
    </row>
    <row r="69" spans="1:30" ht="12.75">
      <c r="A69" s="588" t="s">
        <v>368</v>
      </c>
      <c r="B69" s="589">
        <v>90</v>
      </c>
      <c r="C69" s="565">
        <v>63</v>
      </c>
      <c r="D69" s="565">
        <v>27000</v>
      </c>
      <c r="E69" s="565">
        <v>2.1</v>
      </c>
      <c r="F69" s="565">
        <f t="shared" si="7"/>
        <v>364.28571428571428</v>
      </c>
      <c r="G69" s="565">
        <f t="shared" si="8"/>
        <v>765</v>
      </c>
      <c r="H69" s="565" t="s">
        <v>293</v>
      </c>
      <c r="I69" s="565" t="s">
        <v>293</v>
      </c>
      <c r="J69" s="565" t="s">
        <v>293</v>
      </c>
      <c r="K69" s="565">
        <v>0</v>
      </c>
      <c r="L69" s="565">
        <v>0</v>
      </c>
      <c r="M69" s="565">
        <f t="shared" si="9"/>
        <v>765</v>
      </c>
      <c r="N69" s="564">
        <v>1000</v>
      </c>
      <c r="O69" s="565">
        <v>5</v>
      </c>
      <c r="P69" s="564" t="s">
        <v>323</v>
      </c>
      <c r="Q69" s="565">
        <v>0.5</v>
      </c>
      <c r="R69" s="565">
        <v>11</v>
      </c>
      <c r="S69" s="565">
        <v>3</v>
      </c>
      <c r="T69" s="565">
        <v>45</v>
      </c>
      <c r="U69" s="565" t="s">
        <v>293</v>
      </c>
      <c r="V69" s="565" t="s">
        <v>293</v>
      </c>
      <c r="W69" s="565">
        <v>40</v>
      </c>
      <c r="X69" s="565">
        <v>11</v>
      </c>
      <c r="Y69" s="565" t="s">
        <v>293</v>
      </c>
      <c r="Z69" s="565">
        <v>6</v>
      </c>
      <c r="AA69" s="565" t="s">
        <v>328</v>
      </c>
      <c r="AB69" s="565" t="s">
        <v>328</v>
      </c>
      <c r="AC69" s="565" t="s">
        <v>293</v>
      </c>
      <c r="AD69" s="590">
        <v>3.6</v>
      </c>
    </row>
    <row r="70" spans="1:30" ht="12.75">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row>
    <row r="71" spans="1:30" ht="12.75">
      <c r="B71" s="21"/>
      <c r="C71" s="21"/>
      <c r="D71" s="21"/>
      <c r="E71" s="21"/>
      <c r="F71" s="21"/>
      <c r="G71" s="21"/>
      <c r="H71" s="21"/>
      <c r="I71" s="21"/>
      <c r="J71" s="21"/>
      <c r="K71" s="21"/>
      <c r="L71" s="21"/>
      <c r="M71" s="21"/>
      <c r="N71" s="21"/>
      <c r="O71" s="21"/>
      <c r="P71" s="21"/>
      <c r="Q71" s="21"/>
      <c r="R71" s="21"/>
      <c r="S71" s="21"/>
      <c r="T71" s="21"/>
      <c r="U71" s="21"/>
      <c r="V71" s="21"/>
      <c r="W71" s="21"/>
      <c r="X71" s="897" t="s">
        <v>369</v>
      </c>
      <c r="Y71" s="898" t="s">
        <v>370</v>
      </c>
      <c r="Z71" s="899" t="s">
        <v>371</v>
      </c>
      <c r="AA71" s="21"/>
      <c r="AB71" s="900"/>
      <c r="AC71" s="900"/>
      <c r="AD71" s="21"/>
    </row>
    <row r="72" spans="1:30" ht="12.75">
      <c r="B72" s="21"/>
      <c r="C72" s="21"/>
      <c r="D72" s="21"/>
      <c r="E72" s="21"/>
      <c r="F72" s="21"/>
      <c r="G72" s="21"/>
      <c r="H72" s="21"/>
      <c r="I72" s="21"/>
      <c r="J72" s="21"/>
      <c r="K72" s="21"/>
      <c r="L72" s="21"/>
      <c r="M72" s="21"/>
      <c r="N72" s="21"/>
      <c r="O72" s="21"/>
      <c r="P72" s="21"/>
      <c r="Q72" s="21"/>
      <c r="R72" s="21"/>
      <c r="S72" s="21"/>
      <c r="T72" s="21"/>
      <c r="U72" s="21"/>
      <c r="V72" s="21"/>
      <c r="W72" s="21"/>
      <c r="X72" s="865"/>
      <c r="Y72" s="869"/>
      <c r="Z72" s="888"/>
      <c r="AA72" s="21"/>
      <c r="AB72" s="868"/>
      <c r="AC72" s="868"/>
      <c r="AD72" s="21"/>
    </row>
    <row r="73" spans="1:30" ht="12.75">
      <c r="A73" s="552" t="s">
        <v>372</v>
      </c>
      <c r="B73" s="591">
        <v>443.613</v>
      </c>
      <c r="C73" s="553">
        <v>273.06299999999999</v>
      </c>
      <c r="D73" s="553">
        <v>14350</v>
      </c>
      <c r="E73" s="553">
        <v>30</v>
      </c>
      <c r="F73" s="553">
        <f t="shared" ref="F73:F84" si="14">((D73/B73)+(D73/C73))/2</f>
        <v>42.449995117183434</v>
      </c>
      <c r="G73" s="553">
        <f t="shared" ref="G73:G84" si="15">F73*E73</f>
        <v>1273.499853515503</v>
      </c>
      <c r="H73" s="553" t="s">
        <v>293</v>
      </c>
      <c r="I73" s="553" t="s">
        <v>293</v>
      </c>
      <c r="J73" s="553" t="s">
        <v>293</v>
      </c>
      <c r="K73" s="553">
        <v>0</v>
      </c>
      <c r="L73" s="553">
        <v>0</v>
      </c>
      <c r="M73" s="553">
        <f t="shared" ref="M73:M84" si="16">G73+L73</f>
        <v>1273.499853515503</v>
      </c>
      <c r="N73" s="553">
        <v>1800</v>
      </c>
      <c r="O73" s="553">
        <v>20</v>
      </c>
      <c r="P73" s="553" t="s">
        <v>373</v>
      </c>
      <c r="Q73" s="553" t="s">
        <v>293</v>
      </c>
      <c r="R73" s="553" t="s">
        <v>293</v>
      </c>
      <c r="S73" s="553">
        <v>16</v>
      </c>
      <c r="T73" s="553">
        <v>17</v>
      </c>
      <c r="U73" s="553" t="s">
        <v>293</v>
      </c>
      <c r="V73" s="553">
        <v>3.5</v>
      </c>
      <c r="W73" s="553">
        <v>60</v>
      </c>
      <c r="X73" s="553" t="s">
        <v>328</v>
      </c>
      <c r="Y73" s="553">
        <v>17.5</v>
      </c>
      <c r="Z73" s="553" t="s">
        <v>324</v>
      </c>
      <c r="AA73" s="891" t="s">
        <v>295</v>
      </c>
      <c r="AB73" s="892"/>
      <c r="AC73" s="892"/>
      <c r="AD73" s="893"/>
    </row>
    <row r="74" spans="1:30" ht="12.75">
      <c r="A74" s="557" t="s">
        <v>374</v>
      </c>
      <c r="B74" s="574">
        <v>463</v>
      </c>
      <c r="C74" s="558">
        <v>293</v>
      </c>
      <c r="D74" s="558">
        <v>14350</v>
      </c>
      <c r="E74" s="558">
        <v>30</v>
      </c>
      <c r="F74" s="558">
        <f t="shared" si="14"/>
        <v>39.984814866687799</v>
      </c>
      <c r="G74" s="558">
        <f t="shared" si="15"/>
        <v>1199.544446000634</v>
      </c>
      <c r="H74" s="558" t="s">
        <v>293</v>
      </c>
      <c r="I74" s="558" t="s">
        <v>293</v>
      </c>
      <c r="J74" s="558" t="s">
        <v>293</v>
      </c>
      <c r="K74" s="558">
        <v>0</v>
      </c>
      <c r="L74" s="558">
        <v>0</v>
      </c>
      <c r="M74" s="558">
        <f t="shared" si="16"/>
        <v>1199.544446000634</v>
      </c>
      <c r="N74" s="558">
        <v>1800</v>
      </c>
      <c r="O74" s="558">
        <v>20</v>
      </c>
      <c r="P74" s="558" t="s">
        <v>373</v>
      </c>
      <c r="Q74" s="558" t="s">
        <v>293</v>
      </c>
      <c r="R74" s="558" t="s">
        <v>293</v>
      </c>
      <c r="S74" s="558">
        <v>16</v>
      </c>
      <c r="T74" s="558">
        <v>17</v>
      </c>
      <c r="U74" s="558" t="s">
        <v>293</v>
      </c>
      <c r="V74" s="558">
        <v>3.5</v>
      </c>
      <c r="W74" s="558">
        <v>60</v>
      </c>
      <c r="X74" s="558" t="s">
        <v>328</v>
      </c>
      <c r="Y74" s="558">
        <v>17.5</v>
      </c>
      <c r="Z74" s="558" t="s">
        <v>324</v>
      </c>
      <c r="AA74" s="868"/>
      <c r="AB74" s="868"/>
      <c r="AC74" s="868"/>
      <c r="AD74" s="894"/>
    </row>
    <row r="75" spans="1:30" ht="12.75">
      <c r="A75" s="557" t="s">
        <v>375</v>
      </c>
      <c r="B75" s="574">
        <v>637.29729999999995</v>
      </c>
      <c r="C75" s="558">
        <v>455.29730000000001</v>
      </c>
      <c r="D75" s="558">
        <v>83900</v>
      </c>
      <c r="E75" s="558">
        <v>5</v>
      </c>
      <c r="F75" s="558">
        <f t="shared" si="14"/>
        <v>157.96245017316221</v>
      </c>
      <c r="G75" s="558">
        <f t="shared" si="15"/>
        <v>789.81225086581105</v>
      </c>
      <c r="H75" s="558">
        <v>342.29730000000001</v>
      </c>
      <c r="I75" s="558">
        <v>12400</v>
      </c>
      <c r="J75" s="558">
        <v>21</v>
      </c>
      <c r="K75" s="558">
        <f t="shared" ref="K75:K76" si="17">((I75/C75)+(I75/H75))/2</f>
        <v>31.730385328201564</v>
      </c>
      <c r="L75" s="558">
        <f t="shared" ref="L75:L76" si="18">K75*J75</f>
        <v>666.3380918922328</v>
      </c>
      <c r="M75" s="558">
        <f t="shared" si="16"/>
        <v>1456.1503427580437</v>
      </c>
      <c r="N75" s="558">
        <v>1800</v>
      </c>
      <c r="O75" s="558">
        <v>20</v>
      </c>
      <c r="P75" s="558" t="s">
        <v>373</v>
      </c>
      <c r="Q75" s="558">
        <v>1.5</v>
      </c>
      <c r="R75" s="558" t="s">
        <v>293</v>
      </c>
      <c r="S75" s="558">
        <v>16</v>
      </c>
      <c r="T75" s="558">
        <v>20</v>
      </c>
      <c r="U75" s="558" t="s">
        <v>293</v>
      </c>
      <c r="V75" s="558" t="s">
        <v>293</v>
      </c>
      <c r="W75" s="558">
        <v>60</v>
      </c>
      <c r="X75" s="558" t="s">
        <v>328</v>
      </c>
      <c r="Y75" s="558">
        <v>15</v>
      </c>
      <c r="Z75" s="558" t="s">
        <v>324</v>
      </c>
      <c r="AA75" s="868"/>
      <c r="AB75" s="868"/>
      <c r="AC75" s="868"/>
      <c r="AD75" s="894"/>
    </row>
    <row r="76" spans="1:30" ht="12.75">
      <c r="A76" s="557" t="s">
        <v>376</v>
      </c>
      <c r="B76" s="574">
        <v>147.87</v>
      </c>
      <c r="C76" s="558">
        <v>131.75</v>
      </c>
      <c r="D76" s="558">
        <v>22300</v>
      </c>
      <c r="E76" s="558">
        <v>1.7</v>
      </c>
      <c r="F76" s="558">
        <f t="shared" si="14"/>
        <v>160.03405216823998</v>
      </c>
      <c r="G76" s="558">
        <f t="shared" si="15"/>
        <v>272.05788868600797</v>
      </c>
      <c r="H76" s="558">
        <v>101.33</v>
      </c>
      <c r="I76" s="558">
        <v>13485</v>
      </c>
      <c r="J76" s="558">
        <v>5.3</v>
      </c>
      <c r="K76" s="558">
        <f t="shared" si="17"/>
        <v>117.71648835197752</v>
      </c>
      <c r="L76" s="558">
        <f t="shared" si="18"/>
        <v>623.8973882654808</v>
      </c>
      <c r="M76" s="558">
        <f t="shared" si="16"/>
        <v>895.95527695148871</v>
      </c>
      <c r="N76" s="558">
        <v>1500</v>
      </c>
      <c r="O76" s="558">
        <v>12</v>
      </c>
      <c r="P76" s="558" t="s">
        <v>373</v>
      </c>
      <c r="Q76" s="558" t="s">
        <v>293</v>
      </c>
      <c r="R76" s="558" t="s">
        <v>293</v>
      </c>
      <c r="S76" s="558">
        <v>16</v>
      </c>
      <c r="T76" s="558">
        <v>35</v>
      </c>
      <c r="U76" s="558" t="s">
        <v>293</v>
      </c>
      <c r="V76" s="558">
        <v>0.6</v>
      </c>
      <c r="W76" s="558">
        <v>55</v>
      </c>
      <c r="X76" s="558" t="s">
        <v>328</v>
      </c>
      <c r="Y76" s="558">
        <v>22.5</v>
      </c>
      <c r="Z76" s="558" t="s">
        <v>324</v>
      </c>
      <c r="AA76" s="868"/>
      <c r="AB76" s="868"/>
      <c r="AC76" s="868"/>
      <c r="AD76" s="894"/>
    </row>
    <row r="77" spans="1:30" ht="12.75">
      <c r="A77" s="557" t="s">
        <v>377</v>
      </c>
      <c r="B77" s="574">
        <v>157</v>
      </c>
      <c r="C77" s="558">
        <v>105.7441</v>
      </c>
      <c r="D77" s="558">
        <v>15542</v>
      </c>
      <c r="E77" s="558">
        <v>7.75</v>
      </c>
      <c r="F77" s="558">
        <f t="shared" si="14"/>
        <v>122.98554893701225</v>
      </c>
      <c r="G77" s="558">
        <f t="shared" si="15"/>
        <v>953.13800426184503</v>
      </c>
      <c r="H77" s="558" t="s">
        <v>293</v>
      </c>
      <c r="I77" s="558" t="s">
        <v>293</v>
      </c>
      <c r="J77" s="558" t="s">
        <v>293</v>
      </c>
      <c r="K77" s="558">
        <v>0</v>
      </c>
      <c r="L77" s="558">
        <v>0</v>
      </c>
      <c r="M77" s="558">
        <f t="shared" si="16"/>
        <v>953.13800426184503</v>
      </c>
      <c r="N77" s="558">
        <v>1500</v>
      </c>
      <c r="O77" s="558">
        <v>12</v>
      </c>
      <c r="P77" s="558" t="s">
        <v>373</v>
      </c>
      <c r="Q77" s="558" t="s">
        <v>293</v>
      </c>
      <c r="R77" s="558" t="s">
        <v>293</v>
      </c>
      <c r="S77" s="558">
        <v>16</v>
      </c>
      <c r="T77" s="558">
        <v>35</v>
      </c>
      <c r="U77" s="558" t="s">
        <v>293</v>
      </c>
      <c r="V77" s="558">
        <v>0.31</v>
      </c>
      <c r="W77" s="558">
        <v>55</v>
      </c>
      <c r="X77" s="558" t="s">
        <v>328</v>
      </c>
      <c r="Y77" s="558">
        <v>25</v>
      </c>
      <c r="Z77" s="558" t="s">
        <v>324</v>
      </c>
      <c r="AA77" s="868"/>
      <c r="AB77" s="868"/>
      <c r="AC77" s="868"/>
      <c r="AD77" s="894"/>
    </row>
    <row r="78" spans="1:30" ht="12.75">
      <c r="A78" s="557" t="s">
        <v>378</v>
      </c>
      <c r="B78" s="574">
        <v>177</v>
      </c>
      <c r="C78" s="558">
        <v>117</v>
      </c>
      <c r="D78" s="558">
        <v>23000</v>
      </c>
      <c r="E78" s="558">
        <v>6</v>
      </c>
      <c r="F78" s="558">
        <f t="shared" si="14"/>
        <v>163.26234970302767</v>
      </c>
      <c r="G78" s="558">
        <f t="shared" si="15"/>
        <v>979.574098218166</v>
      </c>
      <c r="H78" s="558" t="s">
        <v>293</v>
      </c>
      <c r="I78" s="558" t="s">
        <v>293</v>
      </c>
      <c r="J78" s="558" t="s">
        <v>293</v>
      </c>
      <c r="K78" s="558">
        <v>0</v>
      </c>
      <c r="L78" s="558">
        <v>0</v>
      </c>
      <c r="M78" s="558">
        <f t="shared" si="16"/>
        <v>979.574098218166</v>
      </c>
      <c r="N78" s="558">
        <v>1500</v>
      </c>
      <c r="O78" s="558">
        <v>10</v>
      </c>
      <c r="P78" s="558" t="s">
        <v>373</v>
      </c>
      <c r="Q78" s="558" t="s">
        <v>293</v>
      </c>
      <c r="R78" s="558" t="s">
        <v>293</v>
      </c>
      <c r="S78" s="558">
        <v>16</v>
      </c>
      <c r="T78" s="558">
        <v>50</v>
      </c>
      <c r="U78" s="558" t="s">
        <v>293</v>
      </c>
      <c r="V78" s="558">
        <v>0.31</v>
      </c>
      <c r="W78" s="558">
        <v>55</v>
      </c>
      <c r="X78" s="558" t="s">
        <v>328</v>
      </c>
      <c r="Y78" s="558">
        <v>24</v>
      </c>
      <c r="Z78" s="558" t="s">
        <v>324</v>
      </c>
      <c r="AA78" s="868"/>
      <c r="AB78" s="868"/>
      <c r="AC78" s="868"/>
      <c r="AD78" s="894"/>
    </row>
    <row r="79" spans="1:30" ht="12.75">
      <c r="A79" s="557" t="s">
        <v>379</v>
      </c>
      <c r="B79" s="574">
        <v>190</v>
      </c>
      <c r="C79" s="558">
        <v>160</v>
      </c>
      <c r="D79" s="558">
        <v>34500</v>
      </c>
      <c r="E79" s="558">
        <v>2</v>
      </c>
      <c r="F79" s="558">
        <f t="shared" si="14"/>
        <v>198.60197368421052</v>
      </c>
      <c r="G79" s="558">
        <f t="shared" si="15"/>
        <v>397.20394736842104</v>
      </c>
      <c r="H79" s="558">
        <v>120</v>
      </c>
      <c r="I79" s="558">
        <v>18400</v>
      </c>
      <c r="J79" s="558">
        <v>5</v>
      </c>
      <c r="K79" s="558">
        <f t="shared" ref="K79:K84" si="19">((I79/C79)+(I79/H79))/2</f>
        <v>134.16666666666669</v>
      </c>
      <c r="L79" s="558">
        <f t="shared" ref="L79:L84" si="20">K79*J79</f>
        <v>670.83333333333348</v>
      </c>
      <c r="M79" s="558">
        <f t="shared" si="16"/>
        <v>1068.0372807017545</v>
      </c>
      <c r="N79" s="558">
        <v>1500</v>
      </c>
      <c r="O79" s="558">
        <v>10</v>
      </c>
      <c r="P79" s="558" t="s">
        <v>373</v>
      </c>
      <c r="Q79" s="558" t="s">
        <v>293</v>
      </c>
      <c r="R79" s="558" t="s">
        <v>293</v>
      </c>
      <c r="S79" s="558">
        <v>16</v>
      </c>
      <c r="T79" s="558">
        <v>50</v>
      </c>
      <c r="U79" s="558" t="s">
        <v>293</v>
      </c>
      <c r="V79" s="558">
        <v>0.31</v>
      </c>
      <c r="W79" s="558">
        <v>55</v>
      </c>
      <c r="X79" s="558" t="s">
        <v>328</v>
      </c>
      <c r="Y79" s="558">
        <v>24</v>
      </c>
      <c r="Z79" s="558" t="s">
        <v>324</v>
      </c>
      <c r="AA79" s="868"/>
      <c r="AB79" s="868"/>
      <c r="AC79" s="868"/>
      <c r="AD79" s="894"/>
    </row>
    <row r="80" spans="1:30" ht="12.75">
      <c r="A80" s="557" t="s">
        <v>380</v>
      </c>
      <c r="B80" s="574">
        <v>198</v>
      </c>
      <c r="C80" s="558">
        <v>160</v>
      </c>
      <c r="D80" s="558">
        <v>34960</v>
      </c>
      <c r="E80" s="558">
        <v>2.5</v>
      </c>
      <c r="F80" s="558">
        <f t="shared" si="14"/>
        <v>197.53282828282829</v>
      </c>
      <c r="G80" s="558">
        <f t="shared" si="15"/>
        <v>493.83207070707073</v>
      </c>
      <c r="H80" s="558">
        <v>132</v>
      </c>
      <c r="I80" s="558">
        <v>12880</v>
      </c>
      <c r="J80" s="558">
        <v>5</v>
      </c>
      <c r="K80" s="558">
        <f t="shared" si="19"/>
        <v>89.037878787878782</v>
      </c>
      <c r="L80" s="558">
        <f t="shared" si="20"/>
        <v>445.18939393939388</v>
      </c>
      <c r="M80" s="558">
        <f t="shared" si="16"/>
        <v>939.02146464646466</v>
      </c>
      <c r="N80" s="558">
        <v>1500</v>
      </c>
      <c r="O80" s="558">
        <v>10</v>
      </c>
      <c r="P80" s="558" t="s">
        <v>373</v>
      </c>
      <c r="Q80" s="558" t="s">
        <v>293</v>
      </c>
      <c r="R80" s="558" t="s">
        <v>293</v>
      </c>
      <c r="S80" s="558">
        <v>16</v>
      </c>
      <c r="T80" s="558">
        <v>40</v>
      </c>
      <c r="U80" s="558" t="s">
        <v>293</v>
      </c>
      <c r="V80" s="558">
        <v>0.31</v>
      </c>
      <c r="W80" s="558">
        <v>60</v>
      </c>
      <c r="X80" s="558" t="s">
        <v>328</v>
      </c>
      <c r="Y80" s="558">
        <v>20</v>
      </c>
      <c r="Z80" s="558" t="s">
        <v>324</v>
      </c>
      <c r="AA80" s="868"/>
      <c r="AB80" s="868"/>
      <c r="AC80" s="868"/>
      <c r="AD80" s="894"/>
    </row>
    <row r="81" spans="1:30" ht="12.75">
      <c r="A81" s="557" t="s">
        <v>381</v>
      </c>
      <c r="B81" s="574">
        <v>112</v>
      </c>
      <c r="C81" s="558">
        <v>88.3</v>
      </c>
      <c r="D81" s="558">
        <v>20250</v>
      </c>
      <c r="E81" s="558">
        <v>2.75</v>
      </c>
      <c r="F81" s="558">
        <f t="shared" si="14"/>
        <v>205.06769737906487</v>
      </c>
      <c r="G81" s="558">
        <f t="shared" si="15"/>
        <v>563.93616779242836</v>
      </c>
      <c r="H81" s="558">
        <v>70.099999999999994</v>
      </c>
      <c r="I81" s="558">
        <v>10720</v>
      </c>
      <c r="J81" s="558">
        <v>4</v>
      </c>
      <c r="K81" s="558">
        <f t="shared" si="19"/>
        <v>137.16434861700566</v>
      </c>
      <c r="L81" s="558">
        <f t="shared" si="20"/>
        <v>548.65739446802263</v>
      </c>
      <c r="M81" s="558">
        <f t="shared" si="16"/>
        <v>1112.5935622604511</v>
      </c>
      <c r="N81" s="558">
        <v>1500</v>
      </c>
      <c r="O81" s="558">
        <v>12</v>
      </c>
      <c r="P81" s="558" t="s">
        <v>373</v>
      </c>
      <c r="Q81" s="558" t="s">
        <v>293</v>
      </c>
      <c r="R81" s="558" t="s">
        <v>293</v>
      </c>
      <c r="S81" s="558">
        <v>16</v>
      </c>
      <c r="T81" s="558">
        <v>50</v>
      </c>
      <c r="U81" s="558" t="s">
        <v>293</v>
      </c>
      <c r="V81" s="558">
        <v>0.16</v>
      </c>
      <c r="W81" s="558">
        <v>55</v>
      </c>
      <c r="X81" s="558" t="s">
        <v>328</v>
      </c>
      <c r="Y81" s="558">
        <v>5</v>
      </c>
      <c r="Z81" s="558" t="s">
        <v>328</v>
      </c>
      <c r="AA81" s="868"/>
      <c r="AB81" s="868"/>
      <c r="AC81" s="868"/>
      <c r="AD81" s="894"/>
    </row>
    <row r="82" spans="1:30" ht="12.75">
      <c r="A82" s="557" t="s">
        <v>382</v>
      </c>
      <c r="B82" s="574">
        <v>120</v>
      </c>
      <c r="C82" s="558">
        <v>94.94</v>
      </c>
      <c r="D82" s="558">
        <v>21500</v>
      </c>
      <c r="E82" s="558">
        <v>2.74</v>
      </c>
      <c r="F82" s="558">
        <f t="shared" si="14"/>
        <v>202.81274138052103</v>
      </c>
      <c r="G82" s="558">
        <f t="shared" si="15"/>
        <v>555.70691138262771</v>
      </c>
      <c r="H82" s="558">
        <v>76.75</v>
      </c>
      <c r="I82" s="558">
        <v>11280</v>
      </c>
      <c r="J82" s="558">
        <v>3.79</v>
      </c>
      <c r="K82" s="558">
        <f t="shared" si="19"/>
        <v>132.89128261360338</v>
      </c>
      <c r="L82" s="558">
        <f t="shared" si="20"/>
        <v>503.65796110555681</v>
      </c>
      <c r="M82" s="558">
        <f t="shared" si="16"/>
        <v>1059.3648724881846</v>
      </c>
      <c r="N82" s="558">
        <v>1500</v>
      </c>
      <c r="O82" s="558">
        <v>12</v>
      </c>
      <c r="P82" s="558" t="s">
        <v>373</v>
      </c>
      <c r="Q82" s="558" t="s">
        <v>293</v>
      </c>
      <c r="R82" s="558" t="s">
        <v>293</v>
      </c>
      <c r="S82" s="558">
        <v>16</v>
      </c>
      <c r="T82" s="558">
        <v>40</v>
      </c>
      <c r="U82" s="558" t="s">
        <v>293</v>
      </c>
      <c r="V82" s="558">
        <v>0.31</v>
      </c>
      <c r="W82" s="558">
        <v>55</v>
      </c>
      <c r="X82" s="558" t="s">
        <v>328</v>
      </c>
      <c r="Y82" s="558">
        <v>27.5</v>
      </c>
      <c r="Z82" s="558" t="s">
        <v>324</v>
      </c>
      <c r="AA82" s="868"/>
      <c r="AB82" s="868"/>
      <c r="AC82" s="868"/>
      <c r="AD82" s="894"/>
    </row>
    <row r="83" spans="1:30" ht="12.75">
      <c r="A83" s="557" t="s">
        <v>383</v>
      </c>
      <c r="B83" s="574">
        <v>118</v>
      </c>
      <c r="C83" s="558">
        <v>92.94</v>
      </c>
      <c r="D83" s="558">
        <v>21500</v>
      </c>
      <c r="E83" s="558">
        <v>2.74</v>
      </c>
      <c r="F83" s="558">
        <f t="shared" si="14"/>
        <v>206.76771600412877</v>
      </c>
      <c r="G83" s="558">
        <f t="shared" si="15"/>
        <v>566.54354185131285</v>
      </c>
      <c r="H83" s="558">
        <v>74.75</v>
      </c>
      <c r="I83" s="558">
        <v>11280</v>
      </c>
      <c r="J83" s="558">
        <v>3.79</v>
      </c>
      <c r="K83" s="558">
        <f t="shared" si="19"/>
        <v>136.1358174763738</v>
      </c>
      <c r="L83" s="558">
        <f t="shared" si="20"/>
        <v>515.95474823545669</v>
      </c>
      <c r="M83" s="558">
        <f t="shared" si="16"/>
        <v>1082.4982900867694</v>
      </c>
      <c r="N83" s="558">
        <v>1500</v>
      </c>
      <c r="O83" s="558">
        <v>12</v>
      </c>
      <c r="P83" s="558" t="s">
        <v>373</v>
      </c>
      <c r="Q83" s="558" t="s">
        <v>293</v>
      </c>
      <c r="R83" s="558" t="s">
        <v>293</v>
      </c>
      <c r="S83" s="558">
        <v>16</v>
      </c>
      <c r="T83" s="558">
        <v>40</v>
      </c>
      <c r="U83" s="558" t="s">
        <v>293</v>
      </c>
      <c r="V83" s="558">
        <v>0.31</v>
      </c>
      <c r="W83" s="558">
        <v>55</v>
      </c>
      <c r="X83" s="558" t="s">
        <v>328</v>
      </c>
      <c r="Y83" s="558">
        <v>27.5</v>
      </c>
      <c r="Z83" s="558" t="s">
        <v>324</v>
      </c>
      <c r="AA83" s="868"/>
      <c r="AB83" s="868"/>
      <c r="AC83" s="868"/>
      <c r="AD83" s="894"/>
    </row>
    <row r="84" spans="1:30" ht="12.75">
      <c r="A84" s="563" t="s">
        <v>384</v>
      </c>
      <c r="B84" s="589">
        <v>222</v>
      </c>
      <c r="C84" s="565">
        <v>175</v>
      </c>
      <c r="D84" s="565">
        <v>36800</v>
      </c>
      <c r="E84" s="565">
        <v>3</v>
      </c>
      <c r="F84" s="565">
        <f t="shared" si="14"/>
        <v>188.02574002574002</v>
      </c>
      <c r="G84" s="565">
        <f t="shared" si="15"/>
        <v>564.07722007722009</v>
      </c>
      <c r="H84" s="565">
        <v>155</v>
      </c>
      <c r="I84" s="565">
        <v>10400</v>
      </c>
      <c r="J84" s="565">
        <v>4.5</v>
      </c>
      <c r="K84" s="565">
        <f t="shared" si="19"/>
        <v>63.262672811059907</v>
      </c>
      <c r="L84" s="565">
        <f t="shared" si="20"/>
        <v>284.68202764976957</v>
      </c>
      <c r="M84" s="565">
        <f t="shared" si="16"/>
        <v>848.75924772698966</v>
      </c>
      <c r="N84" s="565">
        <v>1500</v>
      </c>
      <c r="O84" s="565">
        <v>12</v>
      </c>
      <c r="P84" s="565" t="s">
        <v>373</v>
      </c>
      <c r="Q84" s="565" t="s">
        <v>293</v>
      </c>
      <c r="R84" s="565" t="s">
        <v>293</v>
      </c>
      <c r="S84" s="565">
        <v>16</v>
      </c>
      <c r="T84" s="565">
        <v>32</v>
      </c>
      <c r="U84" s="565" t="s">
        <v>293</v>
      </c>
      <c r="V84" s="565">
        <v>0.31</v>
      </c>
      <c r="W84" s="565">
        <v>55</v>
      </c>
      <c r="X84" s="565" t="s">
        <v>328</v>
      </c>
      <c r="Y84" s="565">
        <v>20</v>
      </c>
      <c r="Z84" s="565" t="s">
        <v>324</v>
      </c>
      <c r="AA84" s="869"/>
      <c r="AB84" s="869"/>
      <c r="AC84" s="869"/>
      <c r="AD84" s="888"/>
    </row>
  </sheetData>
  <mergeCells count="8">
    <mergeCell ref="AA73:AD84"/>
    <mergeCell ref="B1:E1"/>
    <mergeCell ref="X3:AD25"/>
    <mergeCell ref="X71:X72"/>
    <mergeCell ref="Y71:Y72"/>
    <mergeCell ref="Z71:Z72"/>
    <mergeCell ref="AB71:AB72"/>
    <mergeCell ref="AC71:AC72"/>
  </mergeCells>
  <conditionalFormatting sqref="B3:W25 B29:AD69 B73:AC84">
    <cfRule type="expression" dxfId="72" priority="5">
      <formula>ISEVEN(COLUMN())</formula>
    </cfRule>
  </conditionalFormatting>
  <conditionalFormatting sqref="B73:AC84 B29:AD69 B3:W25">
    <cfRule type="expression" dxfId="71" priority="4">
      <formula>ISODD(COLUMN())</formula>
    </cfRule>
  </conditionalFormatting>
  <conditionalFormatting sqref="M3:M25">
    <cfRule type="colorScale" priority="1">
      <colorScale>
        <cfvo type="min"/>
        <cfvo type="percentile" val="50"/>
        <cfvo type="max"/>
        <color rgb="FFE67C73"/>
        <color rgb="FFD9D9D9"/>
        <color rgb="FF57BB8A"/>
      </colorScale>
    </cfRule>
  </conditionalFormatting>
  <conditionalFormatting sqref="M29:M69">
    <cfRule type="colorScale" priority="2">
      <colorScale>
        <cfvo type="min"/>
        <cfvo type="percentile" val="50"/>
        <cfvo type="max"/>
        <color rgb="FFE67C73"/>
        <color rgb="FFD9D9D9"/>
        <color rgb="FF57BB8A"/>
      </colorScale>
    </cfRule>
  </conditionalFormatting>
  <conditionalFormatting sqref="M73:M84">
    <cfRule type="colorScale" priority="3">
      <colorScale>
        <cfvo type="min"/>
        <cfvo type="percentile" val="50"/>
        <cfvo type="max"/>
        <color rgb="FFE67C73"/>
        <color rgb="FFD9D9D9"/>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279"/>
  <sheetViews>
    <sheetView showGridLines="0" workbookViewId="0"/>
  </sheetViews>
  <sheetFormatPr defaultColWidth="12.5703125" defaultRowHeight="15.75" customHeight="1"/>
  <sheetData>
    <row r="1" spans="1:15" ht="15.75" customHeight="1">
      <c r="A1" s="901" t="s">
        <v>385</v>
      </c>
      <c r="B1" s="892"/>
      <c r="C1" s="892"/>
      <c r="D1" s="892"/>
      <c r="E1" s="892"/>
      <c r="F1" s="893"/>
      <c r="G1" s="902" t="s">
        <v>386</v>
      </c>
      <c r="H1" s="892"/>
      <c r="I1" s="893"/>
    </row>
    <row r="2" spans="1:15" ht="15.75" customHeight="1">
      <c r="A2" s="864"/>
      <c r="B2" s="868"/>
      <c r="C2" s="868"/>
      <c r="D2" s="868"/>
      <c r="E2" s="868"/>
      <c r="F2" s="894"/>
      <c r="G2" s="864"/>
      <c r="H2" s="868"/>
      <c r="I2" s="894"/>
    </row>
    <row r="3" spans="1:15" ht="15.75" customHeight="1">
      <c r="A3" s="864"/>
      <c r="B3" s="868"/>
      <c r="C3" s="868"/>
      <c r="D3" s="868"/>
      <c r="E3" s="868"/>
      <c r="F3" s="894"/>
      <c r="G3" s="864"/>
      <c r="H3" s="868"/>
      <c r="I3" s="894"/>
    </row>
    <row r="4" spans="1:15" ht="15.75" customHeight="1">
      <c r="A4" s="864"/>
      <c r="B4" s="868"/>
      <c r="C4" s="868"/>
      <c r="D4" s="868"/>
      <c r="E4" s="868"/>
      <c r="F4" s="894"/>
      <c r="G4" s="864"/>
      <c r="H4" s="868"/>
      <c r="I4" s="894"/>
    </row>
    <row r="5" spans="1:15" ht="15.75" customHeight="1">
      <c r="A5" s="865"/>
      <c r="B5" s="869"/>
      <c r="C5" s="869"/>
      <c r="D5" s="869"/>
      <c r="E5" s="869"/>
      <c r="F5" s="888"/>
      <c r="G5" s="865"/>
      <c r="H5" s="869"/>
      <c r="I5" s="888"/>
    </row>
    <row r="6" spans="1:15" ht="15.75" customHeight="1">
      <c r="A6" s="901" t="s">
        <v>387</v>
      </c>
      <c r="B6" s="892"/>
      <c r="C6" s="892"/>
      <c r="D6" s="892"/>
      <c r="E6" s="892"/>
      <c r="F6" s="893"/>
      <c r="G6" s="551"/>
      <c r="H6" s="551"/>
      <c r="I6" s="551"/>
    </row>
    <row r="7" spans="1:15" ht="15.75" customHeight="1">
      <c r="A7" s="865"/>
      <c r="B7" s="869"/>
      <c r="C7" s="869"/>
      <c r="D7" s="869"/>
      <c r="E7" s="869"/>
      <c r="F7" s="888"/>
      <c r="G7" s="551"/>
      <c r="H7" s="551"/>
      <c r="I7" s="551"/>
    </row>
    <row r="8" spans="1:15" ht="15.75" customHeight="1">
      <c r="A8" s="903" t="s">
        <v>388</v>
      </c>
      <c r="B8" s="868"/>
      <c r="C8" s="868"/>
      <c r="D8" s="868"/>
      <c r="E8" s="868"/>
      <c r="F8" s="868"/>
      <c r="G8" s="868"/>
      <c r="H8" s="868"/>
      <c r="I8" s="868"/>
    </row>
    <row r="9" spans="1:15" ht="15.75" customHeight="1">
      <c r="A9" s="868"/>
      <c r="B9" s="868"/>
      <c r="C9" s="868"/>
      <c r="D9" s="868"/>
      <c r="E9" s="868"/>
      <c r="F9" s="868"/>
      <c r="G9" s="868"/>
      <c r="H9" s="868"/>
      <c r="I9" s="868"/>
    </row>
    <row r="11" spans="1:15" ht="15.75" customHeight="1">
      <c r="A11" s="592" t="s">
        <v>389</v>
      </c>
    </row>
    <row r="12" spans="1:15" ht="15.75" customHeight="1">
      <c r="G12" s="592" t="s">
        <v>390</v>
      </c>
      <c r="N12" s="592" t="s">
        <v>391</v>
      </c>
      <c r="O12" s="592" t="s">
        <v>390</v>
      </c>
    </row>
    <row r="41" spans="1:1" ht="12.75">
      <c r="A41" s="592" t="s">
        <v>392</v>
      </c>
    </row>
    <row r="69" spans="1:8" ht="12.75">
      <c r="A69" s="592" t="s">
        <v>393</v>
      </c>
      <c r="H69" s="592" t="s">
        <v>394</v>
      </c>
    </row>
    <row r="100" spans="1:8" ht="12.75">
      <c r="A100" s="592" t="s">
        <v>395</v>
      </c>
      <c r="H100" s="592" t="s">
        <v>33</v>
      </c>
    </row>
    <row r="131" spans="1:8" ht="12.75">
      <c r="A131" s="592" t="s">
        <v>396</v>
      </c>
      <c r="H131" s="592" t="s">
        <v>397</v>
      </c>
    </row>
    <row r="161" spans="1:7" ht="12.75">
      <c r="A161" s="592" t="s">
        <v>398</v>
      </c>
      <c r="G161" s="592" t="s">
        <v>390</v>
      </c>
    </row>
    <row r="188" spans="1:14" ht="12.75">
      <c r="A188" s="592" t="s">
        <v>71</v>
      </c>
      <c r="H188" s="592" t="s">
        <v>399</v>
      </c>
      <c r="N188" s="592" t="s">
        <v>400</v>
      </c>
    </row>
    <row r="218" spans="1:8" ht="12.75">
      <c r="A218" s="592" t="s">
        <v>401</v>
      </c>
      <c r="H218" s="592" t="s">
        <v>402</v>
      </c>
    </row>
    <row r="249" spans="1:8" ht="12.75">
      <c r="A249" s="592" t="s">
        <v>403</v>
      </c>
      <c r="H249" s="592" t="s">
        <v>404</v>
      </c>
    </row>
    <row r="279" spans="1:8" ht="12.75">
      <c r="A279" s="592" t="s">
        <v>58</v>
      </c>
      <c r="H279" s="592" t="s">
        <v>405</v>
      </c>
    </row>
  </sheetData>
  <mergeCells count="4">
    <mergeCell ref="A1:F5"/>
    <mergeCell ref="G1:I5"/>
    <mergeCell ref="A6:F7"/>
    <mergeCell ref="A8:I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234"/>
  <sheetViews>
    <sheetView showGridLines="0" workbookViewId="0">
      <pane ySplit="2" topLeftCell="A3" activePane="bottomLeft" state="frozen"/>
      <selection pane="bottomLeft" activeCell="B4" sqref="B4"/>
    </sheetView>
  </sheetViews>
  <sheetFormatPr defaultColWidth="12.5703125" defaultRowHeight="15.75" customHeight="1"/>
  <cols>
    <col min="2" max="2" width="26.28515625" customWidth="1"/>
    <col min="6" max="6" width="8" customWidth="1"/>
    <col min="9" max="9" width="11.42578125" customWidth="1"/>
    <col min="10" max="10" width="18.42578125" customWidth="1"/>
    <col min="11" max="11" width="21.85546875" customWidth="1"/>
    <col min="12" max="12" width="8.5703125" customWidth="1"/>
    <col min="13" max="14" width="16" customWidth="1"/>
    <col min="15" max="15" width="18.140625" customWidth="1"/>
    <col min="16" max="16" width="15.85546875" customWidth="1"/>
  </cols>
  <sheetData>
    <row r="1" spans="1:27" ht="27" customHeight="1">
      <c r="A1" s="907" t="s">
        <v>12</v>
      </c>
      <c r="B1" s="909" t="s">
        <v>13</v>
      </c>
      <c r="C1" s="911" t="s">
        <v>406</v>
      </c>
      <c r="D1" s="892"/>
      <c r="E1" s="893"/>
      <c r="F1" s="912" t="s">
        <v>407</v>
      </c>
      <c r="G1" s="913" t="s">
        <v>408</v>
      </c>
      <c r="H1" s="868"/>
      <c r="I1" s="868"/>
      <c r="J1" s="868"/>
      <c r="K1" s="868"/>
      <c r="L1" s="868"/>
      <c r="M1" s="593"/>
      <c r="N1" s="593"/>
      <c r="O1" s="593"/>
      <c r="P1" s="593"/>
      <c r="Q1" s="593"/>
      <c r="R1" s="593"/>
      <c r="S1" s="593"/>
      <c r="T1" s="593"/>
      <c r="U1" s="593"/>
      <c r="V1" s="593"/>
      <c r="W1" s="593"/>
      <c r="X1" s="593"/>
      <c r="Y1" s="593"/>
      <c r="Z1" s="593"/>
      <c r="AA1" s="593"/>
    </row>
    <row r="2" spans="1:27" ht="27" customHeight="1">
      <c r="A2" s="908"/>
      <c r="B2" s="910"/>
      <c r="C2" s="594" t="s">
        <v>409</v>
      </c>
      <c r="D2" s="595" t="s">
        <v>410</v>
      </c>
      <c r="E2" s="596" t="s">
        <v>411</v>
      </c>
      <c r="F2" s="868"/>
      <c r="G2" s="914" t="s">
        <v>412</v>
      </c>
      <c r="H2" s="868"/>
      <c r="I2" s="868"/>
      <c r="J2" s="868"/>
      <c r="K2" s="868"/>
      <c r="L2" s="868"/>
      <c r="M2" s="593"/>
      <c r="N2" s="593"/>
      <c r="O2" s="593"/>
      <c r="P2" s="593"/>
      <c r="Q2" s="593"/>
      <c r="R2" s="593"/>
      <c r="S2" s="593"/>
      <c r="T2" s="593"/>
      <c r="U2" s="593"/>
      <c r="V2" s="593"/>
      <c r="W2" s="593"/>
      <c r="X2" s="593"/>
      <c r="Y2" s="593"/>
      <c r="Z2" s="593"/>
      <c r="AA2" s="593"/>
    </row>
    <row r="3" spans="1:27" ht="12.75">
      <c r="A3" s="866">
        <v>13.7</v>
      </c>
      <c r="B3" s="80" t="s">
        <v>22</v>
      </c>
      <c r="C3" s="597">
        <f>D3*0.621371</f>
        <v>954.42585600000007</v>
      </c>
      <c r="D3" s="598">
        <v>1536</v>
      </c>
      <c r="E3" s="599">
        <f t="shared" ref="E3:E84" si="0">D3*0.539957</f>
        <v>829.37395200000003</v>
      </c>
      <c r="F3" s="600"/>
      <c r="I3" s="593"/>
      <c r="J3" s="593"/>
      <c r="K3" s="593"/>
      <c r="L3" s="593"/>
      <c r="M3" s="593"/>
      <c r="N3" s="593"/>
      <c r="O3" s="593"/>
      <c r="P3" s="593"/>
      <c r="Q3" s="593"/>
      <c r="R3" s="593"/>
      <c r="S3" s="593"/>
      <c r="T3" s="593"/>
      <c r="U3" s="593"/>
      <c r="V3" s="593"/>
      <c r="W3" s="593"/>
      <c r="X3" s="593"/>
      <c r="Y3" s="593"/>
      <c r="Z3" s="593"/>
      <c r="AA3" s="593"/>
    </row>
    <row r="4" spans="1:27" ht="12.75">
      <c r="A4" s="864"/>
      <c r="B4" s="62" t="s">
        <v>25</v>
      </c>
      <c r="C4" s="601">
        <f t="shared" ref="C4:C7" si="1">0.621371*D4</f>
        <v>939.51295200000004</v>
      </c>
      <c r="D4" s="602">
        <v>1512</v>
      </c>
      <c r="E4" s="603">
        <f t="shared" si="0"/>
        <v>816.414984</v>
      </c>
      <c r="F4" s="600"/>
      <c r="Q4" s="593"/>
      <c r="R4" s="593"/>
      <c r="S4" s="593"/>
      <c r="T4" s="593"/>
      <c r="U4" s="593"/>
      <c r="V4" s="593"/>
      <c r="W4" s="593"/>
      <c r="X4" s="593"/>
      <c r="Y4" s="593"/>
      <c r="Z4" s="593"/>
      <c r="AA4" s="593"/>
    </row>
    <row r="5" spans="1:27" ht="12.75">
      <c r="A5" s="864"/>
      <c r="B5" s="52" t="s">
        <v>24</v>
      </c>
      <c r="C5" s="601">
        <f t="shared" si="1"/>
        <v>937.027468</v>
      </c>
      <c r="D5" s="602">
        <v>1508</v>
      </c>
      <c r="E5" s="603">
        <f t="shared" si="0"/>
        <v>814.25515600000006</v>
      </c>
      <c r="F5" s="600"/>
      <c r="Q5" s="593"/>
      <c r="R5" s="593"/>
      <c r="S5" s="593"/>
      <c r="T5" s="593"/>
      <c r="U5" s="593"/>
      <c r="V5" s="593"/>
      <c r="W5" s="593"/>
      <c r="X5" s="593"/>
      <c r="Y5" s="593"/>
      <c r="Z5" s="593"/>
      <c r="AA5" s="593"/>
    </row>
    <row r="6" spans="1:27" ht="12.75">
      <c r="A6" s="864"/>
      <c r="B6" s="62" t="s">
        <v>18</v>
      </c>
      <c r="C6" s="601">
        <f t="shared" si="1"/>
        <v>935.16335500000002</v>
      </c>
      <c r="D6" s="601">
        <v>1505</v>
      </c>
      <c r="E6" s="603">
        <f t="shared" si="0"/>
        <v>812.63528500000007</v>
      </c>
      <c r="F6" s="600"/>
      <c r="J6" s="905" t="s">
        <v>413</v>
      </c>
      <c r="K6" s="893"/>
      <c r="Q6" s="593"/>
      <c r="R6" s="593"/>
      <c r="S6" s="593"/>
      <c r="T6" s="593"/>
      <c r="U6" s="593"/>
      <c r="V6" s="593"/>
      <c r="W6" s="593"/>
      <c r="X6" s="593"/>
      <c r="Y6" s="593"/>
      <c r="Z6" s="593"/>
      <c r="AA6" s="593"/>
    </row>
    <row r="7" spans="1:27" ht="12.75">
      <c r="A7" s="864"/>
      <c r="B7" s="46" t="s">
        <v>19</v>
      </c>
      <c r="C7" s="601">
        <f t="shared" si="1"/>
        <v>928.94964500000003</v>
      </c>
      <c r="D7" s="601">
        <v>1495</v>
      </c>
      <c r="E7" s="603">
        <f t="shared" si="0"/>
        <v>807.23571500000003</v>
      </c>
      <c r="F7" s="600"/>
      <c r="J7" s="865"/>
      <c r="K7" s="888"/>
      <c r="Q7" s="593"/>
      <c r="R7" s="593"/>
      <c r="S7" s="593"/>
      <c r="T7" s="593"/>
      <c r="U7" s="593"/>
      <c r="V7" s="593"/>
      <c r="W7" s="593"/>
      <c r="X7" s="593"/>
      <c r="Y7" s="593"/>
      <c r="Z7" s="593"/>
      <c r="AA7" s="593"/>
    </row>
    <row r="8" spans="1:27" ht="12.75">
      <c r="A8" s="864"/>
      <c r="B8" s="52" t="s">
        <v>26</v>
      </c>
      <c r="C8" s="601">
        <f>D8*0.621371192</f>
        <v>920.87210654400008</v>
      </c>
      <c r="D8" s="602">
        <v>1482</v>
      </c>
      <c r="E8" s="603">
        <f t="shared" si="0"/>
        <v>800.216274</v>
      </c>
      <c r="G8" s="906" t="s">
        <v>414</v>
      </c>
      <c r="H8" s="880"/>
      <c r="I8" s="880"/>
      <c r="J8" s="880"/>
      <c r="K8" s="880"/>
      <c r="L8" s="880"/>
      <c r="M8" s="880"/>
      <c r="N8" s="881"/>
      <c r="Q8" s="593"/>
      <c r="R8" s="593"/>
      <c r="S8" s="593"/>
      <c r="T8" s="593"/>
      <c r="U8" s="593"/>
      <c r="V8" s="593"/>
      <c r="W8" s="593"/>
      <c r="X8" s="593"/>
      <c r="Y8" s="593"/>
      <c r="Z8" s="593"/>
      <c r="AA8" s="593"/>
    </row>
    <row r="9" spans="1:27" ht="12.75">
      <c r="A9" s="865"/>
      <c r="B9" s="605" t="s">
        <v>21</v>
      </c>
      <c r="C9" s="606">
        <f t="shared" ref="C9:C11" si="2">D9*0.621371</f>
        <v>896.63835300000005</v>
      </c>
      <c r="D9" s="607">
        <v>1443</v>
      </c>
      <c r="E9" s="608">
        <f t="shared" si="0"/>
        <v>779.15795100000003</v>
      </c>
      <c r="G9" s="604" t="s">
        <v>415</v>
      </c>
      <c r="H9" s="609" t="s">
        <v>416</v>
      </c>
      <c r="I9" s="609" t="s">
        <v>417</v>
      </c>
      <c r="J9" s="609" t="s">
        <v>418</v>
      </c>
      <c r="K9" s="609" t="s">
        <v>419</v>
      </c>
      <c r="L9" s="609" t="s">
        <v>420</v>
      </c>
      <c r="M9" s="609" t="s">
        <v>421</v>
      </c>
      <c r="N9" s="610" t="s">
        <v>422</v>
      </c>
      <c r="Q9" s="593"/>
      <c r="R9" s="593"/>
      <c r="S9" s="593"/>
      <c r="T9" s="593"/>
      <c r="U9" s="593"/>
      <c r="V9" s="593"/>
      <c r="W9" s="593"/>
      <c r="X9" s="593"/>
      <c r="Y9" s="593"/>
      <c r="Z9" s="593"/>
      <c r="AA9" s="593"/>
    </row>
    <row r="10" spans="1:27" ht="12.75">
      <c r="A10" s="866">
        <v>13.3</v>
      </c>
      <c r="B10" s="80" t="s">
        <v>29</v>
      </c>
      <c r="C10" s="597">
        <f t="shared" si="2"/>
        <v>966.23190499999998</v>
      </c>
      <c r="D10" s="598">
        <v>1555</v>
      </c>
      <c r="E10" s="599">
        <f t="shared" si="0"/>
        <v>839.63313500000004</v>
      </c>
      <c r="G10" s="611" t="s">
        <v>423</v>
      </c>
      <c r="H10" s="612" t="s">
        <v>424</v>
      </c>
      <c r="I10" s="613">
        <v>16384</v>
      </c>
      <c r="J10" s="614">
        <f t="shared" ref="J10:J29" si="3">I10/343</f>
        <v>47.766763848396501</v>
      </c>
      <c r="K10" s="614">
        <f t="shared" ref="K10:K29" si="4">I10*1.41418457/343</f>
        <v>67.551020393236143</v>
      </c>
      <c r="L10" s="613">
        <v>5</v>
      </c>
      <c r="M10" s="613">
        <v>5763</v>
      </c>
      <c r="N10" s="615">
        <f t="shared" ref="N10:N29" si="5">M10*3.28084</f>
        <v>18907.480919999998</v>
      </c>
      <c r="Q10" s="593"/>
      <c r="R10" s="593"/>
      <c r="S10" s="593"/>
      <c r="T10" s="593"/>
      <c r="U10" s="593"/>
      <c r="V10" s="593"/>
      <c r="W10" s="593"/>
      <c r="X10" s="593"/>
      <c r="Y10" s="593"/>
      <c r="Z10" s="593"/>
      <c r="AA10" s="593"/>
    </row>
    <row r="11" spans="1:27" ht="12.75">
      <c r="A11" s="864"/>
      <c r="B11" s="52" t="s">
        <v>30</v>
      </c>
      <c r="C11" s="601">
        <f t="shared" si="2"/>
        <v>954.42585600000007</v>
      </c>
      <c r="D11" s="602">
        <v>1536</v>
      </c>
      <c r="E11" s="603">
        <f t="shared" si="0"/>
        <v>829.37395200000003</v>
      </c>
      <c r="G11" s="616" t="s">
        <v>425</v>
      </c>
      <c r="H11" s="617" t="s">
        <v>426</v>
      </c>
      <c r="I11" s="618">
        <v>8192</v>
      </c>
      <c r="J11" s="619">
        <f t="shared" si="3"/>
        <v>23.88338192419825</v>
      </c>
      <c r="K11" s="619">
        <f t="shared" si="4"/>
        <v>33.775510196618072</v>
      </c>
      <c r="L11" s="618">
        <v>2</v>
      </c>
      <c r="M11" s="618">
        <v>2088</v>
      </c>
      <c r="N11" s="615">
        <f t="shared" si="5"/>
        <v>6850.3939199999995</v>
      </c>
      <c r="Q11" s="593"/>
      <c r="R11" s="593"/>
      <c r="S11" s="593"/>
      <c r="T11" s="593"/>
      <c r="U11" s="593"/>
      <c r="V11" s="593"/>
      <c r="W11" s="593"/>
      <c r="X11" s="593"/>
      <c r="Y11" s="593"/>
      <c r="Z11" s="593"/>
      <c r="AA11" s="593"/>
    </row>
    <row r="12" spans="1:27" ht="12.75">
      <c r="A12" s="864"/>
      <c r="B12" s="52" t="s">
        <v>31</v>
      </c>
      <c r="C12" s="601">
        <f>D12*0.621371192</f>
        <v>927.70718965599997</v>
      </c>
      <c r="D12" s="602">
        <v>1493</v>
      </c>
      <c r="E12" s="603">
        <f t="shared" si="0"/>
        <v>806.155801</v>
      </c>
      <c r="G12" s="616" t="s">
        <v>427</v>
      </c>
      <c r="H12" s="617" t="s">
        <v>424</v>
      </c>
      <c r="I12" s="618">
        <v>16384</v>
      </c>
      <c r="J12" s="619">
        <f t="shared" si="3"/>
        <v>47.766763848396501</v>
      </c>
      <c r="K12" s="619">
        <f t="shared" si="4"/>
        <v>67.551020393236143</v>
      </c>
      <c r="L12" s="618">
        <v>5</v>
      </c>
      <c r="M12" s="618">
        <v>4964</v>
      </c>
      <c r="N12" s="615">
        <f t="shared" si="5"/>
        <v>16286.089760000001</v>
      </c>
      <c r="Q12" s="593"/>
      <c r="R12" s="593"/>
      <c r="S12" s="593"/>
      <c r="T12" s="593"/>
      <c r="U12" s="593"/>
      <c r="V12" s="593"/>
      <c r="W12" s="593"/>
      <c r="X12" s="593"/>
      <c r="Y12" s="593"/>
      <c r="Z12" s="593"/>
      <c r="AA12" s="593"/>
    </row>
    <row r="13" spans="1:27" ht="12.75">
      <c r="A13" s="864"/>
      <c r="B13" s="52" t="s">
        <v>27</v>
      </c>
      <c r="C13" s="601">
        <f>D13*0.621371</f>
        <v>893.53149800000006</v>
      </c>
      <c r="D13" s="602">
        <v>1438</v>
      </c>
      <c r="E13" s="603">
        <f t="shared" si="0"/>
        <v>776.45816600000001</v>
      </c>
      <c r="G13" s="616" t="s">
        <v>428</v>
      </c>
      <c r="H13" s="617" t="s">
        <v>429</v>
      </c>
      <c r="I13" s="618">
        <v>12288</v>
      </c>
      <c r="J13" s="619">
        <f t="shared" si="3"/>
        <v>35.825072886297377</v>
      </c>
      <c r="K13" s="619">
        <f t="shared" si="4"/>
        <v>50.663265294927115</v>
      </c>
      <c r="L13" s="618">
        <v>2</v>
      </c>
      <c r="M13" s="618">
        <v>4964</v>
      </c>
      <c r="N13" s="615">
        <f t="shared" si="5"/>
        <v>16286.089760000001</v>
      </c>
      <c r="Q13" s="620"/>
      <c r="R13" s="620"/>
      <c r="S13" s="620"/>
      <c r="T13" s="620"/>
      <c r="U13" s="620"/>
      <c r="V13" s="620"/>
      <c r="W13" s="620"/>
      <c r="X13" s="620"/>
      <c r="Y13" s="620"/>
      <c r="Z13" s="620"/>
      <c r="AA13" s="620"/>
    </row>
    <row r="14" spans="1:27" ht="12.75">
      <c r="A14" s="865"/>
      <c r="B14" s="108" t="s">
        <v>33</v>
      </c>
      <c r="C14" s="606">
        <f t="shared" ref="C14:C16" si="6">0.621371*D14</f>
        <v>888.56052999999997</v>
      </c>
      <c r="D14" s="607">
        <v>1430</v>
      </c>
      <c r="E14" s="608">
        <f t="shared" si="0"/>
        <v>772.13851</v>
      </c>
      <c r="G14" s="616" t="s">
        <v>430</v>
      </c>
      <c r="H14" s="617" t="s">
        <v>426</v>
      </c>
      <c r="I14" s="618">
        <v>8192</v>
      </c>
      <c r="J14" s="619">
        <f t="shared" si="3"/>
        <v>23.88338192419825</v>
      </c>
      <c r="K14" s="619">
        <f t="shared" si="4"/>
        <v>33.775510196618072</v>
      </c>
      <c r="L14" s="618">
        <v>2</v>
      </c>
      <c r="M14" s="618">
        <v>5763</v>
      </c>
      <c r="N14" s="615">
        <f t="shared" si="5"/>
        <v>18907.480919999998</v>
      </c>
      <c r="Q14" s="620"/>
      <c r="R14" s="620"/>
      <c r="S14" s="620"/>
      <c r="T14" s="620"/>
      <c r="U14" s="620"/>
      <c r="V14" s="620"/>
      <c r="W14" s="620"/>
      <c r="X14" s="620"/>
      <c r="Y14" s="620"/>
      <c r="Z14" s="620"/>
      <c r="AA14" s="620"/>
    </row>
    <row r="15" spans="1:27" ht="12.75">
      <c r="A15" s="863">
        <v>13</v>
      </c>
      <c r="B15" s="35" t="s">
        <v>40</v>
      </c>
      <c r="C15" s="597">
        <f t="shared" si="6"/>
        <v>956.91134</v>
      </c>
      <c r="D15" s="598">
        <v>1540</v>
      </c>
      <c r="E15" s="599">
        <f t="shared" si="0"/>
        <v>831.53377999999998</v>
      </c>
      <c r="G15" s="616" t="s">
        <v>431</v>
      </c>
      <c r="H15" s="617" t="s">
        <v>426</v>
      </c>
      <c r="I15" s="618">
        <v>8192</v>
      </c>
      <c r="J15" s="619">
        <f t="shared" si="3"/>
        <v>23.88338192419825</v>
      </c>
      <c r="K15" s="619">
        <f t="shared" si="4"/>
        <v>33.775510196618072</v>
      </c>
      <c r="L15" s="618">
        <v>2</v>
      </c>
      <c r="M15" s="618">
        <v>2795</v>
      </c>
      <c r="N15" s="615">
        <f t="shared" si="5"/>
        <v>9169.9477999999999</v>
      </c>
      <c r="Q15" s="620"/>
      <c r="R15" s="620"/>
      <c r="S15" s="620"/>
      <c r="T15" s="620"/>
      <c r="U15" s="620"/>
      <c r="V15" s="620"/>
      <c r="W15" s="620"/>
      <c r="X15" s="620"/>
      <c r="Y15" s="620"/>
      <c r="Z15" s="620"/>
      <c r="AA15" s="620"/>
    </row>
    <row r="16" spans="1:27" ht="12.75">
      <c r="A16" s="864"/>
      <c r="B16" s="62" t="s">
        <v>34</v>
      </c>
      <c r="C16" s="601">
        <f t="shared" si="6"/>
        <v>933.29924200000005</v>
      </c>
      <c r="D16" s="602">
        <v>1502</v>
      </c>
      <c r="E16" s="603">
        <f t="shared" si="0"/>
        <v>811.01541400000008</v>
      </c>
      <c r="G16" s="616" t="s">
        <v>432</v>
      </c>
      <c r="H16" s="617" t="s">
        <v>426</v>
      </c>
      <c r="I16" s="618">
        <v>8192</v>
      </c>
      <c r="J16" s="619">
        <f t="shared" si="3"/>
        <v>23.88338192419825</v>
      </c>
      <c r="K16" s="619">
        <f t="shared" si="4"/>
        <v>33.775510196618072</v>
      </c>
      <c r="L16" s="618">
        <v>3</v>
      </c>
      <c r="M16" s="618">
        <v>2784</v>
      </c>
      <c r="N16" s="615">
        <f t="shared" si="5"/>
        <v>9133.8585600000006</v>
      </c>
    </row>
    <row r="17" spans="1:20" ht="12.75">
      <c r="A17" s="864"/>
      <c r="B17" s="52" t="s">
        <v>41</v>
      </c>
      <c r="C17" s="601">
        <f>D17*0.621371192</f>
        <v>920.87210654400008</v>
      </c>
      <c r="D17" s="602">
        <v>1482</v>
      </c>
      <c r="E17" s="603">
        <f t="shared" si="0"/>
        <v>800.216274</v>
      </c>
      <c r="G17" s="616" t="s">
        <v>433</v>
      </c>
      <c r="H17" s="617" t="s">
        <v>426</v>
      </c>
      <c r="I17" s="618">
        <v>8192</v>
      </c>
      <c r="J17" s="619">
        <f t="shared" si="3"/>
        <v>23.88338192419825</v>
      </c>
      <c r="K17" s="619">
        <f t="shared" si="4"/>
        <v>33.775510196618072</v>
      </c>
      <c r="L17" s="618">
        <v>5</v>
      </c>
      <c r="M17" s="618">
        <v>5763</v>
      </c>
      <c r="N17" s="615">
        <f t="shared" si="5"/>
        <v>18907.480919999998</v>
      </c>
    </row>
    <row r="18" spans="1:20" ht="12.75">
      <c r="A18" s="864"/>
      <c r="B18" s="62" t="s">
        <v>35</v>
      </c>
      <c r="C18" s="601">
        <f t="shared" ref="C18:C20" si="7">0.621371*D18</f>
        <v>907.20166000000006</v>
      </c>
      <c r="D18" s="602">
        <v>1460</v>
      </c>
      <c r="E18" s="603">
        <f t="shared" si="0"/>
        <v>788.33722</v>
      </c>
      <c r="G18" s="616" t="s">
        <v>434</v>
      </c>
      <c r="H18" s="617" t="s">
        <v>426</v>
      </c>
      <c r="I18" s="618">
        <v>8192</v>
      </c>
      <c r="J18" s="619">
        <f t="shared" si="3"/>
        <v>23.88338192419825</v>
      </c>
      <c r="K18" s="619">
        <f t="shared" si="4"/>
        <v>33.775510196618072</v>
      </c>
      <c r="L18" s="618">
        <v>2</v>
      </c>
      <c r="M18" s="618">
        <v>6021</v>
      </c>
      <c r="N18" s="615">
        <f t="shared" si="5"/>
        <v>19753.93764</v>
      </c>
    </row>
    <row r="19" spans="1:20" ht="12.75">
      <c r="A19" s="864"/>
      <c r="B19" s="62" t="s">
        <v>37</v>
      </c>
      <c r="C19" s="601">
        <f t="shared" si="7"/>
        <v>848.17141500000002</v>
      </c>
      <c r="D19" s="602">
        <v>1365</v>
      </c>
      <c r="E19" s="603">
        <f t="shared" si="0"/>
        <v>737.04130500000008</v>
      </c>
      <c r="G19" s="616" t="s">
        <v>435</v>
      </c>
      <c r="H19" s="617" t="s">
        <v>424</v>
      </c>
      <c r="I19" s="618">
        <v>16384</v>
      </c>
      <c r="J19" s="619">
        <f t="shared" si="3"/>
        <v>47.766763848396501</v>
      </c>
      <c r="K19" s="619">
        <f t="shared" si="4"/>
        <v>67.551020393236143</v>
      </c>
      <c r="L19" s="618">
        <v>5</v>
      </c>
      <c r="M19" s="618">
        <v>5763</v>
      </c>
      <c r="N19" s="615">
        <f t="shared" si="5"/>
        <v>18907.480919999998</v>
      </c>
    </row>
    <row r="20" spans="1:20" ht="12.75">
      <c r="A20" s="864"/>
      <c r="B20" s="52" t="s">
        <v>436</v>
      </c>
      <c r="C20" s="601">
        <f t="shared" si="7"/>
        <v>707.12019799999996</v>
      </c>
      <c r="D20" s="602">
        <v>1138</v>
      </c>
      <c r="E20" s="603">
        <f t="shared" si="0"/>
        <v>614.47106600000006</v>
      </c>
      <c r="G20" s="616" t="s">
        <v>437</v>
      </c>
      <c r="H20" s="617" t="s">
        <v>426</v>
      </c>
      <c r="I20" s="618">
        <v>8192</v>
      </c>
      <c r="J20" s="619">
        <f t="shared" si="3"/>
        <v>23.88338192419825</v>
      </c>
      <c r="K20" s="619">
        <f t="shared" si="4"/>
        <v>33.775510196618072</v>
      </c>
      <c r="L20" s="618">
        <v>2</v>
      </c>
      <c r="M20" s="618">
        <v>4963</v>
      </c>
      <c r="N20" s="615">
        <f t="shared" si="5"/>
        <v>16282.808919999999</v>
      </c>
    </row>
    <row r="21" spans="1:20" ht="12.75">
      <c r="A21" s="865"/>
      <c r="B21" s="70" t="s">
        <v>438</v>
      </c>
      <c r="C21" s="606">
        <f>D21*0.621371192</f>
        <v>0</v>
      </c>
      <c r="D21" s="621"/>
      <c r="E21" s="608">
        <f t="shared" si="0"/>
        <v>0</v>
      </c>
      <c r="G21" s="616" t="s">
        <v>439</v>
      </c>
      <c r="H21" s="617" t="s">
        <v>426</v>
      </c>
      <c r="I21" s="618">
        <v>8192</v>
      </c>
      <c r="J21" s="619">
        <f t="shared" si="3"/>
        <v>23.88338192419825</v>
      </c>
      <c r="K21" s="619">
        <f t="shared" si="4"/>
        <v>33.775510196618072</v>
      </c>
      <c r="L21" s="618">
        <v>5</v>
      </c>
      <c r="M21" s="618">
        <v>6021</v>
      </c>
      <c r="N21" s="615">
        <f t="shared" si="5"/>
        <v>19753.93764</v>
      </c>
    </row>
    <row r="22" spans="1:20" ht="12.75">
      <c r="A22" s="866">
        <v>12.7</v>
      </c>
      <c r="B22" s="35" t="s">
        <v>46</v>
      </c>
      <c r="C22" s="597">
        <f>D22*0.621371</f>
        <v>978.65932499999997</v>
      </c>
      <c r="D22" s="598">
        <v>1575</v>
      </c>
      <c r="E22" s="599">
        <f t="shared" si="0"/>
        <v>850.432275</v>
      </c>
      <c r="G22" s="616" t="s">
        <v>440</v>
      </c>
      <c r="H22" s="617" t="s">
        <v>424</v>
      </c>
      <c r="I22" s="618">
        <v>16384</v>
      </c>
      <c r="J22" s="619">
        <f t="shared" si="3"/>
        <v>47.766763848396501</v>
      </c>
      <c r="K22" s="619">
        <f t="shared" si="4"/>
        <v>67.551020393236143</v>
      </c>
      <c r="L22" s="618">
        <v>5</v>
      </c>
      <c r="M22" s="618">
        <v>5763</v>
      </c>
      <c r="N22" s="615">
        <f t="shared" si="5"/>
        <v>18907.480919999998</v>
      </c>
    </row>
    <row r="23" spans="1:20" ht="12.75">
      <c r="A23" s="864"/>
      <c r="B23" s="62" t="s">
        <v>42</v>
      </c>
      <c r="C23" s="601">
        <f t="shared" ref="C23:C25" si="8">0.621371*D23</f>
        <v>938.89158099999997</v>
      </c>
      <c r="D23" s="602">
        <v>1511</v>
      </c>
      <c r="E23" s="603">
        <f t="shared" si="0"/>
        <v>815.87502700000005</v>
      </c>
      <c r="G23" s="616" t="s">
        <v>441</v>
      </c>
      <c r="H23" s="617" t="s">
        <v>424</v>
      </c>
      <c r="I23" s="618">
        <v>16384</v>
      </c>
      <c r="J23" s="619">
        <f t="shared" si="3"/>
        <v>47.766763848396501</v>
      </c>
      <c r="K23" s="619">
        <f t="shared" si="4"/>
        <v>67.551020393236143</v>
      </c>
      <c r="L23" s="618">
        <v>5</v>
      </c>
      <c r="M23" s="618">
        <v>5763</v>
      </c>
      <c r="N23" s="615">
        <f t="shared" si="5"/>
        <v>18907.480919999998</v>
      </c>
    </row>
    <row r="24" spans="1:20" ht="12.75">
      <c r="A24" s="864"/>
      <c r="B24" s="160" t="s">
        <v>393</v>
      </c>
      <c r="C24" s="601">
        <f t="shared" si="8"/>
        <v>855.62786700000004</v>
      </c>
      <c r="D24" s="602">
        <v>1377</v>
      </c>
      <c r="E24" s="603">
        <f t="shared" si="0"/>
        <v>743.52078900000004</v>
      </c>
      <c r="G24" s="616" t="s">
        <v>442</v>
      </c>
      <c r="H24" s="617" t="s">
        <v>424</v>
      </c>
      <c r="I24" s="618">
        <v>16384</v>
      </c>
      <c r="J24" s="619">
        <f t="shared" si="3"/>
        <v>47.766763848396501</v>
      </c>
      <c r="K24" s="619">
        <f t="shared" si="4"/>
        <v>67.551020393236143</v>
      </c>
      <c r="L24" s="618">
        <v>5</v>
      </c>
      <c r="M24" s="618">
        <v>5763</v>
      </c>
      <c r="N24" s="615">
        <f t="shared" si="5"/>
        <v>18907.480919999998</v>
      </c>
    </row>
    <row r="25" spans="1:20" ht="12.75">
      <c r="A25" s="864"/>
      <c r="B25" s="52" t="s">
        <v>45</v>
      </c>
      <c r="C25" s="601">
        <f t="shared" si="8"/>
        <v>850.65689899999995</v>
      </c>
      <c r="D25" s="602">
        <v>1369</v>
      </c>
      <c r="E25" s="603">
        <f t="shared" si="0"/>
        <v>739.20113300000003</v>
      </c>
      <c r="G25" s="616" t="s">
        <v>443</v>
      </c>
      <c r="H25" s="617" t="s">
        <v>426</v>
      </c>
      <c r="I25" s="618">
        <v>8192</v>
      </c>
      <c r="J25" s="619">
        <f t="shared" si="3"/>
        <v>23.88338192419825</v>
      </c>
      <c r="K25" s="619">
        <f t="shared" si="4"/>
        <v>33.775510196618072</v>
      </c>
      <c r="L25" s="618">
        <v>2</v>
      </c>
      <c r="M25" s="618">
        <v>5773</v>
      </c>
      <c r="N25" s="615">
        <f t="shared" si="5"/>
        <v>18940.28932</v>
      </c>
    </row>
    <row r="26" spans="1:20" ht="12.75">
      <c r="A26" s="865"/>
      <c r="B26" s="70" t="s">
        <v>47</v>
      </c>
      <c r="C26" s="606">
        <f>D26*0.621371</f>
        <v>794.73350900000003</v>
      </c>
      <c r="D26" s="606">
        <v>1279</v>
      </c>
      <c r="E26" s="608">
        <f t="shared" si="0"/>
        <v>690.60500300000001</v>
      </c>
      <c r="G26" s="616" t="s">
        <v>444</v>
      </c>
      <c r="H26" s="617" t="s">
        <v>426</v>
      </c>
      <c r="I26" s="618">
        <v>8192</v>
      </c>
      <c r="J26" s="619">
        <f t="shared" si="3"/>
        <v>23.88338192419825</v>
      </c>
      <c r="K26" s="619">
        <f t="shared" si="4"/>
        <v>33.775510196618072</v>
      </c>
      <c r="L26" s="618">
        <v>2</v>
      </c>
      <c r="M26" s="618">
        <v>6277</v>
      </c>
      <c r="N26" s="615">
        <f t="shared" si="5"/>
        <v>20593.83268</v>
      </c>
      <c r="R26" s="622"/>
      <c r="S26" s="622"/>
      <c r="T26" s="622"/>
    </row>
    <row r="27" spans="1:20" ht="12.75">
      <c r="A27" s="866">
        <v>12.3</v>
      </c>
      <c r="B27" s="35" t="s">
        <v>25</v>
      </c>
      <c r="C27" s="597">
        <f t="shared" ref="C27:C28" si="9">0.621371*D27</f>
        <v>939.51295200000004</v>
      </c>
      <c r="D27" s="598">
        <v>1512</v>
      </c>
      <c r="E27" s="599">
        <f t="shared" si="0"/>
        <v>816.414984</v>
      </c>
      <c r="G27" s="616" t="s">
        <v>445</v>
      </c>
      <c r="H27" s="617" t="s">
        <v>424</v>
      </c>
      <c r="I27" s="618">
        <v>16384</v>
      </c>
      <c r="J27" s="619">
        <f t="shared" si="3"/>
        <v>47.766763848396501</v>
      </c>
      <c r="K27" s="619">
        <f t="shared" si="4"/>
        <v>67.551020393236143</v>
      </c>
      <c r="L27" s="618">
        <v>5</v>
      </c>
      <c r="M27" s="618">
        <v>5763</v>
      </c>
      <c r="N27" s="615">
        <f t="shared" si="5"/>
        <v>18907.480919999998</v>
      </c>
      <c r="R27" s="622"/>
      <c r="S27" s="622"/>
      <c r="T27" s="622"/>
    </row>
    <row r="28" spans="1:20" ht="12.75">
      <c r="A28" s="864"/>
      <c r="B28" s="160" t="s">
        <v>446</v>
      </c>
      <c r="C28" s="601">
        <f t="shared" si="9"/>
        <v>915.90085399999998</v>
      </c>
      <c r="D28" s="602">
        <v>1474</v>
      </c>
      <c r="E28" s="603">
        <f t="shared" si="0"/>
        <v>795.89661799999999</v>
      </c>
      <c r="G28" s="616" t="s">
        <v>447</v>
      </c>
      <c r="H28" s="617" t="s">
        <v>426</v>
      </c>
      <c r="I28" s="618">
        <v>8192</v>
      </c>
      <c r="J28" s="619">
        <f t="shared" si="3"/>
        <v>23.88338192419825</v>
      </c>
      <c r="K28" s="619">
        <f t="shared" si="4"/>
        <v>33.775510196618072</v>
      </c>
      <c r="L28" s="618">
        <v>2</v>
      </c>
      <c r="M28" s="618">
        <v>358</v>
      </c>
      <c r="N28" s="615">
        <f t="shared" si="5"/>
        <v>1174.54072</v>
      </c>
      <c r="R28" s="622"/>
      <c r="S28" s="622"/>
      <c r="T28" s="622"/>
    </row>
    <row r="29" spans="1:20" ht="12.75">
      <c r="A29" s="864"/>
      <c r="B29" s="62" t="s">
        <v>53</v>
      </c>
      <c r="C29" s="601">
        <f t="shared" ref="C29:C30" si="10">D29*0.621371</f>
        <v>880.482707</v>
      </c>
      <c r="D29" s="602">
        <v>1417</v>
      </c>
      <c r="E29" s="603">
        <f t="shared" si="0"/>
        <v>765.11906900000008</v>
      </c>
      <c r="G29" s="623" t="s">
        <v>448</v>
      </c>
      <c r="H29" s="624" t="s">
        <v>426</v>
      </c>
      <c r="I29" s="625">
        <v>8192</v>
      </c>
      <c r="J29" s="626">
        <f t="shared" si="3"/>
        <v>23.88338192419825</v>
      </c>
      <c r="K29" s="626">
        <f t="shared" si="4"/>
        <v>33.775510196618072</v>
      </c>
      <c r="L29" s="625">
        <v>5</v>
      </c>
      <c r="M29" s="625">
        <v>5763</v>
      </c>
      <c r="N29" s="34">
        <f t="shared" si="5"/>
        <v>18907.480919999998</v>
      </c>
      <c r="R29" s="622"/>
      <c r="S29" s="622"/>
      <c r="T29" s="622"/>
    </row>
    <row r="30" spans="1:20" ht="12.75">
      <c r="A30" s="864"/>
      <c r="B30" s="62" t="s">
        <v>52</v>
      </c>
      <c r="C30" s="601">
        <f t="shared" si="10"/>
        <v>848.17141500000002</v>
      </c>
      <c r="D30" s="602">
        <v>1365</v>
      </c>
      <c r="E30" s="603">
        <f t="shared" si="0"/>
        <v>737.04130500000008</v>
      </c>
      <c r="G30" s="904" t="s">
        <v>449</v>
      </c>
      <c r="H30" s="868"/>
      <c r="I30" s="868"/>
      <c r="R30" s="622"/>
      <c r="S30" s="622"/>
      <c r="T30" s="622"/>
    </row>
    <row r="31" spans="1:20" ht="12.75">
      <c r="A31" s="864"/>
      <c r="B31" s="52" t="s">
        <v>54</v>
      </c>
      <c r="C31" s="601">
        <f>0.621371*D31</f>
        <v>827.04480100000001</v>
      </c>
      <c r="D31" s="602">
        <v>1331</v>
      </c>
      <c r="E31" s="603">
        <f t="shared" si="0"/>
        <v>718.68276700000001</v>
      </c>
      <c r="G31" s="868"/>
      <c r="H31" s="868"/>
      <c r="I31" s="868"/>
      <c r="R31" s="622"/>
      <c r="S31" s="622"/>
      <c r="T31" s="622"/>
    </row>
    <row r="32" spans="1:20" ht="12.75">
      <c r="A32" s="865"/>
      <c r="B32" s="70" t="s">
        <v>450</v>
      </c>
      <c r="C32" s="606">
        <f t="shared" ref="C32:C33" si="11">D32*0.621371192</f>
        <v>702.77081815200006</v>
      </c>
      <c r="D32" s="607">
        <v>1131</v>
      </c>
      <c r="E32" s="608">
        <f t="shared" si="0"/>
        <v>610.69136700000001</v>
      </c>
      <c r="G32" s="868"/>
      <c r="H32" s="868"/>
      <c r="I32" s="868"/>
    </row>
    <row r="33" spans="1:9" ht="12.75">
      <c r="A33" s="863">
        <v>12</v>
      </c>
      <c r="B33" s="80" t="s">
        <v>31</v>
      </c>
      <c r="C33" s="597">
        <f t="shared" si="11"/>
        <v>927.70718965599997</v>
      </c>
      <c r="D33" s="598">
        <v>1493</v>
      </c>
      <c r="E33" s="599">
        <f t="shared" si="0"/>
        <v>806.155801</v>
      </c>
      <c r="G33" s="868"/>
      <c r="H33" s="868"/>
      <c r="I33" s="868"/>
    </row>
    <row r="34" spans="1:9" ht="12.75">
      <c r="A34" s="864"/>
      <c r="B34" s="52" t="s">
        <v>57</v>
      </c>
      <c r="C34" s="601">
        <f t="shared" ref="C34:C37" si="12">0.621371*D34</f>
        <v>893.53149800000006</v>
      </c>
      <c r="D34" s="602">
        <v>1438</v>
      </c>
      <c r="E34" s="603">
        <f t="shared" si="0"/>
        <v>776.45816600000001</v>
      </c>
      <c r="G34" s="868"/>
      <c r="H34" s="868"/>
      <c r="I34" s="868"/>
    </row>
    <row r="35" spans="1:9" ht="12.75">
      <c r="A35" s="864"/>
      <c r="B35" s="231" t="s">
        <v>451</v>
      </c>
      <c r="C35" s="601">
        <f t="shared" si="12"/>
        <v>889.80327199999999</v>
      </c>
      <c r="D35" s="602">
        <v>1432</v>
      </c>
      <c r="E35" s="603">
        <f t="shared" si="0"/>
        <v>773.21842400000003</v>
      </c>
      <c r="G35" s="868"/>
      <c r="H35" s="868"/>
      <c r="I35" s="868"/>
    </row>
    <row r="36" spans="1:9" ht="12.75">
      <c r="A36" s="865"/>
      <c r="B36" s="70" t="s">
        <v>452</v>
      </c>
      <c r="C36" s="606">
        <f t="shared" si="12"/>
        <v>837.60810800000002</v>
      </c>
      <c r="D36" s="607">
        <v>1348</v>
      </c>
      <c r="E36" s="608">
        <f t="shared" si="0"/>
        <v>727.86203599999999</v>
      </c>
    </row>
    <row r="37" spans="1:9" ht="12.75">
      <c r="A37" s="866">
        <v>11.7</v>
      </c>
      <c r="B37" s="80" t="s">
        <v>59</v>
      </c>
      <c r="C37" s="597">
        <f t="shared" si="12"/>
        <v>1004.756907</v>
      </c>
      <c r="D37" s="598">
        <v>1617</v>
      </c>
      <c r="E37" s="599">
        <f t="shared" si="0"/>
        <v>873.11046900000008</v>
      </c>
    </row>
    <row r="38" spans="1:9" ht="12.75">
      <c r="A38" s="864"/>
      <c r="B38" s="52" t="s">
        <v>69</v>
      </c>
      <c r="C38" s="601">
        <f t="shared" ref="C38:C39" si="13">D38*0.621371</f>
        <v>930.19238700000005</v>
      </c>
      <c r="D38" s="602">
        <v>1497</v>
      </c>
      <c r="E38" s="603">
        <f t="shared" si="0"/>
        <v>808.31562900000006</v>
      </c>
    </row>
    <row r="39" spans="1:9" ht="12.75">
      <c r="A39" s="864"/>
      <c r="B39" s="62" t="s">
        <v>70</v>
      </c>
      <c r="C39" s="601">
        <f t="shared" si="13"/>
        <v>907.20166000000006</v>
      </c>
      <c r="D39" s="602">
        <v>1460</v>
      </c>
      <c r="E39" s="603">
        <f t="shared" si="0"/>
        <v>788.33722</v>
      </c>
    </row>
    <row r="40" spans="1:9" ht="12.75">
      <c r="A40" s="864"/>
      <c r="B40" s="62" t="s">
        <v>68</v>
      </c>
      <c r="C40" s="601">
        <f>0.621371*D40</f>
        <v>905.33754699999997</v>
      </c>
      <c r="D40" s="602">
        <v>1457</v>
      </c>
      <c r="E40" s="603">
        <f t="shared" si="0"/>
        <v>786.71734900000001</v>
      </c>
    </row>
    <row r="41" spans="1:9" ht="12.75">
      <c r="A41" s="864"/>
      <c r="B41" s="52" t="s">
        <v>67</v>
      </c>
      <c r="C41" s="601">
        <f>D41*0.621371</f>
        <v>895.39561100000003</v>
      </c>
      <c r="D41" s="602">
        <v>1441</v>
      </c>
      <c r="E41" s="603">
        <f t="shared" si="0"/>
        <v>778.07803699999999</v>
      </c>
    </row>
    <row r="42" spans="1:9" ht="12.75">
      <c r="A42" s="864"/>
      <c r="B42" s="52" t="s">
        <v>63</v>
      </c>
      <c r="C42" s="601">
        <f>D42*0.621371192</f>
        <v>876.75475191200007</v>
      </c>
      <c r="D42" s="602">
        <v>1411</v>
      </c>
      <c r="E42" s="603">
        <f t="shared" si="0"/>
        <v>761.87932699999999</v>
      </c>
    </row>
    <row r="43" spans="1:9" ht="12.75">
      <c r="A43" s="864"/>
      <c r="B43" s="62" t="s">
        <v>66</v>
      </c>
      <c r="C43" s="601">
        <f t="shared" ref="C43:C45" si="14">0.621371*D43</f>
        <v>848.17141500000002</v>
      </c>
      <c r="D43" s="602">
        <v>1365</v>
      </c>
      <c r="E43" s="603">
        <f t="shared" si="0"/>
        <v>737.04130500000008</v>
      </c>
    </row>
    <row r="44" spans="1:9" ht="12.75">
      <c r="A44" s="864"/>
      <c r="B44" s="52" t="s">
        <v>65</v>
      </c>
      <c r="C44" s="601">
        <f t="shared" si="14"/>
        <v>796.597622</v>
      </c>
      <c r="D44" s="602">
        <v>1282</v>
      </c>
      <c r="E44" s="603">
        <f t="shared" si="0"/>
        <v>692.224874</v>
      </c>
    </row>
    <row r="45" spans="1:9" ht="12.75">
      <c r="A45" s="864"/>
      <c r="B45" s="52" t="s">
        <v>405</v>
      </c>
      <c r="C45" s="601">
        <f t="shared" si="14"/>
        <v>702.77060100000006</v>
      </c>
      <c r="D45" s="602">
        <v>1131</v>
      </c>
      <c r="E45" s="603">
        <f t="shared" si="0"/>
        <v>610.69136700000001</v>
      </c>
    </row>
    <row r="46" spans="1:9" ht="12.75">
      <c r="A46" s="864"/>
      <c r="B46" s="52" t="s">
        <v>62</v>
      </c>
      <c r="C46" s="601">
        <f>D46*0.621371</f>
        <v>655.54640500000005</v>
      </c>
      <c r="D46" s="602">
        <v>1055</v>
      </c>
      <c r="E46" s="603">
        <f t="shared" si="0"/>
        <v>569.65463499999998</v>
      </c>
    </row>
    <row r="47" spans="1:9" ht="12.75">
      <c r="A47" s="865"/>
      <c r="B47" s="70" t="s">
        <v>58</v>
      </c>
      <c r="C47" s="606">
        <f>0.621371*D47</f>
        <v>448.629862</v>
      </c>
      <c r="D47" s="607">
        <v>722</v>
      </c>
      <c r="E47" s="608">
        <f t="shared" si="0"/>
        <v>389.84895399999999</v>
      </c>
    </row>
    <row r="48" spans="1:9" ht="12.75">
      <c r="A48" s="866">
        <v>11.3</v>
      </c>
      <c r="B48" s="80" t="s">
        <v>86</v>
      </c>
      <c r="C48" s="597">
        <f t="shared" ref="C48:C52" si="15">D48*0.621371</f>
        <v>930.19238700000005</v>
      </c>
      <c r="D48" s="598">
        <v>1497</v>
      </c>
      <c r="E48" s="599">
        <f t="shared" si="0"/>
        <v>808.31562900000006</v>
      </c>
    </row>
    <row r="49" spans="1:5" ht="12.75">
      <c r="A49" s="864"/>
      <c r="B49" s="62" t="s">
        <v>453</v>
      </c>
      <c r="C49" s="601">
        <f t="shared" si="15"/>
        <v>913.41537000000005</v>
      </c>
      <c r="D49" s="602">
        <v>1470</v>
      </c>
      <c r="E49" s="603">
        <f t="shared" si="0"/>
        <v>793.73679000000004</v>
      </c>
    </row>
    <row r="50" spans="1:5" ht="12.75">
      <c r="A50" s="864"/>
      <c r="B50" s="62" t="s">
        <v>454</v>
      </c>
      <c r="C50" s="601">
        <f t="shared" si="15"/>
        <v>913.41537000000005</v>
      </c>
      <c r="D50" s="602">
        <v>1470</v>
      </c>
      <c r="E50" s="603">
        <f t="shared" si="0"/>
        <v>793.73679000000004</v>
      </c>
    </row>
    <row r="51" spans="1:5" ht="12.75">
      <c r="A51" s="864"/>
      <c r="B51" s="62" t="s">
        <v>455</v>
      </c>
      <c r="C51" s="601">
        <f t="shared" si="15"/>
        <v>913.41537000000005</v>
      </c>
      <c r="D51" s="602">
        <v>1470</v>
      </c>
      <c r="E51" s="603">
        <f t="shared" si="0"/>
        <v>793.73679000000004</v>
      </c>
    </row>
    <row r="52" spans="1:5" ht="12.75">
      <c r="A52" s="864"/>
      <c r="B52" s="62" t="s">
        <v>87</v>
      </c>
      <c r="C52" s="601">
        <f t="shared" si="15"/>
        <v>907.20166000000006</v>
      </c>
      <c r="D52" s="602">
        <v>1460</v>
      </c>
      <c r="E52" s="603">
        <f t="shared" si="0"/>
        <v>788.33722</v>
      </c>
    </row>
    <row r="53" spans="1:5" ht="12.75">
      <c r="A53" s="864"/>
      <c r="B53" s="52" t="s">
        <v>456</v>
      </c>
      <c r="C53" s="601">
        <f t="shared" ref="C53:C54" si="16">D53*0.621371192</f>
        <v>905.95919793600001</v>
      </c>
      <c r="D53" s="602">
        <v>1458</v>
      </c>
      <c r="E53" s="603">
        <f t="shared" si="0"/>
        <v>787.25730600000009</v>
      </c>
    </row>
    <row r="54" spans="1:5" ht="12.75">
      <c r="A54" s="864"/>
      <c r="B54" s="62" t="s">
        <v>457</v>
      </c>
      <c r="C54" s="601">
        <f t="shared" si="16"/>
        <v>905.95919793600001</v>
      </c>
      <c r="D54" s="602">
        <v>1458</v>
      </c>
      <c r="E54" s="603">
        <f t="shared" si="0"/>
        <v>787.25730600000009</v>
      </c>
    </row>
    <row r="55" spans="1:5" ht="12.75">
      <c r="A55" s="864"/>
      <c r="B55" s="52" t="s">
        <v>76</v>
      </c>
      <c r="C55" s="601">
        <f>D55*0.621371</f>
        <v>895.39561100000003</v>
      </c>
      <c r="D55" s="602">
        <v>1441</v>
      </c>
      <c r="E55" s="603">
        <f t="shared" si="0"/>
        <v>778.07803699999999</v>
      </c>
    </row>
    <row r="56" spans="1:5" ht="12.75">
      <c r="A56" s="864"/>
      <c r="B56" s="62" t="s">
        <v>84</v>
      </c>
      <c r="C56" s="601">
        <f>0.621371*D56</f>
        <v>848.17141500000002</v>
      </c>
      <c r="D56" s="602">
        <v>1365</v>
      </c>
      <c r="E56" s="603">
        <f t="shared" si="0"/>
        <v>737.04130500000008</v>
      </c>
    </row>
    <row r="57" spans="1:5" ht="12.75">
      <c r="A57" s="864"/>
      <c r="B57" s="52" t="s">
        <v>75</v>
      </c>
      <c r="C57" s="601">
        <f>D57*0.621371</f>
        <v>843.82181800000001</v>
      </c>
      <c r="D57" s="602">
        <v>1358</v>
      </c>
      <c r="E57" s="603">
        <f t="shared" si="0"/>
        <v>733.26160600000003</v>
      </c>
    </row>
    <row r="58" spans="1:5" ht="12.75">
      <c r="A58" s="864"/>
      <c r="B58" s="291" t="s">
        <v>71</v>
      </c>
      <c r="C58" s="601">
        <f t="shared" ref="C58:C59" si="17">0.621371*D58</f>
        <v>796.597622</v>
      </c>
      <c r="D58" s="602">
        <v>1282</v>
      </c>
      <c r="E58" s="603">
        <f t="shared" si="0"/>
        <v>692.224874</v>
      </c>
    </row>
    <row r="59" spans="1:5" ht="12.75">
      <c r="A59" s="864"/>
      <c r="B59" s="52" t="s">
        <v>85</v>
      </c>
      <c r="C59" s="601">
        <f t="shared" si="17"/>
        <v>717.06213400000001</v>
      </c>
      <c r="D59" s="602">
        <v>1154</v>
      </c>
      <c r="E59" s="603">
        <f t="shared" si="0"/>
        <v>623.11037799999997</v>
      </c>
    </row>
    <row r="60" spans="1:5" ht="12.75">
      <c r="A60" s="865"/>
      <c r="B60" s="70" t="s">
        <v>458</v>
      </c>
      <c r="C60" s="606">
        <f>D60*0.621371192</f>
        <v>707.74178768800004</v>
      </c>
      <c r="D60" s="607">
        <v>1139</v>
      </c>
      <c r="E60" s="608">
        <f t="shared" si="0"/>
        <v>615.01102300000002</v>
      </c>
    </row>
    <row r="61" spans="1:5" ht="12.75">
      <c r="A61" s="863">
        <v>11</v>
      </c>
      <c r="B61" s="80" t="s">
        <v>459</v>
      </c>
      <c r="C61" s="597">
        <f t="shared" ref="C61:C65" si="18">D61*0.621371</f>
        <v>913.41537000000005</v>
      </c>
      <c r="D61" s="598">
        <v>1470</v>
      </c>
      <c r="E61" s="599">
        <f t="shared" si="0"/>
        <v>793.73679000000004</v>
      </c>
    </row>
    <row r="62" spans="1:5" ht="12.75">
      <c r="A62" s="864"/>
      <c r="B62" s="62" t="s">
        <v>97</v>
      </c>
      <c r="C62" s="601">
        <f t="shared" si="18"/>
        <v>907.20166000000006</v>
      </c>
      <c r="D62" s="602">
        <v>1460</v>
      </c>
      <c r="E62" s="603">
        <f t="shared" si="0"/>
        <v>788.33722</v>
      </c>
    </row>
    <row r="63" spans="1:5" ht="12.75">
      <c r="A63" s="864"/>
      <c r="B63" s="52" t="s">
        <v>460</v>
      </c>
      <c r="C63" s="601">
        <f t="shared" si="18"/>
        <v>880.482707</v>
      </c>
      <c r="D63" s="602">
        <v>1417</v>
      </c>
      <c r="E63" s="603">
        <f t="shared" si="0"/>
        <v>765.11906900000008</v>
      </c>
    </row>
    <row r="64" spans="1:5" ht="12.75">
      <c r="A64" s="864"/>
      <c r="B64" s="52" t="s">
        <v>461</v>
      </c>
      <c r="C64" s="601">
        <f t="shared" si="18"/>
        <v>880.482707</v>
      </c>
      <c r="D64" s="602">
        <v>1417</v>
      </c>
      <c r="E64" s="603">
        <f t="shared" si="0"/>
        <v>765.11906900000008</v>
      </c>
    </row>
    <row r="65" spans="1:5" ht="12.75">
      <c r="A65" s="864"/>
      <c r="B65" s="52" t="s">
        <v>96</v>
      </c>
      <c r="C65" s="601">
        <f t="shared" si="18"/>
        <v>880.482707</v>
      </c>
      <c r="D65" s="602">
        <v>1417</v>
      </c>
      <c r="E65" s="603">
        <f t="shared" si="0"/>
        <v>765.11906900000008</v>
      </c>
    </row>
    <row r="66" spans="1:5" ht="12.75">
      <c r="A66" s="864"/>
      <c r="B66" s="62" t="s">
        <v>94</v>
      </c>
      <c r="C66" s="601">
        <f>0.621371*D66</f>
        <v>877.99722299999996</v>
      </c>
      <c r="D66" s="602">
        <v>1413</v>
      </c>
      <c r="E66" s="603">
        <f t="shared" si="0"/>
        <v>762.95924100000002</v>
      </c>
    </row>
    <row r="67" spans="1:5" ht="12.75">
      <c r="A67" s="864"/>
      <c r="B67" s="62" t="s">
        <v>92</v>
      </c>
      <c r="C67" s="601">
        <f>D67*0.621371</f>
        <v>848.17141500000002</v>
      </c>
      <c r="D67" s="602">
        <v>1365</v>
      </c>
      <c r="E67" s="603">
        <f t="shared" si="0"/>
        <v>737.04130500000008</v>
      </c>
    </row>
    <row r="68" spans="1:5" ht="12.75">
      <c r="A68" s="865"/>
      <c r="B68" s="108" t="s">
        <v>93</v>
      </c>
      <c r="C68" s="606">
        <f>0.621371*D68</f>
        <v>848.17141500000002</v>
      </c>
      <c r="D68" s="607">
        <v>1365</v>
      </c>
      <c r="E68" s="608">
        <f t="shared" si="0"/>
        <v>737.04130500000008</v>
      </c>
    </row>
    <row r="69" spans="1:5" ht="12.75">
      <c r="A69" s="866">
        <v>10.7</v>
      </c>
      <c r="B69" s="80" t="s">
        <v>104</v>
      </c>
      <c r="C69" s="597">
        <f>D69*0.621371</f>
        <v>903.473434</v>
      </c>
      <c r="D69" s="598">
        <v>1454</v>
      </c>
      <c r="E69" s="599">
        <f t="shared" si="0"/>
        <v>785.09747800000002</v>
      </c>
    </row>
    <row r="70" spans="1:5" ht="12.75">
      <c r="A70" s="864"/>
      <c r="B70" s="52" t="s">
        <v>102</v>
      </c>
      <c r="C70" s="601">
        <f>0.621371*D70</f>
        <v>893.53149800000006</v>
      </c>
      <c r="D70" s="602">
        <v>1438</v>
      </c>
      <c r="E70" s="603">
        <f t="shared" si="0"/>
        <v>776.45816600000001</v>
      </c>
    </row>
    <row r="71" spans="1:5" ht="12.75">
      <c r="A71" s="864"/>
      <c r="B71" s="52" t="s">
        <v>462</v>
      </c>
      <c r="C71" s="601">
        <f t="shared" ref="C71:C72" si="19">D71*0.621371</f>
        <v>880.482707</v>
      </c>
      <c r="D71" s="602">
        <v>1417</v>
      </c>
      <c r="E71" s="603">
        <f t="shared" si="0"/>
        <v>765.11906900000008</v>
      </c>
    </row>
    <row r="72" spans="1:5" ht="12.75">
      <c r="A72" s="864"/>
      <c r="B72" s="62" t="s">
        <v>53</v>
      </c>
      <c r="C72" s="601">
        <f t="shared" si="19"/>
        <v>880.482707</v>
      </c>
      <c r="D72" s="602">
        <v>1417</v>
      </c>
      <c r="E72" s="603">
        <f t="shared" si="0"/>
        <v>765.11906900000008</v>
      </c>
    </row>
    <row r="73" spans="1:5" ht="12.75">
      <c r="A73" s="864"/>
      <c r="B73" s="52" t="s">
        <v>101</v>
      </c>
      <c r="C73" s="601">
        <f>0.621371*D73</f>
        <v>853.142383</v>
      </c>
      <c r="D73" s="602">
        <v>1373</v>
      </c>
      <c r="E73" s="603">
        <f t="shared" si="0"/>
        <v>741.36096099999997</v>
      </c>
    </row>
    <row r="74" spans="1:5" ht="12.75">
      <c r="A74" s="864"/>
      <c r="B74" s="62" t="s">
        <v>463</v>
      </c>
      <c r="C74" s="601">
        <f>D74*0.621371</f>
        <v>848.17141500000002</v>
      </c>
      <c r="D74" s="602">
        <v>1365</v>
      </c>
      <c r="E74" s="603">
        <f t="shared" si="0"/>
        <v>737.04130500000008</v>
      </c>
    </row>
    <row r="75" spans="1:5" ht="12.75">
      <c r="A75" s="864"/>
      <c r="B75" s="62" t="s">
        <v>109</v>
      </c>
      <c r="C75" s="601">
        <f t="shared" ref="C75:C78" si="20">0.621371*D75</f>
        <v>786.03431499999999</v>
      </c>
      <c r="D75" s="602">
        <v>1265</v>
      </c>
      <c r="E75" s="603">
        <f t="shared" si="0"/>
        <v>683.04560500000002</v>
      </c>
    </row>
    <row r="76" spans="1:5" ht="12.75">
      <c r="A76" s="864"/>
      <c r="B76" s="52" t="s">
        <v>103</v>
      </c>
      <c r="C76" s="601">
        <f t="shared" si="20"/>
        <v>776.71375</v>
      </c>
      <c r="D76" s="602">
        <v>1250</v>
      </c>
      <c r="E76" s="603">
        <f t="shared" si="0"/>
        <v>674.94625000000008</v>
      </c>
    </row>
    <row r="77" spans="1:5" ht="12.75">
      <c r="A77" s="864"/>
      <c r="B77" s="52" t="s">
        <v>111</v>
      </c>
      <c r="C77" s="601">
        <f t="shared" si="20"/>
        <v>759.936733</v>
      </c>
      <c r="D77" s="602">
        <v>1223</v>
      </c>
      <c r="E77" s="603">
        <f t="shared" si="0"/>
        <v>660.36741100000006</v>
      </c>
    </row>
    <row r="78" spans="1:5" ht="12.75">
      <c r="A78" s="864"/>
      <c r="B78" s="62" t="s">
        <v>112</v>
      </c>
      <c r="C78" s="601">
        <f t="shared" si="20"/>
        <v>759.936733</v>
      </c>
      <c r="D78" s="602">
        <v>1223</v>
      </c>
      <c r="E78" s="603">
        <f t="shared" si="0"/>
        <v>660.36741100000006</v>
      </c>
    </row>
    <row r="79" spans="1:5" ht="12.75">
      <c r="A79" s="864"/>
      <c r="B79" s="52" t="s">
        <v>110</v>
      </c>
      <c r="C79" s="601">
        <f t="shared" ref="C79:C80" si="21">D79*0.621371192</f>
        <v>720.79058271999997</v>
      </c>
      <c r="D79" s="602">
        <v>1160</v>
      </c>
      <c r="E79" s="603">
        <f t="shared" si="0"/>
        <v>626.35012000000006</v>
      </c>
    </row>
    <row r="80" spans="1:5" ht="12.75">
      <c r="A80" s="864"/>
      <c r="B80" s="52" t="s">
        <v>458</v>
      </c>
      <c r="C80" s="601">
        <f t="shared" si="21"/>
        <v>707.74178768800004</v>
      </c>
      <c r="D80" s="602">
        <v>1139</v>
      </c>
      <c r="E80" s="603">
        <f t="shared" si="0"/>
        <v>615.01102300000002</v>
      </c>
    </row>
    <row r="81" spans="1:5" ht="12.75">
      <c r="A81" s="864"/>
      <c r="B81" s="52" t="s">
        <v>100</v>
      </c>
      <c r="C81" s="601">
        <f t="shared" ref="C81:C82" si="22">0.621371*D81</f>
        <v>694.07140700000002</v>
      </c>
      <c r="D81" s="602">
        <v>1117</v>
      </c>
      <c r="E81" s="603">
        <f t="shared" si="0"/>
        <v>603.13196900000003</v>
      </c>
    </row>
    <row r="82" spans="1:5" ht="12.75">
      <c r="A82" s="864"/>
      <c r="B82" s="52" t="s">
        <v>99</v>
      </c>
      <c r="C82" s="601">
        <f t="shared" si="22"/>
        <v>656.78914699999996</v>
      </c>
      <c r="D82" s="602">
        <v>1057</v>
      </c>
      <c r="E82" s="603">
        <f t="shared" si="0"/>
        <v>570.73454900000002</v>
      </c>
    </row>
    <row r="83" spans="1:5" ht="12.75">
      <c r="A83" s="864"/>
      <c r="B83" s="52" t="s">
        <v>108</v>
      </c>
      <c r="C83" s="601">
        <f>D83*0.621371</f>
        <v>656.78914699999996</v>
      </c>
      <c r="D83" s="602">
        <v>1057</v>
      </c>
      <c r="E83" s="603">
        <f t="shared" si="0"/>
        <v>570.73454900000002</v>
      </c>
    </row>
    <row r="84" spans="1:5" ht="12.75">
      <c r="A84" s="864"/>
      <c r="B84" s="52" t="s">
        <v>98</v>
      </c>
      <c r="C84" s="601">
        <f>0.621371*D84</f>
        <v>448.629862</v>
      </c>
      <c r="D84" s="602">
        <v>722</v>
      </c>
      <c r="E84" s="603">
        <f t="shared" si="0"/>
        <v>389.84895399999999</v>
      </c>
    </row>
    <row r="85" spans="1:5" ht="12.75">
      <c r="A85" s="865"/>
      <c r="B85" s="70" t="s">
        <v>105</v>
      </c>
      <c r="C85" s="606">
        <v>0</v>
      </c>
      <c r="D85" s="607">
        <v>0</v>
      </c>
      <c r="E85" s="608">
        <v>0</v>
      </c>
    </row>
    <row r="86" spans="1:5" ht="12.75">
      <c r="A86" s="866">
        <v>10.3</v>
      </c>
      <c r="B86" s="80" t="s">
        <v>464</v>
      </c>
      <c r="C86" s="597">
        <f t="shared" ref="C86:C87" si="23">0.621371*D86</f>
        <v>936.40609700000005</v>
      </c>
      <c r="D86" s="598">
        <v>1507</v>
      </c>
      <c r="E86" s="599">
        <f t="shared" ref="E86:E89" si="24">D86*0.539957</f>
        <v>813.71519899999998</v>
      </c>
    </row>
    <row r="87" spans="1:5" ht="12.75">
      <c r="A87" s="864"/>
      <c r="B87" s="62" t="s">
        <v>120</v>
      </c>
      <c r="C87" s="601">
        <f t="shared" si="23"/>
        <v>864.94843200000003</v>
      </c>
      <c r="D87" s="602">
        <v>1392</v>
      </c>
      <c r="E87" s="603">
        <f t="shared" si="24"/>
        <v>751.62014399999998</v>
      </c>
    </row>
    <row r="88" spans="1:5" ht="12.75">
      <c r="A88" s="864"/>
      <c r="B88" s="52" t="s">
        <v>118</v>
      </c>
      <c r="C88" s="601">
        <f>D88*0.621371</f>
        <v>816.481494</v>
      </c>
      <c r="D88" s="602">
        <v>1314</v>
      </c>
      <c r="E88" s="603">
        <f t="shared" si="24"/>
        <v>709.50349800000004</v>
      </c>
    </row>
    <row r="89" spans="1:5" ht="12.75">
      <c r="A89" s="864"/>
      <c r="B89" s="52" t="s">
        <v>117</v>
      </c>
      <c r="C89" s="601">
        <f>D89*0.621371192</f>
        <v>791.00552741600006</v>
      </c>
      <c r="D89" s="602">
        <v>1273</v>
      </c>
      <c r="E89" s="603">
        <f t="shared" si="24"/>
        <v>687.36526100000003</v>
      </c>
    </row>
    <row r="90" spans="1:5" ht="12.75">
      <c r="A90" s="864"/>
      <c r="B90" s="52" t="s">
        <v>113</v>
      </c>
      <c r="C90" s="601">
        <v>764.28633000000002</v>
      </c>
      <c r="D90" s="602">
        <v>1230</v>
      </c>
      <c r="E90" s="603">
        <v>664.14711</v>
      </c>
    </row>
    <row r="91" spans="1:5" ht="12.75">
      <c r="A91" s="864"/>
      <c r="B91" s="62" t="s">
        <v>119</v>
      </c>
      <c r="C91" s="601">
        <f t="shared" ref="C91:C93" si="25">0.621371*D91</f>
        <v>760.55810399999996</v>
      </c>
      <c r="D91" s="602">
        <v>1224</v>
      </c>
      <c r="E91" s="603">
        <f t="shared" ref="E91:E100" si="26">D91*0.539957</f>
        <v>660.90736800000002</v>
      </c>
    </row>
    <row r="92" spans="1:5" ht="12.75">
      <c r="A92" s="864"/>
      <c r="B92" s="62" t="s">
        <v>121</v>
      </c>
      <c r="C92" s="601">
        <f t="shared" si="25"/>
        <v>756.82987800000001</v>
      </c>
      <c r="D92" s="602">
        <v>1218</v>
      </c>
      <c r="E92" s="603">
        <f t="shared" si="26"/>
        <v>657.66762600000004</v>
      </c>
    </row>
    <row r="93" spans="1:5" ht="12.75">
      <c r="A93" s="865"/>
      <c r="B93" s="70" t="s">
        <v>114</v>
      </c>
      <c r="C93" s="606">
        <f t="shared" si="25"/>
        <v>694.07140700000002</v>
      </c>
      <c r="D93" s="607">
        <v>1117</v>
      </c>
      <c r="E93" s="608">
        <f t="shared" si="26"/>
        <v>603.13196900000003</v>
      </c>
    </row>
    <row r="94" spans="1:5" ht="12.75">
      <c r="A94" s="863">
        <v>10</v>
      </c>
      <c r="B94" s="80" t="s">
        <v>126</v>
      </c>
      <c r="C94" s="597">
        <f>D94*0.621371</f>
        <v>899.74520800000005</v>
      </c>
      <c r="D94" s="598">
        <v>1448</v>
      </c>
      <c r="E94" s="599">
        <f t="shared" si="26"/>
        <v>781.85773600000005</v>
      </c>
    </row>
    <row r="95" spans="1:5" ht="12.75">
      <c r="A95" s="864"/>
      <c r="B95" s="62" t="s">
        <v>128</v>
      </c>
      <c r="C95" s="601">
        <f>0.621371*D95</f>
        <v>877.99722299999996</v>
      </c>
      <c r="D95" s="602">
        <v>1413</v>
      </c>
      <c r="E95" s="603">
        <f t="shared" si="26"/>
        <v>762.95924100000002</v>
      </c>
    </row>
    <row r="96" spans="1:5" ht="12.75">
      <c r="A96" s="864"/>
      <c r="B96" s="52" t="s">
        <v>123</v>
      </c>
      <c r="C96" s="601">
        <f t="shared" ref="C96:C97" si="27">D96*0.621371</f>
        <v>845.68593099999998</v>
      </c>
      <c r="D96" s="602">
        <v>1361</v>
      </c>
      <c r="E96" s="603">
        <f t="shared" si="26"/>
        <v>734.88147700000002</v>
      </c>
    </row>
    <row r="97" spans="1:5" ht="12.75">
      <c r="A97" s="864"/>
      <c r="B97" s="52" t="s">
        <v>124</v>
      </c>
      <c r="C97" s="601">
        <f t="shared" si="27"/>
        <v>807.78229999999996</v>
      </c>
      <c r="D97" s="601">
        <v>1300</v>
      </c>
      <c r="E97" s="603">
        <f t="shared" si="26"/>
        <v>701.94410000000005</v>
      </c>
    </row>
    <row r="98" spans="1:5" ht="12.75">
      <c r="A98" s="864"/>
      <c r="B98" s="52" t="s">
        <v>465</v>
      </c>
      <c r="C98" s="601">
        <f>D98*0.621371192</f>
        <v>786.03455787999997</v>
      </c>
      <c r="D98" s="602">
        <v>1265</v>
      </c>
      <c r="E98" s="603">
        <f t="shared" si="26"/>
        <v>683.04560500000002</v>
      </c>
    </row>
    <row r="99" spans="1:5" ht="12.75">
      <c r="A99" s="864"/>
      <c r="B99" s="52" t="s">
        <v>125</v>
      </c>
      <c r="C99" s="601">
        <f>D99*0.621371</f>
        <v>782.92746</v>
      </c>
      <c r="D99" s="602">
        <v>1260</v>
      </c>
      <c r="E99" s="603">
        <f t="shared" si="26"/>
        <v>680.34582</v>
      </c>
    </row>
    <row r="100" spans="1:5" ht="12.75">
      <c r="A100" s="864"/>
      <c r="B100" s="52" t="s">
        <v>127</v>
      </c>
      <c r="C100" s="601">
        <f>0.621371*D100</f>
        <v>764.28633000000002</v>
      </c>
      <c r="D100" s="602">
        <v>1230</v>
      </c>
      <c r="E100" s="603">
        <f t="shared" si="26"/>
        <v>664.14711</v>
      </c>
    </row>
    <row r="101" spans="1:5" ht="12.75">
      <c r="A101" s="865"/>
      <c r="B101" s="70" t="s">
        <v>122</v>
      </c>
      <c r="C101" s="606">
        <v>756.82987800000001</v>
      </c>
      <c r="D101" s="607">
        <v>1218</v>
      </c>
      <c r="E101" s="608">
        <v>657.66762600000004</v>
      </c>
    </row>
    <row r="102" spans="1:5" ht="12.75">
      <c r="A102" s="866">
        <v>9.6999999999999993</v>
      </c>
      <c r="B102" s="80" t="s">
        <v>132</v>
      </c>
      <c r="C102" s="597">
        <f t="shared" ref="C102:C103" si="28">0.621371*D102</f>
        <v>900.98794999999996</v>
      </c>
      <c r="D102" s="598">
        <v>1450</v>
      </c>
      <c r="E102" s="599">
        <f t="shared" ref="E102:E234" si="29">D102*0.539957</f>
        <v>782.93765000000008</v>
      </c>
    </row>
    <row r="103" spans="1:5" ht="12.75">
      <c r="A103" s="864"/>
      <c r="B103" s="52" t="s">
        <v>133</v>
      </c>
      <c r="C103" s="601">
        <f t="shared" si="28"/>
        <v>894.77423999999996</v>
      </c>
      <c r="D103" s="602">
        <v>1440</v>
      </c>
      <c r="E103" s="603">
        <f t="shared" si="29"/>
        <v>777.53808000000004</v>
      </c>
    </row>
    <row r="104" spans="1:5" ht="12.75">
      <c r="A104" s="864"/>
      <c r="B104" s="62" t="s">
        <v>466</v>
      </c>
      <c r="C104" s="601">
        <f>D104*0.621371</f>
        <v>885.45367499999998</v>
      </c>
      <c r="D104" s="602">
        <v>1425</v>
      </c>
      <c r="E104" s="603">
        <f t="shared" si="29"/>
        <v>769.43872499999998</v>
      </c>
    </row>
    <row r="105" spans="1:5" ht="12.75">
      <c r="A105" s="864"/>
      <c r="B105" s="52" t="s">
        <v>143</v>
      </c>
      <c r="C105" s="601">
        <f>D105*0.621371192</f>
        <v>845.686192312</v>
      </c>
      <c r="D105" s="602">
        <v>1361</v>
      </c>
      <c r="E105" s="603">
        <f t="shared" si="29"/>
        <v>734.88147700000002</v>
      </c>
    </row>
    <row r="106" spans="1:5" ht="12.75">
      <c r="A106" s="864"/>
      <c r="B106" s="62" t="s">
        <v>146</v>
      </c>
      <c r="C106" s="601">
        <f>0.621371*D106</f>
        <v>822.07383300000004</v>
      </c>
      <c r="D106" s="602">
        <v>1323</v>
      </c>
      <c r="E106" s="603">
        <f t="shared" si="29"/>
        <v>714.363111</v>
      </c>
    </row>
    <row r="107" spans="1:5" ht="12.75">
      <c r="A107" s="864"/>
      <c r="B107" s="52" t="s">
        <v>145</v>
      </c>
      <c r="C107" s="601">
        <f t="shared" ref="C107:C109" si="30">D107*0.621371</f>
        <v>816.481494</v>
      </c>
      <c r="D107" s="602">
        <v>1314</v>
      </c>
      <c r="E107" s="603">
        <f t="shared" si="29"/>
        <v>709.50349800000004</v>
      </c>
    </row>
    <row r="108" spans="1:5" ht="12.75">
      <c r="A108" s="864"/>
      <c r="B108" s="52" t="s">
        <v>140</v>
      </c>
      <c r="C108" s="601">
        <f t="shared" si="30"/>
        <v>782.92746</v>
      </c>
      <c r="D108" s="601">
        <v>1260</v>
      </c>
      <c r="E108" s="603">
        <f t="shared" si="29"/>
        <v>680.34582</v>
      </c>
    </row>
    <row r="109" spans="1:5" ht="12.75">
      <c r="A109" s="864"/>
      <c r="B109" s="52" t="s">
        <v>141</v>
      </c>
      <c r="C109" s="601">
        <f t="shared" si="30"/>
        <v>782.92746</v>
      </c>
      <c r="D109" s="602">
        <v>1260</v>
      </c>
      <c r="E109" s="603">
        <f t="shared" si="29"/>
        <v>680.34582</v>
      </c>
    </row>
    <row r="110" spans="1:5" ht="12.75">
      <c r="A110" s="864"/>
      <c r="B110" s="231" t="s">
        <v>129</v>
      </c>
      <c r="C110" s="601">
        <f t="shared" ref="C110:C112" si="31">0.621371*D110</f>
        <v>763.66495899999995</v>
      </c>
      <c r="D110" s="602">
        <v>1229</v>
      </c>
      <c r="E110" s="603">
        <f t="shared" si="29"/>
        <v>663.60715300000004</v>
      </c>
    </row>
    <row r="111" spans="1:5" ht="12.75">
      <c r="A111" s="864"/>
      <c r="B111" s="52" t="s">
        <v>130</v>
      </c>
      <c r="C111" s="601">
        <f t="shared" si="31"/>
        <v>758.07262000000003</v>
      </c>
      <c r="D111" s="602">
        <v>1220</v>
      </c>
      <c r="E111" s="603">
        <f t="shared" si="29"/>
        <v>658.74754000000007</v>
      </c>
    </row>
    <row r="112" spans="1:5" ht="12.75">
      <c r="A112" s="864"/>
      <c r="B112" s="52" t="s">
        <v>131</v>
      </c>
      <c r="C112" s="601">
        <f t="shared" si="31"/>
        <v>756.20850700000005</v>
      </c>
      <c r="D112" s="602">
        <v>1217</v>
      </c>
      <c r="E112" s="603">
        <f t="shared" si="29"/>
        <v>657.12766899999997</v>
      </c>
    </row>
    <row r="113" spans="1:5" ht="12.75">
      <c r="A113" s="864"/>
      <c r="B113" s="52" t="s">
        <v>136</v>
      </c>
      <c r="C113" s="601">
        <f t="shared" ref="C113:C114" si="32">D113*0.621371</f>
        <v>750.61616800000002</v>
      </c>
      <c r="D113" s="602">
        <v>1208</v>
      </c>
      <c r="E113" s="603">
        <f t="shared" si="29"/>
        <v>652.268056</v>
      </c>
    </row>
    <row r="114" spans="1:5" ht="12.75">
      <c r="A114" s="864"/>
      <c r="B114" s="52" t="s">
        <v>139</v>
      </c>
      <c r="C114" s="601">
        <f t="shared" si="32"/>
        <v>748.75205500000004</v>
      </c>
      <c r="D114" s="601">
        <v>1205</v>
      </c>
      <c r="E114" s="603">
        <f t="shared" si="29"/>
        <v>650.64818500000001</v>
      </c>
    </row>
    <row r="115" spans="1:5" ht="12.75">
      <c r="A115" s="864"/>
      <c r="B115" s="52" t="s">
        <v>142</v>
      </c>
      <c r="C115" s="601">
        <f>D115*0.621371192</f>
        <v>715.81961318399999</v>
      </c>
      <c r="D115" s="602">
        <v>1152</v>
      </c>
      <c r="E115" s="603">
        <f t="shared" si="29"/>
        <v>622.03046400000005</v>
      </c>
    </row>
    <row r="116" spans="1:5" ht="12.75">
      <c r="A116" s="864"/>
      <c r="B116" s="52" t="s">
        <v>137</v>
      </c>
      <c r="C116" s="601">
        <f>D116*0.621371</f>
        <v>715.81939199999999</v>
      </c>
      <c r="D116" s="601">
        <v>1152</v>
      </c>
      <c r="E116" s="603">
        <f t="shared" si="29"/>
        <v>622.03046400000005</v>
      </c>
    </row>
    <row r="117" spans="1:5" ht="12.75">
      <c r="A117" s="864"/>
      <c r="B117" s="52" t="s">
        <v>467</v>
      </c>
      <c r="C117" s="601">
        <f>0.621371*D117</f>
        <v>707.12019799999996</v>
      </c>
      <c r="D117" s="602">
        <v>1138</v>
      </c>
      <c r="E117" s="603">
        <f t="shared" si="29"/>
        <v>614.47106600000006</v>
      </c>
    </row>
    <row r="118" spans="1:5" ht="12.75">
      <c r="A118" s="864"/>
      <c r="B118" s="52" t="s">
        <v>148</v>
      </c>
      <c r="C118" s="601">
        <f>D118*0.621371</f>
        <v>706.49882700000001</v>
      </c>
      <c r="D118" s="602">
        <v>1137</v>
      </c>
      <c r="E118" s="603">
        <f t="shared" si="29"/>
        <v>613.93110899999999</v>
      </c>
    </row>
    <row r="119" spans="1:5" ht="12.75">
      <c r="A119" s="864"/>
      <c r="B119" s="399" t="s">
        <v>468</v>
      </c>
      <c r="C119" s="601">
        <f>D119*0.621371192</f>
        <v>705.25630292000005</v>
      </c>
      <c r="D119" s="602">
        <v>1135</v>
      </c>
      <c r="E119" s="603">
        <f t="shared" si="29"/>
        <v>612.85119500000008</v>
      </c>
    </row>
    <row r="120" spans="1:5" ht="12.75">
      <c r="A120" s="864"/>
      <c r="B120" s="52" t="s">
        <v>147</v>
      </c>
      <c r="C120" s="601">
        <f>0.621371*D120</f>
        <v>698.42100400000004</v>
      </c>
      <c r="D120" s="602">
        <v>1124</v>
      </c>
      <c r="E120" s="603">
        <f t="shared" si="29"/>
        <v>606.91166800000008</v>
      </c>
    </row>
    <row r="121" spans="1:5" ht="12.75">
      <c r="A121" s="865"/>
      <c r="B121" s="70" t="s">
        <v>149</v>
      </c>
      <c r="C121" s="606">
        <f t="shared" ref="C121:C122" si="33">D121*0.621371</f>
        <v>685.99358400000006</v>
      </c>
      <c r="D121" s="607">
        <v>1104</v>
      </c>
      <c r="E121" s="608">
        <f t="shared" si="29"/>
        <v>596.112528</v>
      </c>
    </row>
    <row r="122" spans="1:5" ht="12.75">
      <c r="A122" s="866">
        <v>9.3000000000000007</v>
      </c>
      <c r="B122" s="80" t="s">
        <v>156</v>
      </c>
      <c r="C122" s="597">
        <f t="shared" si="33"/>
        <v>753.72302300000001</v>
      </c>
      <c r="D122" s="597">
        <v>1213</v>
      </c>
      <c r="E122" s="599">
        <f t="shared" si="29"/>
        <v>654.96784100000002</v>
      </c>
    </row>
    <row r="123" spans="1:5" ht="12.75">
      <c r="A123" s="864"/>
      <c r="B123" s="62" t="s">
        <v>160</v>
      </c>
      <c r="C123" s="601">
        <f>0.621371*D123</f>
        <v>751.85891000000004</v>
      </c>
      <c r="D123" s="602">
        <v>1210</v>
      </c>
      <c r="E123" s="603">
        <f t="shared" si="29"/>
        <v>653.34797000000003</v>
      </c>
    </row>
    <row r="124" spans="1:5" ht="12.75">
      <c r="A124" s="864"/>
      <c r="B124" s="52" t="s">
        <v>155</v>
      </c>
      <c r="C124" s="601">
        <f>D124*0.621371</f>
        <v>750.61616800000002</v>
      </c>
      <c r="D124" s="601">
        <v>1208</v>
      </c>
      <c r="E124" s="603">
        <f t="shared" si="29"/>
        <v>652.268056</v>
      </c>
    </row>
    <row r="125" spans="1:5" ht="12.75">
      <c r="A125" s="864"/>
      <c r="B125" s="52" t="s">
        <v>158</v>
      </c>
      <c r="C125" s="601">
        <f>D125*0.621371192</f>
        <v>720.79058271999997</v>
      </c>
      <c r="D125" s="602">
        <v>1160</v>
      </c>
      <c r="E125" s="603">
        <f t="shared" si="29"/>
        <v>626.35012000000006</v>
      </c>
    </row>
    <row r="126" spans="1:5" ht="12.75">
      <c r="A126" s="864"/>
      <c r="B126" s="52" t="s">
        <v>150</v>
      </c>
      <c r="C126" s="601">
        <f t="shared" ref="C126:C128" si="34">0.621371*D126</f>
        <v>717.68350499999997</v>
      </c>
      <c r="D126" s="602">
        <v>1155</v>
      </c>
      <c r="E126" s="603">
        <f t="shared" si="29"/>
        <v>623.65033500000004</v>
      </c>
    </row>
    <row r="127" spans="1:5" ht="12.75">
      <c r="A127" s="864"/>
      <c r="B127" s="52" t="s">
        <v>152</v>
      </c>
      <c r="C127" s="601">
        <f t="shared" si="34"/>
        <v>717.06213400000001</v>
      </c>
      <c r="D127" s="602">
        <v>1154</v>
      </c>
      <c r="E127" s="603">
        <f t="shared" si="29"/>
        <v>623.11037799999997</v>
      </c>
    </row>
    <row r="128" spans="1:5" ht="12.75">
      <c r="A128" s="864"/>
      <c r="B128" s="62" t="s">
        <v>161</v>
      </c>
      <c r="C128" s="601">
        <f t="shared" si="34"/>
        <v>713.95527900000002</v>
      </c>
      <c r="D128" s="602">
        <v>1149</v>
      </c>
      <c r="E128" s="603">
        <f t="shared" si="29"/>
        <v>620.41059300000006</v>
      </c>
    </row>
    <row r="129" spans="1:5" ht="12.75">
      <c r="A129" s="864"/>
      <c r="B129" s="52" t="s">
        <v>144</v>
      </c>
      <c r="C129" s="601">
        <f>D129*0.621371192</f>
        <v>705.25630292000005</v>
      </c>
      <c r="D129" s="602">
        <v>1135</v>
      </c>
      <c r="E129" s="603">
        <f t="shared" si="29"/>
        <v>612.85119500000008</v>
      </c>
    </row>
    <row r="130" spans="1:5" ht="12.75">
      <c r="A130" s="864"/>
      <c r="B130" s="52" t="s">
        <v>157</v>
      </c>
      <c r="C130" s="601">
        <f>D130*0.621371</f>
        <v>698.42100400000004</v>
      </c>
      <c r="D130" s="601">
        <v>1124</v>
      </c>
      <c r="E130" s="603">
        <f t="shared" si="29"/>
        <v>606.91166800000008</v>
      </c>
    </row>
    <row r="131" spans="1:5" ht="12.75">
      <c r="A131" s="864"/>
      <c r="B131" s="62" t="s">
        <v>162</v>
      </c>
      <c r="C131" s="601">
        <f>0.621371*D131</f>
        <v>698.42100400000004</v>
      </c>
      <c r="D131" s="602">
        <v>1124</v>
      </c>
      <c r="E131" s="603">
        <f t="shared" si="29"/>
        <v>606.91166800000008</v>
      </c>
    </row>
    <row r="132" spans="1:5" ht="12.75">
      <c r="A132" s="864"/>
      <c r="B132" s="52" t="s">
        <v>154</v>
      </c>
      <c r="C132" s="601">
        <f t="shared" ref="C132:C133" si="35">D132*0.621371</f>
        <v>697.17826200000002</v>
      </c>
      <c r="D132" s="602">
        <v>1122</v>
      </c>
      <c r="E132" s="603">
        <f t="shared" si="29"/>
        <v>605.83175400000005</v>
      </c>
    </row>
    <row r="133" spans="1:5" ht="12.75">
      <c r="A133" s="864"/>
      <c r="B133" s="52" t="s">
        <v>164</v>
      </c>
      <c r="C133" s="601">
        <f t="shared" si="35"/>
        <v>695.31414900000004</v>
      </c>
      <c r="D133" s="602">
        <v>1119</v>
      </c>
      <c r="E133" s="603">
        <f t="shared" si="29"/>
        <v>604.21188300000006</v>
      </c>
    </row>
    <row r="134" spans="1:5" ht="12.75">
      <c r="A134" s="864"/>
      <c r="B134" s="52" t="s">
        <v>163</v>
      </c>
      <c r="C134" s="601">
        <f>0.621371*D134</f>
        <v>694.69277799999998</v>
      </c>
      <c r="D134" s="602">
        <v>1118</v>
      </c>
      <c r="E134" s="603">
        <f t="shared" si="29"/>
        <v>603.67192599999998</v>
      </c>
    </row>
    <row r="135" spans="1:5" ht="12.75">
      <c r="A135" s="864"/>
      <c r="B135" s="52" t="s">
        <v>153</v>
      </c>
      <c r="C135" s="601">
        <f t="shared" ref="C135:C137" si="36">D135*0.621371</f>
        <v>690.34318099999996</v>
      </c>
      <c r="D135" s="602">
        <v>1111</v>
      </c>
      <c r="E135" s="603">
        <f t="shared" si="29"/>
        <v>599.89222700000005</v>
      </c>
    </row>
    <row r="136" spans="1:5" ht="12.75">
      <c r="A136" s="864"/>
      <c r="B136" s="52" t="s">
        <v>159</v>
      </c>
      <c r="C136" s="601">
        <f t="shared" si="36"/>
        <v>687.23632599999996</v>
      </c>
      <c r="D136" s="602">
        <v>1106</v>
      </c>
      <c r="E136" s="603">
        <f t="shared" si="29"/>
        <v>597.19244200000003</v>
      </c>
    </row>
    <row r="137" spans="1:5" ht="12.75">
      <c r="A137" s="865"/>
      <c r="B137" s="70" t="s">
        <v>151</v>
      </c>
      <c r="C137" s="606">
        <f t="shared" si="36"/>
        <v>672.944793</v>
      </c>
      <c r="D137" s="607">
        <v>1083</v>
      </c>
      <c r="E137" s="608">
        <f t="shared" si="29"/>
        <v>584.77343100000007</v>
      </c>
    </row>
    <row r="138" spans="1:5" ht="12.75">
      <c r="A138" s="863">
        <v>9</v>
      </c>
      <c r="B138" s="80" t="s">
        <v>167</v>
      </c>
      <c r="C138" s="597">
        <f>0.621371*D138</f>
        <v>752.48028099999999</v>
      </c>
      <c r="D138" s="598">
        <v>1211</v>
      </c>
      <c r="E138" s="599">
        <f t="shared" si="29"/>
        <v>653.88792699999999</v>
      </c>
    </row>
    <row r="139" spans="1:5" ht="12.75">
      <c r="A139" s="864"/>
      <c r="B139" s="52" t="s">
        <v>142</v>
      </c>
      <c r="C139" s="601">
        <f>D139*0.621371192</f>
        <v>715.81961318399999</v>
      </c>
      <c r="D139" s="602">
        <v>1152</v>
      </c>
      <c r="E139" s="603">
        <f t="shared" si="29"/>
        <v>622.03046400000005</v>
      </c>
    </row>
    <row r="140" spans="1:5" ht="12.75">
      <c r="A140" s="864"/>
      <c r="B140" s="52" t="s">
        <v>173</v>
      </c>
      <c r="C140" s="601">
        <f t="shared" ref="C140:C141" si="37">D140*0.621371</f>
        <v>713.95527900000002</v>
      </c>
      <c r="D140" s="602">
        <v>1149</v>
      </c>
      <c r="E140" s="603">
        <f t="shared" si="29"/>
        <v>620.41059300000006</v>
      </c>
    </row>
    <row r="141" spans="1:5" ht="12.75">
      <c r="A141" s="864"/>
      <c r="B141" s="52" t="s">
        <v>178</v>
      </c>
      <c r="C141" s="601">
        <f t="shared" si="37"/>
        <v>699.04237499999999</v>
      </c>
      <c r="D141" s="601">
        <v>1125</v>
      </c>
      <c r="E141" s="603">
        <f t="shared" si="29"/>
        <v>607.45162500000004</v>
      </c>
    </row>
    <row r="142" spans="1:5" ht="12.75">
      <c r="A142" s="864"/>
      <c r="B142" s="52" t="s">
        <v>179</v>
      </c>
      <c r="C142" s="601">
        <f>0.621371*D142</f>
        <v>697.79963299999997</v>
      </c>
      <c r="D142" s="602">
        <v>1123</v>
      </c>
      <c r="E142" s="603">
        <f t="shared" si="29"/>
        <v>606.371711</v>
      </c>
    </row>
    <row r="143" spans="1:5" ht="12.75">
      <c r="A143" s="864"/>
      <c r="B143" s="350" t="s">
        <v>177</v>
      </c>
      <c r="C143" s="601">
        <f>D143*0.621371192</f>
        <v>695.93573504000005</v>
      </c>
      <c r="D143" s="602">
        <v>1120</v>
      </c>
      <c r="E143" s="603">
        <f t="shared" si="29"/>
        <v>604.75184000000002</v>
      </c>
    </row>
    <row r="144" spans="1:5" ht="12.75">
      <c r="A144" s="864"/>
      <c r="B144" s="52" t="s">
        <v>170</v>
      </c>
      <c r="C144" s="601">
        <f>D144*0.621371</f>
        <v>692.20729400000005</v>
      </c>
      <c r="D144" s="602">
        <v>1114</v>
      </c>
      <c r="E144" s="603">
        <f t="shared" si="29"/>
        <v>601.51209800000004</v>
      </c>
    </row>
    <row r="145" spans="1:5" ht="12.75">
      <c r="A145" s="864"/>
      <c r="B145" s="350" t="s">
        <v>175</v>
      </c>
      <c r="C145" s="601">
        <f>D145*0.621371192</f>
        <v>691.58613669600004</v>
      </c>
      <c r="D145" s="602">
        <v>1113</v>
      </c>
      <c r="E145" s="603">
        <f t="shared" si="29"/>
        <v>600.97214100000008</v>
      </c>
    </row>
    <row r="146" spans="1:5" ht="12.75">
      <c r="A146" s="864"/>
      <c r="B146" s="52" t="s">
        <v>180</v>
      </c>
      <c r="C146" s="601">
        <f t="shared" ref="C146:C148" si="38">D146*0.621371</f>
        <v>689.10043900000005</v>
      </c>
      <c r="D146" s="602">
        <v>1109</v>
      </c>
      <c r="E146" s="603">
        <f t="shared" si="29"/>
        <v>598.81231300000002</v>
      </c>
    </row>
    <row r="147" spans="1:5" ht="12.75">
      <c r="A147" s="864"/>
      <c r="B147" s="52" t="s">
        <v>165</v>
      </c>
      <c r="C147" s="601">
        <f t="shared" si="38"/>
        <v>687.23632599999996</v>
      </c>
      <c r="D147" s="602">
        <v>1106</v>
      </c>
      <c r="E147" s="603">
        <f t="shared" si="29"/>
        <v>597.19244200000003</v>
      </c>
    </row>
    <row r="148" spans="1:5" ht="12.75">
      <c r="A148" s="864"/>
      <c r="B148" s="52" t="s">
        <v>172</v>
      </c>
      <c r="C148" s="601">
        <f t="shared" si="38"/>
        <v>683.50810000000001</v>
      </c>
      <c r="D148" s="601">
        <v>1100</v>
      </c>
      <c r="E148" s="603">
        <f t="shared" si="29"/>
        <v>593.95270000000005</v>
      </c>
    </row>
    <row r="149" spans="1:5" ht="12.75">
      <c r="A149" s="864"/>
      <c r="B149" s="52" t="s">
        <v>181</v>
      </c>
      <c r="C149" s="601">
        <f t="shared" ref="C149:C152" si="39">0.621371*D149</f>
        <v>683.50810000000001</v>
      </c>
      <c r="D149" s="602">
        <v>1100</v>
      </c>
      <c r="E149" s="603">
        <f t="shared" si="29"/>
        <v>593.95270000000005</v>
      </c>
    </row>
    <row r="150" spans="1:5" ht="12.75">
      <c r="A150" s="864"/>
      <c r="B150" s="52" t="s">
        <v>168</v>
      </c>
      <c r="C150" s="601">
        <f t="shared" si="39"/>
        <v>678.53713200000004</v>
      </c>
      <c r="D150" s="602">
        <v>1092</v>
      </c>
      <c r="E150" s="603">
        <f t="shared" si="29"/>
        <v>589.63304400000004</v>
      </c>
    </row>
    <row r="151" spans="1:5" ht="12.75">
      <c r="A151" s="864"/>
      <c r="B151" s="52" t="s">
        <v>169</v>
      </c>
      <c r="C151" s="601">
        <f t="shared" si="39"/>
        <v>678.53713200000004</v>
      </c>
      <c r="D151" s="602">
        <v>1092</v>
      </c>
      <c r="E151" s="603">
        <f t="shared" si="29"/>
        <v>589.63304400000004</v>
      </c>
    </row>
    <row r="152" spans="1:5" ht="12.75">
      <c r="A152" s="864"/>
      <c r="B152" s="52" t="s">
        <v>174</v>
      </c>
      <c r="C152" s="601">
        <f t="shared" si="39"/>
        <v>675.43027700000005</v>
      </c>
      <c r="D152" s="602">
        <v>1087</v>
      </c>
      <c r="E152" s="603">
        <f t="shared" si="29"/>
        <v>586.93325900000002</v>
      </c>
    </row>
    <row r="153" spans="1:5" ht="12.75">
      <c r="A153" s="864"/>
      <c r="B153" s="52" t="s">
        <v>171</v>
      </c>
      <c r="C153" s="601">
        <f>D153*0.621371</f>
        <v>669.21656700000005</v>
      </c>
      <c r="D153" s="601">
        <v>1077</v>
      </c>
      <c r="E153" s="603">
        <f t="shared" si="29"/>
        <v>581.53368899999998</v>
      </c>
    </row>
    <row r="154" spans="1:5" ht="12.75">
      <c r="A154" s="864"/>
      <c r="B154" s="52" t="s">
        <v>166</v>
      </c>
      <c r="C154" s="601">
        <f>0.621371*D154</f>
        <v>661.13874399999997</v>
      </c>
      <c r="D154" s="602">
        <v>1064</v>
      </c>
      <c r="E154" s="603">
        <f t="shared" si="29"/>
        <v>574.51424800000007</v>
      </c>
    </row>
    <row r="155" spans="1:5" ht="12.75">
      <c r="A155" s="865"/>
      <c r="B155" s="70" t="s">
        <v>176</v>
      </c>
      <c r="C155" s="606">
        <f t="shared" ref="C155:C156" si="40">D155*0.621371192</f>
        <v>638.76958537600001</v>
      </c>
      <c r="D155" s="607">
        <v>1028</v>
      </c>
      <c r="E155" s="608">
        <f t="shared" si="29"/>
        <v>555.07579599999997</v>
      </c>
    </row>
    <row r="156" spans="1:5" ht="12.75">
      <c r="A156" s="866">
        <v>8.6999999999999993</v>
      </c>
      <c r="B156" s="80" t="s">
        <v>187</v>
      </c>
      <c r="C156" s="597">
        <f t="shared" si="40"/>
        <v>722.03332510400003</v>
      </c>
      <c r="D156" s="598">
        <v>1162</v>
      </c>
      <c r="E156" s="599">
        <f t="shared" si="29"/>
        <v>627.43003399999998</v>
      </c>
    </row>
    <row r="157" spans="1:5" ht="12.75">
      <c r="A157" s="864"/>
      <c r="B157" s="62" t="s">
        <v>190</v>
      </c>
      <c r="C157" s="601">
        <f>0.621371*D157</f>
        <v>693.45003599999995</v>
      </c>
      <c r="D157" s="602">
        <v>1116</v>
      </c>
      <c r="E157" s="603">
        <f t="shared" si="29"/>
        <v>602.59201200000007</v>
      </c>
    </row>
    <row r="158" spans="1:5" ht="12.75">
      <c r="A158" s="864"/>
      <c r="B158" s="52" t="s">
        <v>165</v>
      </c>
      <c r="C158" s="601">
        <f t="shared" ref="C158:C160" si="41">D158*0.621371</f>
        <v>687.23632599999996</v>
      </c>
      <c r="D158" s="602">
        <v>1106</v>
      </c>
      <c r="E158" s="603">
        <f t="shared" si="29"/>
        <v>597.19244200000003</v>
      </c>
    </row>
    <row r="159" spans="1:5" ht="12.75">
      <c r="A159" s="864"/>
      <c r="B159" s="52" t="s">
        <v>185</v>
      </c>
      <c r="C159" s="601">
        <f t="shared" si="41"/>
        <v>687.23632599999996</v>
      </c>
      <c r="D159" s="602">
        <v>1106</v>
      </c>
      <c r="E159" s="603">
        <f t="shared" si="29"/>
        <v>597.19244200000003</v>
      </c>
    </row>
    <row r="160" spans="1:5" ht="12.75">
      <c r="A160" s="864"/>
      <c r="B160" s="52" t="s">
        <v>188</v>
      </c>
      <c r="C160" s="601">
        <f t="shared" si="41"/>
        <v>687.23632599999996</v>
      </c>
      <c r="D160" s="602">
        <v>1106</v>
      </c>
      <c r="E160" s="603">
        <f t="shared" si="29"/>
        <v>597.19244200000003</v>
      </c>
    </row>
    <row r="161" spans="1:5" ht="12.75">
      <c r="A161" s="864"/>
      <c r="B161" s="52" t="s">
        <v>183</v>
      </c>
      <c r="C161" s="601">
        <f t="shared" ref="C161:C163" si="42">0.621371*D161</f>
        <v>684.75084200000003</v>
      </c>
      <c r="D161" s="602">
        <v>1102</v>
      </c>
      <c r="E161" s="603">
        <f t="shared" si="29"/>
        <v>595.03261399999997</v>
      </c>
    </row>
    <row r="162" spans="1:5" ht="12.75">
      <c r="A162" s="864"/>
      <c r="B162" s="52" t="s">
        <v>182</v>
      </c>
      <c r="C162" s="601">
        <f t="shared" si="42"/>
        <v>678.53713200000004</v>
      </c>
      <c r="D162" s="602">
        <v>1092</v>
      </c>
      <c r="E162" s="603">
        <f t="shared" si="29"/>
        <v>589.63304400000004</v>
      </c>
    </row>
    <row r="163" spans="1:5" ht="12.75">
      <c r="A163" s="864"/>
      <c r="B163" s="52" t="s">
        <v>174</v>
      </c>
      <c r="C163" s="601">
        <f t="shared" si="42"/>
        <v>675.43027700000005</v>
      </c>
      <c r="D163" s="602">
        <v>1087</v>
      </c>
      <c r="E163" s="603">
        <f t="shared" si="29"/>
        <v>586.93325900000002</v>
      </c>
    </row>
    <row r="164" spans="1:5" ht="12.75">
      <c r="A164" s="864"/>
      <c r="B164" s="52" t="s">
        <v>184</v>
      </c>
      <c r="C164" s="601">
        <f t="shared" ref="C164:C165" si="43">D164*0.621371</f>
        <v>670.45930899999996</v>
      </c>
      <c r="D164" s="601">
        <v>1079</v>
      </c>
      <c r="E164" s="603">
        <f t="shared" si="29"/>
        <v>582.61360300000001</v>
      </c>
    </row>
    <row r="165" spans="1:5" ht="12.75">
      <c r="A165" s="864"/>
      <c r="B165" s="52" t="s">
        <v>191</v>
      </c>
      <c r="C165" s="601">
        <f t="shared" si="43"/>
        <v>654.30366300000003</v>
      </c>
      <c r="D165" s="602">
        <v>1053</v>
      </c>
      <c r="E165" s="603">
        <f t="shared" si="29"/>
        <v>568.57472100000007</v>
      </c>
    </row>
    <row r="166" spans="1:5" ht="12.75">
      <c r="A166" s="864"/>
      <c r="B166" s="544" t="s">
        <v>189</v>
      </c>
      <c r="C166" s="601">
        <f>0.621371*D166</f>
        <v>651.19680800000003</v>
      </c>
      <c r="D166" s="602">
        <v>1048</v>
      </c>
      <c r="E166" s="603">
        <f t="shared" si="29"/>
        <v>565.87493600000005</v>
      </c>
    </row>
    <row r="167" spans="1:5" ht="12.75">
      <c r="A167" s="865"/>
      <c r="B167" s="70" t="s">
        <v>186</v>
      </c>
      <c r="C167" s="606">
        <f t="shared" ref="C167:C168" si="44">D167*0.621371192</f>
        <v>646.84741087200007</v>
      </c>
      <c r="D167" s="607">
        <v>1041</v>
      </c>
      <c r="E167" s="608">
        <f t="shared" si="29"/>
        <v>562.095237</v>
      </c>
    </row>
    <row r="168" spans="1:5" ht="12.75">
      <c r="A168" s="866">
        <v>8.3000000000000007</v>
      </c>
      <c r="B168" s="80" t="s">
        <v>198</v>
      </c>
      <c r="C168" s="597">
        <f t="shared" si="44"/>
        <v>705.87767411200002</v>
      </c>
      <c r="D168" s="598">
        <v>1136</v>
      </c>
      <c r="E168" s="599">
        <f t="shared" si="29"/>
        <v>613.39115200000003</v>
      </c>
    </row>
    <row r="169" spans="1:5" ht="12.75">
      <c r="A169" s="864"/>
      <c r="B169" s="52" t="s">
        <v>204</v>
      </c>
      <c r="C169" s="601">
        <f>D169*0.621371</f>
        <v>677.29439000000002</v>
      </c>
      <c r="D169" s="602">
        <v>1090</v>
      </c>
      <c r="E169" s="603">
        <f t="shared" si="29"/>
        <v>588.55313000000001</v>
      </c>
    </row>
    <row r="170" spans="1:5" ht="12.75">
      <c r="A170" s="864"/>
      <c r="B170" s="52" t="s">
        <v>197</v>
      </c>
      <c r="C170" s="601">
        <f>D170*0.621371192</f>
        <v>666.10991782400004</v>
      </c>
      <c r="D170" s="602">
        <v>1072</v>
      </c>
      <c r="E170" s="603">
        <f t="shared" si="29"/>
        <v>578.83390400000008</v>
      </c>
    </row>
    <row r="171" spans="1:5" ht="12.75">
      <c r="A171" s="864"/>
      <c r="B171" s="350" t="s">
        <v>196</v>
      </c>
      <c r="C171" s="601">
        <f>D171*0.621371</f>
        <v>656.167776</v>
      </c>
      <c r="D171" s="601">
        <v>1056</v>
      </c>
      <c r="E171" s="603">
        <f t="shared" si="29"/>
        <v>570.19459200000006</v>
      </c>
    </row>
    <row r="172" spans="1:5" ht="12.75">
      <c r="A172" s="864"/>
      <c r="B172" s="52" t="s">
        <v>200</v>
      </c>
      <c r="C172" s="601">
        <f t="shared" ref="C172:C173" si="45">0.621371*D172</f>
        <v>641.87624300000004</v>
      </c>
      <c r="D172" s="602">
        <v>1033</v>
      </c>
      <c r="E172" s="603">
        <f t="shared" si="29"/>
        <v>557.77558099999999</v>
      </c>
    </row>
    <row r="173" spans="1:5" ht="12.75">
      <c r="A173" s="864"/>
      <c r="B173" s="52" t="s">
        <v>194</v>
      </c>
      <c r="C173" s="601">
        <f t="shared" si="45"/>
        <v>641.25487199999998</v>
      </c>
      <c r="D173" s="602">
        <v>1032</v>
      </c>
      <c r="E173" s="603">
        <f t="shared" si="29"/>
        <v>557.23562400000003</v>
      </c>
    </row>
    <row r="174" spans="1:5" ht="12.75">
      <c r="A174" s="864"/>
      <c r="B174" s="52" t="s">
        <v>201</v>
      </c>
      <c r="C174" s="601">
        <f>D174*0.621371</f>
        <v>630.07019400000001</v>
      </c>
      <c r="D174" s="602">
        <v>1014</v>
      </c>
      <c r="E174" s="603">
        <f t="shared" si="29"/>
        <v>547.51639799999998</v>
      </c>
    </row>
    <row r="175" spans="1:5" ht="12.75">
      <c r="A175" s="864"/>
      <c r="B175" s="52" t="s">
        <v>199</v>
      </c>
      <c r="C175" s="601">
        <f t="shared" ref="C175:C176" si="46">0.621371*D175</f>
        <v>628.20608100000004</v>
      </c>
      <c r="D175" s="602">
        <v>1011</v>
      </c>
      <c r="E175" s="603">
        <f t="shared" si="29"/>
        <v>545.89652699999999</v>
      </c>
    </row>
    <row r="176" spans="1:5" ht="12.75">
      <c r="A176" s="864"/>
      <c r="B176" s="52" t="s">
        <v>193</v>
      </c>
      <c r="C176" s="601">
        <f t="shared" si="46"/>
        <v>613.29317700000001</v>
      </c>
      <c r="D176" s="602">
        <v>987</v>
      </c>
      <c r="E176" s="603">
        <f t="shared" si="29"/>
        <v>532.93755899999996</v>
      </c>
    </row>
    <row r="177" spans="1:5" ht="12.75">
      <c r="A177" s="864"/>
      <c r="B177" s="52" t="s">
        <v>469</v>
      </c>
      <c r="C177" s="601">
        <f t="shared" ref="C177:C179" si="47">D177*0.621371</f>
        <v>604.59398299999998</v>
      </c>
      <c r="D177" s="602">
        <v>973</v>
      </c>
      <c r="E177" s="603">
        <f t="shared" si="29"/>
        <v>525.37816099999998</v>
      </c>
    </row>
    <row r="178" spans="1:5" ht="12.75">
      <c r="A178" s="864"/>
      <c r="B178" s="52" t="s">
        <v>470</v>
      </c>
      <c r="C178" s="601">
        <f t="shared" si="47"/>
        <v>604.59398299999998</v>
      </c>
      <c r="D178" s="602">
        <v>973</v>
      </c>
      <c r="E178" s="603">
        <f t="shared" si="29"/>
        <v>525.37816099999998</v>
      </c>
    </row>
    <row r="179" spans="1:5" ht="12.75">
      <c r="A179" s="864"/>
      <c r="B179" s="52" t="s">
        <v>471</v>
      </c>
      <c r="C179" s="601">
        <f t="shared" si="47"/>
        <v>602.10849900000005</v>
      </c>
      <c r="D179" s="602">
        <v>969</v>
      </c>
      <c r="E179" s="603">
        <f t="shared" si="29"/>
        <v>523.21833300000003</v>
      </c>
    </row>
    <row r="180" spans="1:5" ht="12.75">
      <c r="A180" s="865"/>
      <c r="B180" s="70" t="s">
        <v>192</v>
      </c>
      <c r="C180" s="606">
        <f>0.621371*D180</f>
        <v>589.059708</v>
      </c>
      <c r="D180" s="607">
        <v>948</v>
      </c>
      <c r="E180" s="608">
        <f t="shared" si="29"/>
        <v>511.87923599999999</v>
      </c>
    </row>
    <row r="181" spans="1:5" ht="12.75">
      <c r="A181" s="863">
        <v>8</v>
      </c>
      <c r="B181" s="80" t="s">
        <v>213</v>
      </c>
      <c r="C181" s="597">
        <f>D181*0.621371</f>
        <v>684.75084200000003</v>
      </c>
      <c r="D181" s="597">
        <v>1102</v>
      </c>
      <c r="E181" s="599">
        <f t="shared" si="29"/>
        <v>595.03261399999997</v>
      </c>
    </row>
    <row r="182" spans="1:5" ht="12.75">
      <c r="A182" s="864"/>
      <c r="B182" s="52" t="s">
        <v>220</v>
      </c>
      <c r="C182" s="601">
        <f>0.621371*D182</f>
        <v>654.92503399999998</v>
      </c>
      <c r="D182" s="602">
        <v>1054</v>
      </c>
      <c r="E182" s="603">
        <f t="shared" si="29"/>
        <v>569.11467800000003</v>
      </c>
    </row>
    <row r="183" spans="1:5" ht="12.75">
      <c r="A183" s="864"/>
      <c r="B183" s="52" t="s">
        <v>212</v>
      </c>
      <c r="C183" s="601">
        <f t="shared" ref="C183:C185" si="48">D183*0.621371</f>
        <v>641.25487199999998</v>
      </c>
      <c r="D183" s="601">
        <v>1032</v>
      </c>
      <c r="E183" s="603">
        <f t="shared" si="29"/>
        <v>557.23562400000003</v>
      </c>
    </row>
    <row r="184" spans="1:5" ht="12.75">
      <c r="A184" s="864"/>
      <c r="B184" s="350" t="s">
        <v>222</v>
      </c>
      <c r="C184" s="601">
        <f t="shared" si="48"/>
        <v>630.07019400000001</v>
      </c>
      <c r="D184" s="602">
        <v>1014</v>
      </c>
      <c r="E184" s="603">
        <f t="shared" si="29"/>
        <v>547.51639799999998</v>
      </c>
    </row>
    <row r="185" spans="1:5" ht="12.75">
      <c r="A185" s="864"/>
      <c r="B185" s="350" t="s">
        <v>472</v>
      </c>
      <c r="C185" s="601">
        <f t="shared" si="48"/>
        <v>626.34196799999995</v>
      </c>
      <c r="D185" s="602">
        <v>1008</v>
      </c>
      <c r="E185" s="603">
        <f t="shared" si="29"/>
        <v>544.276656</v>
      </c>
    </row>
    <row r="186" spans="1:5" ht="12.75">
      <c r="A186" s="864"/>
      <c r="B186" s="52" t="s">
        <v>205</v>
      </c>
      <c r="C186" s="601">
        <f>0.621371*D186</f>
        <v>608.94358</v>
      </c>
      <c r="D186" s="602">
        <v>980</v>
      </c>
      <c r="E186" s="603">
        <f t="shared" si="29"/>
        <v>529.15786000000003</v>
      </c>
    </row>
    <row r="187" spans="1:5" ht="12.75">
      <c r="A187" s="864"/>
      <c r="B187" s="52" t="s">
        <v>217</v>
      </c>
      <c r="C187" s="601">
        <f>D187*0.621371192</f>
        <v>602.73005624000007</v>
      </c>
      <c r="D187" s="602">
        <v>970</v>
      </c>
      <c r="E187" s="603">
        <f t="shared" si="29"/>
        <v>523.75828999999999</v>
      </c>
    </row>
    <row r="188" spans="1:5" ht="12.75">
      <c r="A188" s="864"/>
      <c r="B188" s="52" t="s">
        <v>208</v>
      </c>
      <c r="C188" s="601">
        <f>D188*0.621371</f>
        <v>602.10849900000005</v>
      </c>
      <c r="D188" s="602">
        <v>969</v>
      </c>
      <c r="E188" s="603">
        <f t="shared" si="29"/>
        <v>523.21833300000003</v>
      </c>
    </row>
    <row r="189" spans="1:5" ht="12.75">
      <c r="A189" s="864"/>
      <c r="B189" s="52" t="s">
        <v>218</v>
      </c>
      <c r="C189" s="601">
        <f>D189*0.621371192</f>
        <v>600.24457147199996</v>
      </c>
      <c r="D189" s="602">
        <v>966</v>
      </c>
      <c r="E189" s="603">
        <f t="shared" si="29"/>
        <v>521.59846200000004</v>
      </c>
    </row>
    <row r="190" spans="1:5" ht="12.75">
      <c r="A190" s="864"/>
      <c r="B190" s="52" t="s">
        <v>219</v>
      </c>
      <c r="C190" s="601">
        <f>D190*0.621371</f>
        <v>599.62301500000001</v>
      </c>
      <c r="D190" s="602">
        <v>965</v>
      </c>
      <c r="E190" s="603">
        <f t="shared" si="29"/>
        <v>521.05850499999997</v>
      </c>
    </row>
    <row r="191" spans="1:5" ht="12.75">
      <c r="A191" s="864"/>
      <c r="B191" s="52" t="s">
        <v>216</v>
      </c>
      <c r="C191" s="601">
        <f>D191*0.621371192</f>
        <v>592.78811716799999</v>
      </c>
      <c r="D191" s="602">
        <v>954</v>
      </c>
      <c r="E191" s="603">
        <f t="shared" si="29"/>
        <v>515.11897799999997</v>
      </c>
    </row>
    <row r="192" spans="1:5" ht="12.75">
      <c r="A192" s="864"/>
      <c r="B192" s="52" t="s">
        <v>214</v>
      </c>
      <c r="C192" s="601">
        <f t="shared" ref="C192:C193" si="49">D192*0.621371</f>
        <v>587.19559500000003</v>
      </c>
      <c r="D192" s="601">
        <v>945</v>
      </c>
      <c r="E192" s="603">
        <f t="shared" si="29"/>
        <v>510.259365</v>
      </c>
    </row>
    <row r="193" spans="1:5" ht="12.75">
      <c r="A193" s="864"/>
      <c r="B193" s="52" t="s">
        <v>215</v>
      </c>
      <c r="C193" s="601">
        <f t="shared" si="49"/>
        <v>587.19559500000003</v>
      </c>
      <c r="D193" s="601">
        <v>945</v>
      </c>
      <c r="E193" s="603">
        <f t="shared" si="29"/>
        <v>510.259365</v>
      </c>
    </row>
    <row r="194" spans="1:5" ht="12.75">
      <c r="A194" s="864"/>
      <c r="B194" s="52" t="s">
        <v>473</v>
      </c>
      <c r="C194" s="601">
        <f t="shared" ref="C194:C195" si="50">0.621371*D194</f>
        <v>581.60325599999999</v>
      </c>
      <c r="D194" s="602">
        <v>936</v>
      </c>
      <c r="E194" s="603">
        <f t="shared" si="29"/>
        <v>505.39975200000003</v>
      </c>
    </row>
    <row r="195" spans="1:5" ht="12.75">
      <c r="A195" s="864"/>
      <c r="B195" s="52" t="s">
        <v>207</v>
      </c>
      <c r="C195" s="601">
        <f t="shared" si="50"/>
        <v>581.60325599999999</v>
      </c>
      <c r="D195" s="602">
        <v>936</v>
      </c>
      <c r="E195" s="603">
        <f t="shared" si="29"/>
        <v>505.39975200000003</v>
      </c>
    </row>
    <row r="196" spans="1:5" ht="12.75">
      <c r="A196" s="864"/>
      <c r="B196" s="52" t="s">
        <v>211</v>
      </c>
      <c r="C196" s="601">
        <f>D196*0.621371</f>
        <v>528.16534999999999</v>
      </c>
      <c r="D196" s="601">
        <v>850</v>
      </c>
      <c r="E196" s="603">
        <f t="shared" si="29"/>
        <v>458.96345000000002</v>
      </c>
    </row>
    <row r="197" spans="1:5" ht="12.75">
      <c r="A197" s="865"/>
      <c r="B197" s="70" t="s">
        <v>221</v>
      </c>
      <c r="C197" s="606">
        <f>0.621371*D197</f>
        <v>0</v>
      </c>
      <c r="D197" s="627"/>
      <c r="E197" s="608">
        <f t="shared" si="29"/>
        <v>0</v>
      </c>
    </row>
    <row r="198" spans="1:5" ht="12.75">
      <c r="A198" s="866">
        <v>7.7</v>
      </c>
      <c r="B198" s="80" t="s">
        <v>474</v>
      </c>
      <c r="C198" s="597">
        <f t="shared" ref="C198:C199" si="51">D198*0.621371</f>
        <v>626.34196799999995</v>
      </c>
      <c r="D198" s="598">
        <v>1008</v>
      </c>
      <c r="E198" s="599">
        <f t="shared" si="29"/>
        <v>544.276656</v>
      </c>
    </row>
    <row r="199" spans="1:5" ht="12.75">
      <c r="A199" s="864"/>
      <c r="B199" s="350" t="s">
        <v>475</v>
      </c>
      <c r="C199" s="601">
        <f t="shared" si="51"/>
        <v>598.38027299999999</v>
      </c>
      <c r="D199" s="601">
        <v>963</v>
      </c>
      <c r="E199" s="603">
        <f t="shared" si="29"/>
        <v>519.97859100000005</v>
      </c>
    </row>
    <row r="200" spans="1:5" ht="12.75">
      <c r="A200" s="864"/>
      <c r="B200" s="52" t="s">
        <v>223</v>
      </c>
      <c r="C200" s="601">
        <f>0.621371*D200</f>
        <v>592.166563</v>
      </c>
      <c r="D200" s="602">
        <v>953</v>
      </c>
      <c r="E200" s="603">
        <f t="shared" si="29"/>
        <v>514.57902100000001</v>
      </c>
    </row>
    <row r="201" spans="1:5" ht="12.75">
      <c r="A201" s="864"/>
      <c r="B201" s="52" t="s">
        <v>236</v>
      </c>
      <c r="C201" s="601">
        <f>D201*0.621371</f>
        <v>590.30245000000002</v>
      </c>
      <c r="D201" s="602">
        <v>950</v>
      </c>
      <c r="E201" s="603">
        <f t="shared" si="29"/>
        <v>512.95915000000002</v>
      </c>
    </row>
    <row r="202" spans="1:5" ht="12.75">
      <c r="A202" s="864"/>
      <c r="B202" s="350" t="s">
        <v>235</v>
      </c>
      <c r="C202" s="601">
        <f>0.621371*D202</f>
        <v>587.19559500000003</v>
      </c>
      <c r="D202" s="602">
        <v>945</v>
      </c>
      <c r="E202" s="603">
        <f t="shared" si="29"/>
        <v>510.259365</v>
      </c>
    </row>
    <row r="203" spans="1:5" ht="12.75">
      <c r="A203" s="864"/>
      <c r="B203" s="52" t="s">
        <v>230</v>
      </c>
      <c r="C203" s="601">
        <f>D203*0.621371192</f>
        <v>585.95303405599998</v>
      </c>
      <c r="D203" s="602">
        <v>943</v>
      </c>
      <c r="E203" s="603">
        <f t="shared" si="29"/>
        <v>509.17945100000003</v>
      </c>
    </row>
    <row r="204" spans="1:5" ht="12.75">
      <c r="A204" s="864"/>
      <c r="B204" s="52" t="s">
        <v>234</v>
      </c>
      <c r="C204" s="601">
        <f>0.621371*D204</f>
        <v>585.952853</v>
      </c>
      <c r="D204" s="602">
        <v>943</v>
      </c>
      <c r="E204" s="603">
        <f t="shared" si="29"/>
        <v>509.17945100000003</v>
      </c>
    </row>
    <row r="205" spans="1:5" ht="12.75">
      <c r="A205" s="864"/>
      <c r="B205" s="52" t="s">
        <v>476</v>
      </c>
      <c r="C205" s="601">
        <f t="shared" ref="C205:C208" si="52">D205*0.621371</f>
        <v>577.25365899999997</v>
      </c>
      <c r="D205" s="601">
        <v>929</v>
      </c>
      <c r="E205" s="603">
        <f t="shared" si="29"/>
        <v>501.62005300000004</v>
      </c>
    </row>
    <row r="206" spans="1:5" ht="12.75">
      <c r="A206" s="864"/>
      <c r="B206" s="52" t="s">
        <v>232</v>
      </c>
      <c r="C206" s="601">
        <f t="shared" si="52"/>
        <v>552.398819</v>
      </c>
      <c r="D206" s="602">
        <v>889</v>
      </c>
      <c r="E206" s="603">
        <f t="shared" si="29"/>
        <v>480.021773</v>
      </c>
    </row>
    <row r="207" spans="1:5" ht="12.75">
      <c r="A207" s="864"/>
      <c r="B207" s="52" t="s">
        <v>229</v>
      </c>
      <c r="C207" s="601">
        <f t="shared" si="52"/>
        <v>549.91333499999996</v>
      </c>
      <c r="D207" s="602">
        <v>885</v>
      </c>
      <c r="E207" s="603">
        <f t="shared" si="29"/>
        <v>477.86194499999999</v>
      </c>
    </row>
    <row r="208" spans="1:5" ht="12.75">
      <c r="A208" s="864"/>
      <c r="B208" s="52" t="s">
        <v>233</v>
      </c>
      <c r="C208" s="601">
        <f t="shared" si="52"/>
        <v>539.97139900000002</v>
      </c>
      <c r="D208" s="602">
        <v>869</v>
      </c>
      <c r="E208" s="603">
        <f t="shared" si="29"/>
        <v>469.22263300000003</v>
      </c>
    </row>
    <row r="209" spans="1:5" ht="12.75">
      <c r="A209" s="865"/>
      <c r="B209" s="70" t="s">
        <v>231</v>
      </c>
      <c r="C209" s="606">
        <f t="shared" ref="C209:C210" si="53">D209*0.621371192</f>
        <v>516.98083174400006</v>
      </c>
      <c r="D209" s="607">
        <v>832</v>
      </c>
      <c r="E209" s="608">
        <f t="shared" si="29"/>
        <v>449.24422400000003</v>
      </c>
    </row>
    <row r="210" spans="1:5" ht="12.75">
      <c r="A210" s="866">
        <v>7.3</v>
      </c>
      <c r="B210" s="80" t="s">
        <v>243</v>
      </c>
      <c r="C210" s="597">
        <f t="shared" si="53"/>
        <v>587.817147632</v>
      </c>
      <c r="D210" s="598">
        <v>946</v>
      </c>
      <c r="E210" s="599">
        <f t="shared" si="29"/>
        <v>510.79932200000002</v>
      </c>
    </row>
    <row r="211" spans="1:5" ht="12.75">
      <c r="A211" s="864"/>
      <c r="B211" s="52" t="s">
        <v>477</v>
      </c>
      <c r="C211" s="601">
        <f t="shared" ref="C211:C212" si="54">0.621371*D211</f>
        <v>577.25365899999997</v>
      </c>
      <c r="D211" s="602">
        <v>929</v>
      </c>
      <c r="E211" s="603">
        <f t="shared" si="29"/>
        <v>501.62005300000004</v>
      </c>
    </row>
    <row r="212" spans="1:5" ht="12.75">
      <c r="A212" s="864"/>
      <c r="B212" s="350" t="s">
        <v>238</v>
      </c>
      <c r="C212" s="601">
        <f t="shared" si="54"/>
        <v>571.66132000000005</v>
      </c>
      <c r="D212" s="602">
        <v>920</v>
      </c>
      <c r="E212" s="603">
        <f t="shared" si="29"/>
        <v>496.76044000000002</v>
      </c>
    </row>
    <row r="213" spans="1:5" ht="12.75">
      <c r="A213" s="864"/>
      <c r="B213" s="350" t="s">
        <v>244</v>
      </c>
      <c r="C213" s="601">
        <f>D213*0.621371192</f>
        <v>570.41875425600006</v>
      </c>
      <c r="D213" s="602">
        <v>918</v>
      </c>
      <c r="E213" s="603">
        <f t="shared" si="29"/>
        <v>495.68052600000004</v>
      </c>
    </row>
    <row r="214" spans="1:5" ht="12.75">
      <c r="A214" s="864"/>
      <c r="B214" s="52" t="s">
        <v>241</v>
      </c>
      <c r="C214" s="601">
        <f t="shared" ref="C214:C216" si="55">D214*0.621371</f>
        <v>538.728657</v>
      </c>
      <c r="D214" s="601">
        <v>867</v>
      </c>
      <c r="E214" s="603">
        <f t="shared" si="29"/>
        <v>468.142719</v>
      </c>
    </row>
    <row r="215" spans="1:5" ht="12.75">
      <c r="A215" s="864"/>
      <c r="B215" s="52" t="s">
        <v>478</v>
      </c>
      <c r="C215" s="601">
        <f t="shared" si="55"/>
        <v>535.00043100000005</v>
      </c>
      <c r="D215" s="602">
        <v>861</v>
      </c>
      <c r="E215" s="603">
        <f t="shared" si="29"/>
        <v>464.90297700000002</v>
      </c>
    </row>
    <row r="216" spans="1:5" ht="12.75">
      <c r="A216" s="864"/>
      <c r="B216" s="52" t="s">
        <v>245</v>
      </c>
      <c r="C216" s="601">
        <f t="shared" si="55"/>
        <v>530.02946299999996</v>
      </c>
      <c r="D216" s="602">
        <v>853</v>
      </c>
      <c r="E216" s="603">
        <f t="shared" si="29"/>
        <v>460.58332100000001</v>
      </c>
    </row>
    <row r="217" spans="1:5" ht="12.75">
      <c r="A217" s="864"/>
      <c r="B217" s="52" t="s">
        <v>242</v>
      </c>
      <c r="C217" s="601">
        <f>D217*0.621371192</f>
        <v>528.16551319999996</v>
      </c>
      <c r="D217" s="602">
        <v>850</v>
      </c>
      <c r="E217" s="603">
        <f t="shared" si="29"/>
        <v>458.96345000000002</v>
      </c>
    </row>
    <row r="218" spans="1:5" ht="12.75">
      <c r="A218" s="864"/>
      <c r="B218" s="52" t="s">
        <v>239</v>
      </c>
      <c r="C218" s="601">
        <f t="shared" ref="C218:C220" si="56">D218*0.621371</f>
        <v>521.33026900000004</v>
      </c>
      <c r="D218" s="602">
        <v>839</v>
      </c>
      <c r="E218" s="603">
        <f t="shared" si="29"/>
        <v>453.02392300000002</v>
      </c>
    </row>
    <row r="219" spans="1:5" ht="12.75">
      <c r="A219" s="865"/>
      <c r="B219" s="70" t="s">
        <v>479</v>
      </c>
      <c r="C219" s="606">
        <f t="shared" si="56"/>
        <v>451.736717</v>
      </c>
      <c r="D219" s="607">
        <v>727</v>
      </c>
      <c r="E219" s="608">
        <f t="shared" si="29"/>
        <v>392.54873900000001</v>
      </c>
    </row>
    <row r="220" spans="1:5" ht="12.75">
      <c r="A220" s="863">
        <v>7</v>
      </c>
      <c r="B220" s="80" t="s">
        <v>253</v>
      </c>
      <c r="C220" s="597">
        <f t="shared" si="56"/>
        <v>586.57422399999996</v>
      </c>
      <c r="D220" s="597">
        <v>944</v>
      </c>
      <c r="E220" s="599">
        <f t="shared" si="29"/>
        <v>509.71940800000004</v>
      </c>
    </row>
    <row r="221" spans="1:5" ht="12.75">
      <c r="A221" s="864"/>
      <c r="B221" s="52" t="s">
        <v>247</v>
      </c>
      <c r="C221" s="601">
        <f>0.621371*D221</f>
        <v>548.04922199999999</v>
      </c>
      <c r="D221" s="602">
        <v>882</v>
      </c>
      <c r="E221" s="603">
        <f t="shared" si="29"/>
        <v>476.242074</v>
      </c>
    </row>
    <row r="222" spans="1:5" ht="12.75">
      <c r="A222" s="864"/>
      <c r="B222" s="52" t="s">
        <v>252</v>
      </c>
      <c r="C222" s="601">
        <f>D222*0.621371</f>
        <v>530.65083400000003</v>
      </c>
      <c r="D222" s="601">
        <v>854</v>
      </c>
      <c r="E222" s="603">
        <f t="shared" si="29"/>
        <v>461.12327800000003</v>
      </c>
    </row>
    <row r="223" spans="1:5" ht="12.75">
      <c r="A223" s="864"/>
      <c r="B223" s="350" t="s">
        <v>248</v>
      </c>
      <c r="C223" s="601">
        <f>0.621371*D223</f>
        <v>523.81575299999997</v>
      </c>
      <c r="D223" s="602">
        <v>843</v>
      </c>
      <c r="E223" s="603">
        <f t="shared" si="29"/>
        <v>455.18375100000003</v>
      </c>
    </row>
    <row r="224" spans="1:5" ht="12.75">
      <c r="A224" s="864"/>
      <c r="B224" s="52" t="s">
        <v>250</v>
      </c>
      <c r="C224" s="601">
        <f t="shared" ref="C224:C225" si="57">D224*0.621371</f>
        <v>523.19438200000002</v>
      </c>
      <c r="D224" s="602">
        <v>842</v>
      </c>
      <c r="E224" s="603">
        <f t="shared" si="29"/>
        <v>454.64379400000001</v>
      </c>
    </row>
    <row r="225" spans="1:5" ht="12.75">
      <c r="A225" s="864"/>
      <c r="B225" s="52" t="s">
        <v>255</v>
      </c>
      <c r="C225" s="601">
        <f t="shared" si="57"/>
        <v>520.08752700000002</v>
      </c>
      <c r="D225" s="602">
        <v>837</v>
      </c>
      <c r="E225" s="603">
        <f t="shared" si="29"/>
        <v>451.94400899999999</v>
      </c>
    </row>
    <row r="226" spans="1:5" ht="12.75">
      <c r="A226" s="864"/>
      <c r="B226" s="52" t="s">
        <v>254</v>
      </c>
      <c r="C226" s="601">
        <f>D226*0.621371192</f>
        <v>490.88324168000003</v>
      </c>
      <c r="D226" s="602">
        <v>790</v>
      </c>
      <c r="E226" s="603">
        <f t="shared" si="29"/>
        <v>426.56603000000001</v>
      </c>
    </row>
    <row r="227" spans="1:5" ht="12.75">
      <c r="A227" s="864"/>
      <c r="B227" s="52" t="s">
        <v>256</v>
      </c>
      <c r="C227" s="601">
        <f t="shared" ref="C227:C233" si="58">D227*0.621371</f>
        <v>489.01897700000001</v>
      </c>
      <c r="D227" s="602">
        <v>787</v>
      </c>
      <c r="E227" s="603">
        <f t="shared" si="29"/>
        <v>424.94615900000002</v>
      </c>
    </row>
    <row r="228" spans="1:5" ht="12.75">
      <c r="A228" s="864"/>
      <c r="B228" s="52" t="s">
        <v>249</v>
      </c>
      <c r="C228" s="601">
        <f t="shared" si="58"/>
        <v>479.07704100000001</v>
      </c>
      <c r="D228" s="601">
        <v>771</v>
      </c>
      <c r="E228" s="603">
        <f t="shared" si="29"/>
        <v>416.306847</v>
      </c>
    </row>
    <row r="229" spans="1:5" ht="12.75">
      <c r="A229" s="865"/>
      <c r="B229" s="399" t="s">
        <v>251</v>
      </c>
      <c r="C229" s="601">
        <f t="shared" si="58"/>
        <v>453.60083000000003</v>
      </c>
      <c r="D229" s="601">
        <v>730</v>
      </c>
      <c r="E229" s="603">
        <f t="shared" si="29"/>
        <v>394.16861</v>
      </c>
    </row>
    <row r="230" spans="1:5" ht="12.75">
      <c r="A230" s="866">
        <v>6.7</v>
      </c>
      <c r="B230" s="80" t="s">
        <v>480</v>
      </c>
      <c r="C230" s="597">
        <f t="shared" si="58"/>
        <v>543.69962499999997</v>
      </c>
      <c r="D230" s="598">
        <v>875</v>
      </c>
      <c r="E230" s="599">
        <f t="shared" si="29"/>
        <v>472.46237500000001</v>
      </c>
    </row>
    <row r="231" spans="1:5" ht="12.75">
      <c r="A231" s="864"/>
      <c r="B231" s="52" t="s">
        <v>257</v>
      </c>
      <c r="C231" s="601">
        <f t="shared" si="58"/>
        <v>525.67986600000006</v>
      </c>
      <c r="D231" s="602">
        <v>846</v>
      </c>
      <c r="E231" s="603">
        <f t="shared" si="29"/>
        <v>456.80362200000002</v>
      </c>
    </row>
    <row r="232" spans="1:5" ht="12.75">
      <c r="A232" s="864"/>
      <c r="B232" s="52" t="s">
        <v>261</v>
      </c>
      <c r="C232" s="601">
        <f t="shared" si="58"/>
        <v>478.45567</v>
      </c>
      <c r="D232" s="602">
        <v>770</v>
      </c>
      <c r="E232" s="603">
        <f t="shared" si="29"/>
        <v>415.76688999999999</v>
      </c>
    </row>
    <row r="233" spans="1:5" ht="12.75">
      <c r="A233" s="864"/>
      <c r="B233" s="52" t="s">
        <v>481</v>
      </c>
      <c r="C233" s="601">
        <f t="shared" si="58"/>
        <v>462.92139500000002</v>
      </c>
      <c r="D233" s="601">
        <v>745</v>
      </c>
      <c r="E233" s="603">
        <f t="shared" si="29"/>
        <v>402.267965</v>
      </c>
    </row>
    <row r="234" spans="1:5" ht="12.75">
      <c r="A234" s="865"/>
      <c r="B234" s="70" t="s">
        <v>258</v>
      </c>
      <c r="C234" s="606">
        <f>0.621371*D234</f>
        <v>416.93994099999998</v>
      </c>
      <c r="D234" s="606">
        <v>671</v>
      </c>
      <c r="E234" s="608">
        <f t="shared" si="29"/>
        <v>362.31114700000001</v>
      </c>
    </row>
  </sheetData>
  <mergeCells count="31">
    <mergeCell ref="J6:K7"/>
    <mergeCell ref="G8:N8"/>
    <mergeCell ref="A1:A2"/>
    <mergeCell ref="B1:B2"/>
    <mergeCell ref="C1:E1"/>
    <mergeCell ref="F1:F2"/>
    <mergeCell ref="G1:L1"/>
    <mergeCell ref="G2:L2"/>
    <mergeCell ref="A3:A9"/>
    <mergeCell ref="A10:A14"/>
    <mergeCell ref="A15:A21"/>
    <mergeCell ref="A22:A26"/>
    <mergeCell ref="A27:A32"/>
    <mergeCell ref="G30:I35"/>
    <mergeCell ref="A33:A36"/>
    <mergeCell ref="A37:A47"/>
    <mergeCell ref="A138:A155"/>
    <mergeCell ref="A156:A167"/>
    <mergeCell ref="A168:A180"/>
    <mergeCell ref="A181:A197"/>
    <mergeCell ref="A198:A209"/>
    <mergeCell ref="A210:A219"/>
    <mergeCell ref="A220:A229"/>
    <mergeCell ref="A230:A234"/>
    <mergeCell ref="A48:A60"/>
    <mergeCell ref="A61:A68"/>
    <mergeCell ref="A69:A85"/>
    <mergeCell ref="A86:A93"/>
    <mergeCell ref="A94:A101"/>
    <mergeCell ref="A102:A121"/>
    <mergeCell ref="A122:A137"/>
  </mergeCells>
  <conditionalFormatting sqref="A3:A234">
    <cfRule type="colorScale" priority="1">
      <colorScale>
        <cfvo type="min"/>
        <cfvo type="percentile" val="50"/>
        <cfvo type="max"/>
        <color rgb="FF57BB8A"/>
        <color rgb="FFFFD666"/>
        <color rgb="FFE67C73"/>
      </colorScale>
    </cfRule>
  </conditionalFormatting>
  <hyperlinks>
    <hyperlink ref="G2" r:id="rId1" location="gid=0" xr:uid="{00000000-0004-0000-0300-000000000000}"/>
    <hyperlink ref="G30" r:id="rId2" location="gid=791410855" xr:uid="{00000000-0004-0000-0300-000001000000}"/>
  </hyperlinks>
  <pageMargins left="0.7" right="0.7" top="0.75" bottom="0.75" header="0.3" footer="0.3"/>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28"/>
  <sheetViews>
    <sheetView showGridLines="0" workbookViewId="0"/>
  </sheetViews>
  <sheetFormatPr defaultColWidth="12.5703125" defaultRowHeight="15.75" customHeight="1"/>
  <sheetData>
    <row r="1" spans="1:16" ht="15.75" customHeight="1">
      <c r="A1" s="915" t="s">
        <v>482</v>
      </c>
      <c r="B1" s="868"/>
      <c r="C1" s="868"/>
      <c r="D1" s="868"/>
      <c r="E1" s="868"/>
      <c r="F1" s="868"/>
      <c r="G1" s="868"/>
      <c r="H1" s="868"/>
      <c r="I1" s="868"/>
      <c r="K1" s="916" t="s">
        <v>483</v>
      </c>
      <c r="L1" s="868"/>
      <c r="M1" s="868"/>
      <c r="N1" s="868"/>
      <c r="O1" s="868"/>
      <c r="P1" s="868"/>
    </row>
    <row r="2" spans="1:16" ht="15.75" customHeight="1">
      <c r="A2" s="868"/>
      <c r="B2" s="868"/>
      <c r="C2" s="868"/>
      <c r="D2" s="868"/>
      <c r="E2" s="868"/>
      <c r="F2" s="868"/>
      <c r="G2" s="868"/>
      <c r="H2" s="868"/>
      <c r="I2" s="868"/>
      <c r="K2" s="868"/>
      <c r="L2" s="868"/>
      <c r="M2" s="868"/>
      <c r="N2" s="868"/>
      <c r="O2" s="868"/>
      <c r="P2" s="868"/>
    </row>
    <row r="3" spans="1:16" ht="15.75" customHeight="1">
      <c r="A3" s="868"/>
      <c r="B3" s="868"/>
      <c r="C3" s="868"/>
      <c r="D3" s="868"/>
      <c r="E3" s="868"/>
      <c r="F3" s="868"/>
      <c r="G3" s="868"/>
      <c r="H3" s="868"/>
      <c r="I3" s="868"/>
      <c r="K3" s="868"/>
      <c r="L3" s="868"/>
      <c r="M3" s="868"/>
      <c r="N3" s="868"/>
      <c r="O3" s="868"/>
      <c r="P3" s="868"/>
    </row>
    <row r="4" spans="1:16" ht="15.75" customHeight="1">
      <c r="A4" s="868"/>
      <c r="B4" s="868"/>
      <c r="C4" s="868"/>
      <c r="D4" s="868"/>
      <c r="E4" s="868"/>
      <c r="F4" s="868"/>
      <c r="G4" s="868"/>
      <c r="H4" s="868"/>
      <c r="I4" s="868"/>
      <c r="K4" s="868"/>
      <c r="L4" s="868"/>
      <c r="M4" s="868"/>
      <c r="N4" s="868"/>
      <c r="O4" s="868"/>
      <c r="P4" s="868"/>
    </row>
    <row r="5" spans="1:16" ht="15.75" customHeight="1">
      <c r="A5" s="868"/>
      <c r="B5" s="868"/>
      <c r="C5" s="868"/>
      <c r="D5" s="868"/>
      <c r="E5" s="868"/>
      <c r="F5" s="868"/>
      <c r="G5" s="868"/>
      <c r="H5" s="868"/>
      <c r="I5" s="868"/>
      <c r="K5" s="868"/>
      <c r="L5" s="868"/>
      <c r="M5" s="868"/>
      <c r="N5" s="868"/>
      <c r="O5" s="868"/>
      <c r="P5" s="868"/>
    </row>
    <row r="6" spans="1:16" ht="15.75" customHeight="1">
      <c r="A6" s="868"/>
      <c r="B6" s="868"/>
      <c r="C6" s="868"/>
      <c r="D6" s="868"/>
      <c r="E6" s="868"/>
      <c r="F6" s="868"/>
      <c r="G6" s="868"/>
      <c r="H6" s="868"/>
      <c r="I6" s="868"/>
      <c r="K6" s="868"/>
      <c r="L6" s="868"/>
      <c r="M6" s="868"/>
      <c r="N6" s="868"/>
      <c r="O6" s="868"/>
      <c r="P6" s="868"/>
    </row>
    <row r="7" spans="1:16" ht="15.75" customHeight="1">
      <c r="A7" s="868"/>
      <c r="B7" s="868"/>
      <c r="C7" s="868"/>
      <c r="D7" s="868"/>
      <c r="E7" s="868"/>
      <c r="F7" s="868"/>
      <c r="G7" s="868"/>
      <c r="H7" s="868"/>
      <c r="I7" s="868"/>
      <c r="K7" s="868"/>
      <c r="L7" s="868"/>
      <c r="M7" s="868"/>
      <c r="N7" s="868"/>
      <c r="O7" s="868"/>
      <c r="P7" s="868"/>
    </row>
    <row r="8" spans="1:16" ht="15.75" customHeight="1">
      <c r="A8" s="868"/>
      <c r="B8" s="868"/>
      <c r="C8" s="868"/>
      <c r="D8" s="868"/>
      <c r="E8" s="868"/>
      <c r="F8" s="868"/>
      <c r="G8" s="868"/>
      <c r="H8" s="868"/>
      <c r="I8" s="868"/>
      <c r="K8" s="868"/>
      <c r="L8" s="868"/>
      <c r="M8" s="868"/>
      <c r="N8" s="868"/>
      <c r="O8" s="868"/>
      <c r="P8" s="868"/>
    </row>
    <row r="9" spans="1:16" ht="15.75" customHeight="1">
      <c r="A9" s="868"/>
      <c r="B9" s="868"/>
      <c r="C9" s="868"/>
      <c r="D9" s="868"/>
      <c r="E9" s="868"/>
      <c r="F9" s="868"/>
      <c r="G9" s="868"/>
      <c r="H9" s="868"/>
      <c r="I9" s="868"/>
      <c r="K9" s="868"/>
      <c r="L9" s="868"/>
      <c r="M9" s="868"/>
      <c r="N9" s="868"/>
      <c r="O9" s="868"/>
      <c r="P9" s="868"/>
    </row>
    <row r="10" spans="1:16" ht="15.75" customHeight="1">
      <c r="A10" s="868"/>
      <c r="B10" s="868"/>
      <c r="C10" s="868"/>
      <c r="D10" s="868"/>
      <c r="E10" s="868"/>
      <c r="F10" s="868"/>
      <c r="G10" s="868"/>
      <c r="H10" s="868"/>
      <c r="I10" s="868"/>
      <c r="K10" s="868"/>
      <c r="L10" s="868"/>
      <c r="M10" s="868"/>
      <c r="N10" s="868"/>
      <c r="O10" s="868"/>
      <c r="P10" s="868"/>
    </row>
    <row r="11" spans="1:16" ht="15.75" customHeight="1">
      <c r="K11" s="868"/>
      <c r="L11" s="868"/>
      <c r="M11" s="868"/>
      <c r="N11" s="868"/>
      <c r="O11" s="868"/>
      <c r="P11" s="868"/>
    </row>
    <row r="18" spans="10:12" ht="15.75" customHeight="1">
      <c r="J18" s="628" t="s">
        <v>484</v>
      </c>
      <c r="K18" s="629"/>
      <c r="L18" s="629"/>
    </row>
    <row r="19" spans="10:12" ht="15.75" customHeight="1">
      <c r="J19" s="630" t="s">
        <v>485</v>
      </c>
      <c r="K19" s="628"/>
      <c r="L19" s="628"/>
    </row>
    <row r="20" spans="10:12" ht="15.75" customHeight="1">
      <c r="J20" s="630" t="s">
        <v>486</v>
      </c>
      <c r="K20" s="628"/>
      <c r="L20" s="628"/>
    </row>
    <row r="21" spans="10:12" ht="15.75" customHeight="1">
      <c r="J21" s="630" t="s">
        <v>487</v>
      </c>
      <c r="K21" s="628"/>
      <c r="L21" s="628"/>
    </row>
    <row r="22" spans="10:12" ht="15.75" customHeight="1">
      <c r="J22" s="630" t="s">
        <v>488</v>
      </c>
      <c r="K22" s="628"/>
      <c r="L22" s="628"/>
    </row>
    <row r="23" spans="10:12" ht="15.75" customHeight="1">
      <c r="J23" s="630" t="s">
        <v>489</v>
      </c>
      <c r="K23" s="628"/>
      <c r="L23" s="628"/>
    </row>
    <row r="25" spans="10:12" ht="12.75">
      <c r="J25" s="917" t="s">
        <v>490</v>
      </c>
      <c r="K25" s="868"/>
      <c r="L25" s="868"/>
    </row>
    <row r="26" spans="10:12" ht="15.75" customHeight="1">
      <c r="J26" s="868"/>
      <c r="K26" s="868"/>
      <c r="L26" s="868"/>
    </row>
    <row r="27" spans="10:12" ht="12.75">
      <c r="J27" s="918" t="s">
        <v>491</v>
      </c>
      <c r="K27" s="868"/>
      <c r="L27" s="868"/>
    </row>
    <row r="28" spans="10:12" ht="15.75" customHeight="1">
      <c r="J28" s="868"/>
      <c r="K28" s="868"/>
      <c r="L28" s="868"/>
    </row>
  </sheetData>
  <mergeCells count="4">
    <mergeCell ref="A1:I10"/>
    <mergeCell ref="K1:P11"/>
    <mergeCell ref="J25:L26"/>
    <mergeCell ref="J27:L28"/>
  </mergeCells>
  <hyperlinks>
    <hyperlink ref="K1" r:id="rId1" location="gid=0" xr:uid="{00000000-0004-0000-0400-000000000000}"/>
    <hyperlink ref="J27" r:id="rId2" location="gid=1125269156" xr:uid="{00000000-0004-0000-0400-000001000000}"/>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1"/>
  <sheetViews>
    <sheetView showGridLines="0" workbookViewId="0">
      <selection sqref="A1:C1"/>
    </sheetView>
  </sheetViews>
  <sheetFormatPr defaultColWidth="12.5703125" defaultRowHeight="15.75" customHeight="1"/>
  <cols>
    <col min="1" max="1" width="28.28515625" customWidth="1"/>
    <col min="2" max="2" width="37.85546875" customWidth="1"/>
    <col min="3" max="3" width="37.42578125" customWidth="1"/>
  </cols>
  <sheetData>
    <row r="1" spans="1:3" ht="15.75" customHeight="1">
      <c r="A1" s="919" t="s">
        <v>492</v>
      </c>
      <c r="B1" s="868"/>
      <c r="C1" s="868"/>
    </row>
    <row r="2" spans="1:3" ht="15.75" customHeight="1">
      <c r="A2" s="632" t="s">
        <v>493</v>
      </c>
      <c r="B2" s="631" t="s">
        <v>494</v>
      </c>
      <c r="C2" s="631" t="s">
        <v>495</v>
      </c>
    </row>
    <row r="3" spans="1:3" ht="15.75" customHeight="1">
      <c r="A3" s="633" t="s">
        <v>496</v>
      </c>
      <c r="B3" s="634" t="s">
        <v>497</v>
      </c>
      <c r="C3" s="633" t="s">
        <v>498</v>
      </c>
    </row>
    <row r="4" spans="1:3" ht="15.75" customHeight="1">
      <c r="A4" s="633" t="s">
        <v>499</v>
      </c>
      <c r="B4" s="634" t="s">
        <v>500</v>
      </c>
      <c r="C4" s="633" t="s">
        <v>501</v>
      </c>
    </row>
    <row r="5" spans="1:3" ht="15.75" customHeight="1">
      <c r="A5" s="633" t="s">
        <v>502</v>
      </c>
      <c r="B5" s="635" t="s">
        <v>503</v>
      </c>
      <c r="C5" s="633" t="s">
        <v>504</v>
      </c>
    </row>
    <row r="6" spans="1:3" ht="15.75" customHeight="1">
      <c r="A6" s="633" t="s">
        <v>505</v>
      </c>
      <c r="B6" s="634" t="s">
        <v>491</v>
      </c>
      <c r="C6" s="633" t="s">
        <v>506</v>
      </c>
    </row>
    <row r="7" spans="1:3" ht="15.75" customHeight="1">
      <c r="A7" s="633" t="s">
        <v>507</v>
      </c>
      <c r="B7" s="636" t="s">
        <v>508</v>
      </c>
      <c r="C7" s="633" t="s">
        <v>509</v>
      </c>
    </row>
    <row r="8" spans="1:3" ht="15.75" customHeight="1">
      <c r="A8" s="633" t="s">
        <v>510</v>
      </c>
      <c r="B8" s="634" t="s">
        <v>511</v>
      </c>
      <c r="C8" s="633" t="s">
        <v>512</v>
      </c>
    </row>
    <row r="9" spans="1:3" ht="15.75" customHeight="1">
      <c r="A9" s="633" t="s">
        <v>513</v>
      </c>
      <c r="B9" s="637" t="s">
        <v>514</v>
      </c>
      <c r="C9" s="633"/>
    </row>
    <row r="10" spans="1:3" ht="15.75" customHeight="1">
      <c r="A10" s="633" t="s">
        <v>515</v>
      </c>
      <c r="B10" s="638"/>
      <c r="C10" s="633" t="s">
        <v>516</v>
      </c>
    </row>
    <row r="11" spans="1:3" ht="15.75" customHeight="1">
      <c r="A11" s="920" t="s">
        <v>517</v>
      </c>
      <c r="B11" s="868"/>
      <c r="C11" s="633" t="s">
        <v>518</v>
      </c>
    </row>
  </sheetData>
  <mergeCells count="2">
    <mergeCell ref="A1:C1"/>
    <mergeCell ref="A11:B11"/>
  </mergeCells>
  <hyperlinks>
    <hyperlink ref="B3" r:id="rId1" location="gid=785557311" xr:uid="{00000000-0004-0000-0500-000000000000}"/>
    <hyperlink ref="B4" r:id="rId2" location="gid=0" xr:uid="{00000000-0004-0000-0500-000001000000}"/>
    <hyperlink ref="B5" r:id="rId3" xr:uid="{00000000-0004-0000-0500-000002000000}"/>
    <hyperlink ref="B6" r:id="rId4" location="gid=1125269156" xr:uid="{00000000-0004-0000-0500-000003000000}"/>
    <hyperlink ref="B7" r:id="rId5" xr:uid="{00000000-0004-0000-0500-000004000000}"/>
    <hyperlink ref="B8" r:id="rId6" location="gid=939030645" xr:uid="{00000000-0004-0000-0500-000005000000}"/>
    <hyperlink ref="B9" r:id="rId7" xr:uid="{00000000-0004-0000-0500-000006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5:I11"/>
  <sheetViews>
    <sheetView showGridLines="0" workbookViewId="0"/>
  </sheetViews>
  <sheetFormatPr defaultColWidth="12.5703125" defaultRowHeight="15.75" customHeight="1"/>
  <cols>
    <col min="2" max="2" width="20.5703125" customWidth="1"/>
    <col min="3" max="3" width="19.140625" customWidth="1"/>
    <col min="4" max="4" width="16.5703125" customWidth="1"/>
    <col min="5" max="5" width="17.5703125" customWidth="1"/>
    <col min="7" max="7" width="21.140625" customWidth="1"/>
    <col min="8" max="8" width="35.42578125" customWidth="1"/>
  </cols>
  <sheetData>
    <row r="5" spans="2:9" ht="15.75" customHeight="1">
      <c r="B5" s="921" t="s">
        <v>519</v>
      </c>
      <c r="C5" s="892"/>
      <c r="D5" s="892"/>
      <c r="E5" s="892"/>
      <c r="F5" s="892"/>
      <c r="G5" s="892"/>
      <c r="H5" s="893"/>
    </row>
    <row r="6" spans="2:9" ht="15.75" customHeight="1">
      <c r="B6" s="865"/>
      <c r="C6" s="869"/>
      <c r="D6" s="869"/>
      <c r="E6" s="869"/>
      <c r="F6" s="869"/>
      <c r="G6" s="869"/>
      <c r="H6" s="888"/>
      <c r="I6" s="3"/>
    </row>
    <row r="7" spans="2:9" ht="15.75" customHeight="1">
      <c r="B7" s="639" t="s">
        <v>520</v>
      </c>
      <c r="C7" s="640" t="s">
        <v>521</v>
      </c>
      <c r="D7" s="639" t="s">
        <v>522</v>
      </c>
      <c r="E7" s="640" t="s">
        <v>523</v>
      </c>
      <c r="F7" s="639" t="s">
        <v>524</v>
      </c>
      <c r="G7" s="640" t="s">
        <v>525</v>
      </c>
      <c r="H7" s="639" t="s">
        <v>526</v>
      </c>
      <c r="I7" s="3"/>
    </row>
    <row r="8" spans="2:9" ht="15.75" customHeight="1">
      <c r="B8" s="641" t="s">
        <v>527</v>
      </c>
      <c r="C8" s="642" t="s">
        <v>528</v>
      </c>
      <c r="D8" s="643" t="s">
        <v>529</v>
      </c>
      <c r="E8" s="642" t="s">
        <v>530</v>
      </c>
      <c r="F8" s="643" t="s">
        <v>531</v>
      </c>
      <c r="G8" s="644" t="s">
        <v>532</v>
      </c>
      <c r="H8" s="645" t="s">
        <v>533</v>
      </c>
      <c r="I8" s="646" t="s">
        <v>534</v>
      </c>
    </row>
    <row r="9" spans="2:9" ht="15.75" customHeight="1">
      <c r="B9" s="641" t="s">
        <v>535</v>
      </c>
      <c r="C9" s="642" t="s">
        <v>536</v>
      </c>
      <c r="D9" s="643" t="s">
        <v>537</v>
      </c>
      <c r="E9" s="642" t="s">
        <v>538</v>
      </c>
      <c r="F9" s="643" t="s">
        <v>539</v>
      </c>
      <c r="G9" s="922" t="s">
        <v>540</v>
      </c>
      <c r="H9" s="923"/>
      <c r="I9" s="647" t="s">
        <v>541</v>
      </c>
    </row>
    <row r="10" spans="2:9" ht="15.75" customHeight="1">
      <c r="B10" s="641" t="s">
        <v>542</v>
      </c>
      <c r="C10" s="644" t="s">
        <v>543</v>
      </c>
      <c r="D10" s="648" t="s">
        <v>544</v>
      </c>
      <c r="E10" s="644" t="s">
        <v>545</v>
      </c>
      <c r="F10" s="648" t="s">
        <v>546</v>
      </c>
      <c r="G10" s="644" t="s">
        <v>532</v>
      </c>
      <c r="H10" s="645" t="s">
        <v>547</v>
      </c>
      <c r="I10" s="649" t="s">
        <v>534</v>
      </c>
    </row>
    <row r="11" spans="2:9" ht="15.75" customHeight="1">
      <c r="B11" s="650" t="s">
        <v>548</v>
      </c>
      <c r="C11" s="924" t="s">
        <v>549</v>
      </c>
      <c r="D11" s="925"/>
      <c r="E11" s="924" t="s">
        <v>550</v>
      </c>
      <c r="F11" s="925"/>
      <c r="G11" s="924" t="s">
        <v>540</v>
      </c>
      <c r="H11" s="925"/>
      <c r="I11" s="3"/>
    </row>
  </sheetData>
  <mergeCells count="5">
    <mergeCell ref="B5:H6"/>
    <mergeCell ref="G9:H9"/>
    <mergeCell ref="C11:D11"/>
    <mergeCell ref="E11:F11"/>
    <mergeCell ref="G11:H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06D43-0845-4019-9840-B1CD5F49FD4A}">
  <sheetPr>
    <tabColor rgb="FFFF00FF"/>
    <outlinePr summaryBelow="0" summaryRight="0"/>
  </sheetPr>
  <dimension ref="A1:A9"/>
  <sheetViews>
    <sheetView workbookViewId="0">
      <pane ySplit="1" topLeftCell="A2" activePane="bottomLeft" state="frozen"/>
      <selection activeCell="B3" sqref="B3"/>
      <selection pane="bottomLeft" activeCell="B3" sqref="B3"/>
    </sheetView>
  </sheetViews>
  <sheetFormatPr defaultColWidth="12.5703125" defaultRowHeight="15.75" customHeight="1"/>
  <cols>
    <col min="1" max="1" width="60.28515625" customWidth="1"/>
  </cols>
  <sheetData>
    <row r="1" spans="1:1" ht="37.5" customHeight="1">
      <c r="A1" s="772" t="s">
        <v>749</v>
      </c>
    </row>
    <row r="2" spans="1:1" ht="37.5" customHeight="1">
      <c r="A2" s="772" t="s">
        <v>748</v>
      </c>
    </row>
    <row r="3" spans="1:1" ht="37.5" customHeight="1">
      <c r="A3" s="772" t="s">
        <v>747</v>
      </c>
    </row>
    <row r="4" spans="1:1">
      <c r="A4" s="771" t="s">
        <v>746</v>
      </c>
    </row>
    <row r="5" spans="1:1" ht="25.5">
      <c r="A5" s="770" t="s">
        <v>745</v>
      </c>
    </row>
    <row r="6" spans="1:1" ht="20.25">
      <c r="A6" s="769"/>
    </row>
    <row r="7" spans="1:1" ht="36">
      <c r="A7" s="768" t="s">
        <v>744</v>
      </c>
    </row>
    <row r="8" spans="1:1" ht="24" customHeight="1">
      <c r="A8" s="767" t="s">
        <v>743</v>
      </c>
    </row>
    <row r="9" spans="1:1" ht="18.75" customHeight="1">
      <c r="A9" s="766" t="s">
        <v>742</v>
      </c>
    </row>
  </sheetData>
  <hyperlinks>
    <hyperlink ref="A5" r:id="rId1" location="Controller_theory" xr:uid="{A7428D21-E0E4-4E4B-A04E-D1DFFFA4ACF3}"/>
    <hyperlink ref="A7" r:id="rId2" xr:uid="{91E0B16E-6DAC-46A0-A924-A61255C31A91}"/>
    <hyperlink ref="A8" r:id="rId3" xr:uid="{653A733D-3CF5-47EC-A564-35CFAE17A9F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0B0B-13BF-4816-9E91-A0E3857A1BAE}">
  <sheetPr>
    <tabColor rgb="FF980000"/>
    <outlinePr summaryBelow="0" summaryRight="0"/>
  </sheetPr>
  <dimension ref="A1:AC79"/>
  <sheetViews>
    <sheetView workbookViewId="0">
      <pane xSplit="1" ySplit="1" topLeftCell="Q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2" customWidth="1"/>
    <col min="3" max="3" width="16.140625" customWidth="1"/>
    <col min="4" max="4" width="15.42578125" customWidth="1"/>
    <col min="5" max="5" width="15.5703125" customWidth="1"/>
    <col min="6" max="6" width="15.28515625" customWidth="1"/>
    <col min="7" max="7" width="15.42578125" customWidth="1"/>
    <col min="8" max="9" width="15.7109375" customWidth="1"/>
    <col min="10" max="10" width="15.5703125" customWidth="1"/>
    <col min="11" max="11" width="16" customWidth="1"/>
    <col min="12" max="12" width="15.7109375" customWidth="1"/>
    <col min="13" max="13" width="16.140625" customWidth="1"/>
    <col min="14" max="14" width="15.28515625" customWidth="1"/>
    <col min="15" max="29" width="16.7109375" customWidth="1"/>
  </cols>
  <sheetData>
    <row r="1" spans="1:29" ht="35.25" customHeight="1">
      <c r="A1" s="651" t="s">
        <v>551</v>
      </c>
      <c r="B1" s="652" t="s">
        <v>778</v>
      </c>
      <c r="C1" s="654" t="s">
        <v>777</v>
      </c>
      <c r="D1" s="727" t="s">
        <v>776</v>
      </c>
      <c r="E1" s="652" t="s">
        <v>775</v>
      </c>
      <c r="F1" s="654" t="s">
        <v>774</v>
      </c>
      <c r="G1" s="652" t="s">
        <v>773</v>
      </c>
      <c r="H1" s="652" t="s">
        <v>772</v>
      </c>
      <c r="I1" s="654" t="s">
        <v>771</v>
      </c>
      <c r="J1" s="654" t="s">
        <v>770</v>
      </c>
      <c r="K1" s="654" t="s">
        <v>769</v>
      </c>
      <c r="L1" s="652" t="s">
        <v>336</v>
      </c>
      <c r="M1" s="654" t="s">
        <v>768</v>
      </c>
      <c r="N1" s="654" t="s">
        <v>767</v>
      </c>
      <c r="O1" s="654" t="s">
        <v>339</v>
      </c>
      <c r="P1" s="652" t="s">
        <v>340</v>
      </c>
      <c r="Q1" s="652" t="s">
        <v>341</v>
      </c>
      <c r="R1" s="652" t="s">
        <v>342</v>
      </c>
      <c r="S1" s="652" t="s">
        <v>343</v>
      </c>
      <c r="T1" s="652" t="s">
        <v>332</v>
      </c>
      <c r="U1" s="652" t="s">
        <v>333</v>
      </c>
      <c r="V1" s="654" t="s">
        <v>334</v>
      </c>
      <c r="W1" s="652" t="s">
        <v>335</v>
      </c>
      <c r="X1" s="654" t="s">
        <v>766</v>
      </c>
      <c r="Y1" s="652" t="s">
        <v>765</v>
      </c>
      <c r="Z1" s="654" t="s">
        <v>337</v>
      </c>
      <c r="AA1" s="652" t="s">
        <v>344</v>
      </c>
      <c r="AB1" s="652" t="s">
        <v>345</v>
      </c>
      <c r="AC1" s="652" t="s">
        <v>338</v>
      </c>
    </row>
    <row r="2" spans="1:29" ht="135" customHeight="1">
      <c r="A2" s="656" t="s">
        <v>562</v>
      </c>
      <c r="B2" s="658"/>
      <c r="C2" s="657"/>
      <c r="D2" s="657"/>
      <c r="E2" s="657"/>
      <c r="F2" s="657"/>
      <c r="G2" s="657"/>
      <c r="H2" s="657"/>
      <c r="I2" s="657"/>
      <c r="J2" s="657"/>
      <c r="K2" s="657"/>
      <c r="L2" s="658"/>
      <c r="M2" s="657"/>
      <c r="N2" s="657"/>
      <c r="O2" s="658"/>
      <c r="P2" s="658"/>
      <c r="Q2" s="658"/>
      <c r="R2" s="658"/>
      <c r="S2" s="658"/>
      <c r="T2" s="658"/>
      <c r="U2" s="658"/>
      <c r="V2" s="658"/>
      <c r="W2" s="658"/>
      <c r="X2" s="753"/>
      <c r="Y2" s="753"/>
      <c r="Z2" s="657"/>
      <c r="AA2" s="658"/>
      <c r="AB2" s="658"/>
      <c r="AC2" s="658"/>
    </row>
    <row r="3" spans="1:29" ht="12.75">
      <c r="A3" s="661" t="s">
        <v>563</v>
      </c>
      <c r="B3" s="661">
        <v>75.3</v>
      </c>
      <c r="C3" s="663">
        <v>72.569999999999993</v>
      </c>
      <c r="D3" s="661">
        <v>77.55</v>
      </c>
      <c r="E3" s="661">
        <v>88.45</v>
      </c>
      <c r="F3" s="663">
        <v>76.430000000000007</v>
      </c>
      <c r="G3" s="661">
        <v>88.45</v>
      </c>
      <c r="H3" s="661">
        <v>88.45</v>
      </c>
      <c r="I3" s="663">
        <v>76.930000000000007</v>
      </c>
      <c r="J3" s="663">
        <v>76.930000000000007</v>
      </c>
      <c r="K3" s="663">
        <v>76.930000000000007</v>
      </c>
      <c r="L3" s="661">
        <v>136</v>
      </c>
      <c r="M3" s="663">
        <v>72.569999999999993</v>
      </c>
      <c r="N3" s="663">
        <v>76.930000000000007</v>
      </c>
      <c r="O3" s="663">
        <v>75.3</v>
      </c>
      <c r="P3" s="661">
        <v>84.5</v>
      </c>
      <c r="Q3" s="661">
        <v>89</v>
      </c>
      <c r="R3" s="661">
        <v>193.5</v>
      </c>
      <c r="S3" s="661">
        <v>89</v>
      </c>
      <c r="T3" s="661">
        <v>75.3</v>
      </c>
      <c r="U3" s="661">
        <v>87.7</v>
      </c>
      <c r="V3" s="663">
        <v>90.6</v>
      </c>
      <c r="W3" s="661">
        <v>43.5</v>
      </c>
      <c r="X3" s="663">
        <v>72.569999999999993</v>
      </c>
      <c r="Y3" s="661">
        <v>76.930000000000007</v>
      </c>
      <c r="Z3" s="663">
        <v>167.82919999999999</v>
      </c>
      <c r="AA3" s="661">
        <v>65</v>
      </c>
      <c r="AB3" s="661">
        <v>90</v>
      </c>
      <c r="AC3" s="661">
        <v>70</v>
      </c>
    </row>
    <row r="4" spans="1:29" ht="12.75">
      <c r="A4" s="661" t="s">
        <v>564</v>
      </c>
      <c r="B4" s="661">
        <v>54.8</v>
      </c>
      <c r="C4" s="663">
        <v>55.8</v>
      </c>
      <c r="D4" s="661">
        <v>60.79</v>
      </c>
      <c r="E4" s="661">
        <v>55.8</v>
      </c>
      <c r="F4" s="663">
        <v>57.5</v>
      </c>
      <c r="G4" s="661">
        <v>55.8</v>
      </c>
      <c r="H4" s="661">
        <v>55.8</v>
      </c>
      <c r="I4" s="663">
        <v>58</v>
      </c>
      <c r="J4" s="663">
        <v>58</v>
      </c>
      <c r="K4" s="666">
        <v>58</v>
      </c>
      <c r="L4" s="661">
        <v>96</v>
      </c>
      <c r="M4" s="663">
        <v>55.8</v>
      </c>
      <c r="N4" s="663">
        <v>58</v>
      </c>
      <c r="O4" s="663">
        <v>54.8</v>
      </c>
      <c r="P4" s="661">
        <v>59.7</v>
      </c>
      <c r="Q4" s="661">
        <v>66</v>
      </c>
      <c r="R4" s="704">
        <v>160</v>
      </c>
      <c r="S4" s="661">
        <v>66</v>
      </c>
      <c r="T4" s="661">
        <v>54.8</v>
      </c>
      <c r="U4" s="661">
        <v>60</v>
      </c>
      <c r="V4" s="663">
        <v>60</v>
      </c>
      <c r="W4" s="661">
        <v>33.5</v>
      </c>
      <c r="X4" s="663">
        <v>55.8</v>
      </c>
      <c r="Y4" s="661">
        <v>58</v>
      </c>
      <c r="Z4" s="663">
        <v>131.99539999999999</v>
      </c>
      <c r="AA4" s="661">
        <v>45</v>
      </c>
      <c r="AB4" s="661">
        <v>63</v>
      </c>
      <c r="AC4" s="661">
        <v>51</v>
      </c>
    </row>
    <row r="5" spans="1:29" ht="12.75">
      <c r="A5" s="661" t="s">
        <v>565</v>
      </c>
      <c r="B5" s="669" t="s">
        <v>293</v>
      </c>
      <c r="C5" s="669" t="s">
        <v>293</v>
      </c>
      <c r="D5" s="667" t="s">
        <v>293</v>
      </c>
      <c r="E5" s="667" t="s">
        <v>293</v>
      </c>
      <c r="F5" s="669" t="s">
        <v>293</v>
      </c>
      <c r="G5" s="669" t="s">
        <v>293</v>
      </c>
      <c r="H5" s="669" t="s">
        <v>293</v>
      </c>
      <c r="I5" s="667" t="s">
        <v>293</v>
      </c>
      <c r="J5" s="667" t="s">
        <v>293</v>
      </c>
      <c r="K5" s="669" t="s">
        <v>293</v>
      </c>
      <c r="L5" s="669" t="s">
        <v>293</v>
      </c>
      <c r="M5" s="669" t="s">
        <v>293</v>
      </c>
      <c r="N5" s="667" t="s">
        <v>293</v>
      </c>
      <c r="O5" s="669" t="s">
        <v>293</v>
      </c>
      <c r="P5" s="667" t="s">
        <v>293</v>
      </c>
      <c r="Q5" s="667" t="s">
        <v>293</v>
      </c>
      <c r="R5" s="704">
        <v>148</v>
      </c>
      <c r="S5" s="669" t="s">
        <v>293</v>
      </c>
      <c r="T5" s="669" t="s">
        <v>293</v>
      </c>
      <c r="U5" s="667" t="s">
        <v>293</v>
      </c>
      <c r="V5" s="667" t="s">
        <v>293</v>
      </c>
      <c r="W5" s="667" t="s">
        <v>293</v>
      </c>
      <c r="X5" s="669" t="s">
        <v>293</v>
      </c>
      <c r="Y5" s="667" t="s">
        <v>293</v>
      </c>
      <c r="Z5" s="667" t="s">
        <v>293</v>
      </c>
      <c r="AA5" s="667" t="s">
        <v>293</v>
      </c>
      <c r="AB5" s="667" t="s">
        <v>293</v>
      </c>
      <c r="AC5" s="667" t="s">
        <v>293</v>
      </c>
    </row>
    <row r="6" spans="1:29" ht="12.75">
      <c r="A6" s="661" t="s">
        <v>566</v>
      </c>
      <c r="B6" s="661">
        <v>127</v>
      </c>
      <c r="C6" s="663">
        <v>127</v>
      </c>
      <c r="D6" s="661">
        <v>127</v>
      </c>
      <c r="E6" s="661">
        <v>127</v>
      </c>
      <c r="F6" s="663">
        <v>127</v>
      </c>
      <c r="G6" s="661">
        <v>127</v>
      </c>
      <c r="H6" s="661">
        <v>127</v>
      </c>
      <c r="I6" s="663">
        <v>127</v>
      </c>
      <c r="J6" s="663">
        <v>127</v>
      </c>
      <c r="K6" s="663">
        <v>127</v>
      </c>
      <c r="L6" s="661">
        <v>222</v>
      </c>
      <c r="M6" s="663">
        <v>127</v>
      </c>
      <c r="N6" s="663">
        <v>127</v>
      </c>
      <c r="O6" s="663">
        <v>127</v>
      </c>
      <c r="P6" s="661">
        <v>127</v>
      </c>
      <c r="Q6" s="661">
        <v>157</v>
      </c>
      <c r="R6" s="661">
        <v>263</v>
      </c>
      <c r="S6" s="661">
        <v>157</v>
      </c>
      <c r="T6" s="661">
        <v>127</v>
      </c>
      <c r="U6" s="661">
        <v>127</v>
      </c>
      <c r="V6" s="663">
        <v>127</v>
      </c>
      <c r="W6" s="661">
        <v>120</v>
      </c>
      <c r="X6" s="663">
        <v>127</v>
      </c>
      <c r="Y6" s="661">
        <v>127</v>
      </c>
      <c r="Z6" s="663">
        <v>230</v>
      </c>
      <c r="AA6" s="661">
        <v>140</v>
      </c>
      <c r="AB6" s="661">
        <v>150</v>
      </c>
      <c r="AC6" s="661">
        <v>165</v>
      </c>
    </row>
    <row r="7" spans="1:29" ht="12.75">
      <c r="A7" s="661" t="s">
        <v>567</v>
      </c>
      <c r="B7" s="661">
        <v>2.83</v>
      </c>
      <c r="C7" s="663">
        <v>2.83</v>
      </c>
      <c r="D7" s="661">
        <v>2.83</v>
      </c>
      <c r="E7" s="661">
        <v>3</v>
      </c>
      <c r="F7" s="663">
        <v>3</v>
      </c>
      <c r="G7" s="661">
        <v>3</v>
      </c>
      <c r="H7" s="661">
        <v>3</v>
      </c>
      <c r="I7" s="663">
        <v>3.05</v>
      </c>
      <c r="J7" s="663">
        <v>3.05</v>
      </c>
      <c r="K7" s="663">
        <v>3.05</v>
      </c>
      <c r="L7" s="661">
        <v>3.18</v>
      </c>
      <c r="M7" s="663">
        <v>2.83</v>
      </c>
      <c r="N7" s="663">
        <v>3.05</v>
      </c>
      <c r="O7" s="663">
        <v>2.83</v>
      </c>
      <c r="P7" s="661">
        <v>2.8919999999999999</v>
      </c>
      <c r="Q7" s="661">
        <v>2.7480000000000002</v>
      </c>
      <c r="R7" s="661">
        <v>3.28</v>
      </c>
      <c r="S7" s="661">
        <v>2.7480000000000002</v>
      </c>
      <c r="T7" s="661">
        <v>2.83</v>
      </c>
      <c r="U7" s="661">
        <v>2.83</v>
      </c>
      <c r="V7" s="663">
        <v>2.8759999999999999</v>
      </c>
      <c r="W7" s="661">
        <v>2.0950000000000002</v>
      </c>
      <c r="X7" s="663">
        <v>2.83</v>
      </c>
      <c r="Y7" s="661">
        <v>3.05</v>
      </c>
      <c r="Z7" s="663">
        <v>3.32</v>
      </c>
      <c r="AA7" s="661">
        <v>2.5</v>
      </c>
      <c r="AB7" s="661">
        <v>2.8</v>
      </c>
      <c r="AC7" s="661">
        <v>2.75</v>
      </c>
    </row>
    <row r="8" spans="1:29" ht="20.25" customHeight="1">
      <c r="A8" s="671" t="s">
        <v>568</v>
      </c>
      <c r="B8" s="672"/>
      <c r="C8" s="672"/>
      <c r="D8" s="672"/>
      <c r="E8" s="672"/>
      <c r="F8" s="672"/>
      <c r="G8" s="672"/>
      <c r="H8" s="672"/>
      <c r="I8" s="672"/>
      <c r="J8" s="672"/>
      <c r="K8" s="672"/>
      <c r="L8" s="672"/>
      <c r="M8" s="672"/>
      <c r="N8" s="672"/>
      <c r="O8" s="672"/>
      <c r="P8" s="672"/>
      <c r="Q8" s="672"/>
      <c r="R8" s="672"/>
      <c r="S8" s="672"/>
      <c r="T8" s="672"/>
      <c r="U8" s="672"/>
      <c r="V8" s="672"/>
      <c r="W8" s="672"/>
      <c r="X8" s="672"/>
      <c r="Y8" s="672"/>
      <c r="Z8" s="672"/>
      <c r="AA8" s="672"/>
      <c r="AB8" s="672"/>
      <c r="AC8" s="672"/>
    </row>
    <row r="9" spans="1:29" ht="15.75" customHeight="1">
      <c r="A9" s="661" t="s">
        <v>569</v>
      </c>
      <c r="B9" s="661">
        <v>17318</v>
      </c>
      <c r="C9" s="751">
        <v>17263</v>
      </c>
      <c r="D9" s="754">
        <v>17263</v>
      </c>
      <c r="E9" s="661">
        <v>11000</v>
      </c>
      <c r="F9" s="663">
        <v>18100</v>
      </c>
      <c r="G9" s="661">
        <v>11000</v>
      </c>
      <c r="H9" s="661">
        <v>11000</v>
      </c>
      <c r="I9" s="663">
        <v>18100</v>
      </c>
      <c r="J9" s="663">
        <v>18100</v>
      </c>
      <c r="K9" s="663">
        <v>18100</v>
      </c>
      <c r="L9" s="661">
        <v>38000</v>
      </c>
      <c r="M9" s="751">
        <v>17263</v>
      </c>
      <c r="N9" s="663">
        <v>18100</v>
      </c>
      <c r="O9" s="663">
        <v>17318</v>
      </c>
      <c r="P9" s="661">
        <v>27900</v>
      </c>
      <c r="Q9" s="661">
        <v>27000</v>
      </c>
      <c r="R9" s="661">
        <v>34500</v>
      </c>
      <c r="S9" s="661">
        <v>27000</v>
      </c>
      <c r="T9" s="661">
        <v>17318</v>
      </c>
      <c r="U9" s="661">
        <v>26000</v>
      </c>
      <c r="V9" s="663">
        <v>26000</v>
      </c>
      <c r="W9" s="661">
        <v>9500</v>
      </c>
      <c r="X9" s="751">
        <v>17263</v>
      </c>
      <c r="Y9" s="661">
        <v>18100</v>
      </c>
      <c r="Z9" s="663">
        <v>30500</v>
      </c>
      <c r="AA9" s="661">
        <v>17263</v>
      </c>
      <c r="AB9" s="661">
        <v>11400</v>
      </c>
      <c r="AC9" s="661">
        <v>15300</v>
      </c>
    </row>
    <row r="10" spans="1:29" ht="16.5" customHeight="1">
      <c r="A10" s="661" t="s">
        <v>570</v>
      </c>
      <c r="B10" s="661">
        <v>2.2000000000000002</v>
      </c>
      <c r="C10" s="663">
        <v>2.2000000000000002</v>
      </c>
      <c r="D10" s="661">
        <v>2.2000000000000002</v>
      </c>
      <c r="E10" s="661">
        <v>5</v>
      </c>
      <c r="F10" s="663">
        <v>2.2000000000000002</v>
      </c>
      <c r="G10" s="661">
        <v>5</v>
      </c>
      <c r="H10" s="661">
        <v>5</v>
      </c>
      <c r="I10" s="663">
        <v>2.2000000000000002</v>
      </c>
      <c r="J10" s="663">
        <v>2.2000000000000002</v>
      </c>
      <c r="K10" s="663">
        <v>2.2000000000000002</v>
      </c>
      <c r="L10" s="661">
        <v>1.9</v>
      </c>
      <c r="M10" s="663">
        <v>2.2000000000000002</v>
      </c>
      <c r="N10" s="663">
        <v>2.2000000000000002</v>
      </c>
      <c r="O10" s="663">
        <v>2.2000000000000002</v>
      </c>
      <c r="P10" s="661">
        <v>2</v>
      </c>
      <c r="Q10" s="661">
        <v>2</v>
      </c>
      <c r="R10" s="661">
        <v>2.7</v>
      </c>
      <c r="S10" s="661">
        <v>2</v>
      </c>
      <c r="T10" s="661">
        <v>2.2000000000000002</v>
      </c>
      <c r="U10" s="661">
        <v>2</v>
      </c>
      <c r="V10" s="663">
        <v>2</v>
      </c>
      <c r="W10" s="661">
        <v>3</v>
      </c>
      <c r="X10" s="663">
        <v>2.2000000000000002</v>
      </c>
      <c r="Y10" s="661">
        <v>2.2000000000000002</v>
      </c>
      <c r="Z10" s="663">
        <v>2.5</v>
      </c>
      <c r="AA10" s="661">
        <v>2.2000000000000002</v>
      </c>
      <c r="AB10" s="661">
        <v>5</v>
      </c>
      <c r="AC10" s="661">
        <v>3.2</v>
      </c>
    </row>
    <row r="11" spans="1:29" ht="16.5" customHeight="1">
      <c r="A11" s="661" t="str">
        <f>"Raw acceleration at ignition: [m/s"&amp;CHAR(178)&amp;"]"</f>
        <v>Raw acceleration at ignition: [m/s²]</v>
      </c>
      <c r="B11" s="677">
        <f t="shared" ref="B11:AC11" si="0">B9/B3</f>
        <v>229.98671978751662</v>
      </c>
      <c r="C11" s="678">
        <f t="shared" si="0"/>
        <v>237.88066694226268</v>
      </c>
      <c r="D11" s="675">
        <f t="shared" si="0"/>
        <v>222.60477111540942</v>
      </c>
      <c r="E11" s="675">
        <f t="shared" si="0"/>
        <v>124.36404748445449</v>
      </c>
      <c r="F11" s="678">
        <f t="shared" si="0"/>
        <v>236.81800340180556</v>
      </c>
      <c r="G11" s="675">
        <f t="shared" si="0"/>
        <v>124.36404748445449</v>
      </c>
      <c r="H11" s="675">
        <f t="shared" si="0"/>
        <v>124.36404748445449</v>
      </c>
      <c r="I11" s="678">
        <f t="shared" si="0"/>
        <v>235.27882490575846</v>
      </c>
      <c r="J11" s="678">
        <f t="shared" si="0"/>
        <v>235.27882490575846</v>
      </c>
      <c r="K11" s="677">
        <f t="shared" si="0"/>
        <v>235.27882490575846</v>
      </c>
      <c r="L11" s="677">
        <f t="shared" si="0"/>
        <v>279.41176470588238</v>
      </c>
      <c r="M11" s="678">
        <f t="shared" si="0"/>
        <v>237.88066694226268</v>
      </c>
      <c r="N11" s="678">
        <f t="shared" si="0"/>
        <v>235.27882490575846</v>
      </c>
      <c r="O11" s="677">
        <f t="shared" si="0"/>
        <v>229.98671978751662</v>
      </c>
      <c r="P11" s="677">
        <f t="shared" si="0"/>
        <v>330.17751479289939</v>
      </c>
      <c r="Q11" s="677">
        <f t="shared" si="0"/>
        <v>303.37078651685391</v>
      </c>
      <c r="R11" s="677">
        <f t="shared" si="0"/>
        <v>178.29457364341084</v>
      </c>
      <c r="S11" s="677">
        <f t="shared" si="0"/>
        <v>303.37078651685391</v>
      </c>
      <c r="T11" s="677">
        <f t="shared" si="0"/>
        <v>229.98671978751662</v>
      </c>
      <c r="U11" s="677">
        <f t="shared" si="0"/>
        <v>296.46522234891677</v>
      </c>
      <c r="V11" s="677">
        <f t="shared" si="0"/>
        <v>286.97571743929359</v>
      </c>
      <c r="W11" s="677">
        <f t="shared" si="0"/>
        <v>218.39080459770116</v>
      </c>
      <c r="X11" s="677">
        <f t="shared" si="0"/>
        <v>237.88066694226268</v>
      </c>
      <c r="Y11" s="677">
        <f t="shared" si="0"/>
        <v>235.27882490575846</v>
      </c>
      <c r="Z11" s="677">
        <f t="shared" si="0"/>
        <v>181.732380300925</v>
      </c>
      <c r="AA11" s="677">
        <f t="shared" si="0"/>
        <v>265.5846153846154</v>
      </c>
      <c r="AB11" s="677">
        <f t="shared" si="0"/>
        <v>126.66666666666667</v>
      </c>
      <c r="AC11" s="677">
        <f t="shared" si="0"/>
        <v>218.57142857142858</v>
      </c>
    </row>
    <row r="12" spans="1:29" ht="16.5" customHeight="1">
      <c r="A12" s="661" t="s">
        <v>571</v>
      </c>
      <c r="B12" s="678">
        <f t="shared" ref="B12:AC12" si="1">B10*B9/(9.81*(B3-B4))</f>
        <v>189.45128166878001</v>
      </c>
      <c r="C12" s="675">
        <f t="shared" si="1"/>
        <v>230.85372221280059</v>
      </c>
      <c r="D12" s="675">
        <f t="shared" si="1"/>
        <v>230.99146309717574</v>
      </c>
      <c r="E12" s="678">
        <f t="shared" si="1"/>
        <v>171.71589449151017</v>
      </c>
      <c r="F12" s="675">
        <f t="shared" si="1"/>
        <v>214.42806886038096</v>
      </c>
      <c r="G12" s="678">
        <f t="shared" si="1"/>
        <v>171.71589449151017</v>
      </c>
      <c r="H12" s="675">
        <f t="shared" si="1"/>
        <v>171.71589449151017</v>
      </c>
      <c r="I12" s="678">
        <f t="shared" si="1"/>
        <v>214.42806886038096</v>
      </c>
      <c r="J12" s="678">
        <f t="shared" si="1"/>
        <v>214.42806886038096</v>
      </c>
      <c r="K12" s="675">
        <f t="shared" si="1"/>
        <v>214.42806886038096</v>
      </c>
      <c r="L12" s="678">
        <f t="shared" si="1"/>
        <v>183.99592252803259</v>
      </c>
      <c r="M12" s="675">
        <f t="shared" si="1"/>
        <v>230.85372221280059</v>
      </c>
      <c r="N12" s="678">
        <f t="shared" si="1"/>
        <v>214.42806886038096</v>
      </c>
      <c r="O12" s="675">
        <f t="shared" si="1"/>
        <v>189.45128166878001</v>
      </c>
      <c r="P12" s="678">
        <f t="shared" si="1"/>
        <v>229.35779816513764</v>
      </c>
      <c r="Q12" s="678">
        <f t="shared" si="1"/>
        <v>239.32987634623052</v>
      </c>
      <c r="R12" s="678">
        <f t="shared" si="1"/>
        <v>283.44515952348348</v>
      </c>
      <c r="S12" s="675">
        <f t="shared" si="1"/>
        <v>239.32987634623052</v>
      </c>
      <c r="T12" s="678">
        <f t="shared" si="1"/>
        <v>189.45128166878001</v>
      </c>
      <c r="U12" s="675">
        <f t="shared" si="1"/>
        <v>191.36150027416213</v>
      </c>
      <c r="V12" s="678">
        <f t="shared" si="1"/>
        <v>173.22593325471541</v>
      </c>
      <c r="W12" s="675">
        <f t="shared" si="1"/>
        <v>290.51987767584097</v>
      </c>
      <c r="X12" s="678">
        <f t="shared" si="1"/>
        <v>230.85372221280059</v>
      </c>
      <c r="Y12" s="678">
        <f t="shared" si="1"/>
        <v>214.42806886038096</v>
      </c>
      <c r="Z12" s="675">
        <f t="shared" si="1"/>
        <v>216.90920130766352</v>
      </c>
      <c r="AA12" s="675">
        <f t="shared" si="1"/>
        <v>193.57084607543325</v>
      </c>
      <c r="AB12" s="675">
        <f t="shared" si="1"/>
        <v>215.19990938951184</v>
      </c>
      <c r="AC12" s="678">
        <f t="shared" si="1"/>
        <v>262.67503621438914</v>
      </c>
    </row>
    <row r="13" spans="1:29" ht="16.5" customHeight="1">
      <c r="A13" s="661" t="s">
        <v>572</v>
      </c>
      <c r="B13" s="678">
        <f t="shared" ref="B13:AC13" si="2">B12*9.81*LN(B3/B4)</f>
        <v>590.61803075513228</v>
      </c>
      <c r="C13" s="675">
        <f t="shared" si="2"/>
        <v>595.10619109040761</v>
      </c>
      <c r="D13" s="675">
        <f t="shared" si="2"/>
        <v>551.77192663320943</v>
      </c>
      <c r="E13" s="678">
        <f t="shared" si="2"/>
        <v>776.00291935739961</v>
      </c>
      <c r="F13" s="675">
        <f t="shared" si="2"/>
        <v>598.64698344417582</v>
      </c>
      <c r="G13" s="678">
        <f t="shared" si="2"/>
        <v>776.00291935739961</v>
      </c>
      <c r="H13" s="675">
        <f t="shared" si="2"/>
        <v>776.00291935739961</v>
      </c>
      <c r="I13" s="678">
        <f t="shared" si="2"/>
        <v>594.15080579664902</v>
      </c>
      <c r="J13" s="678">
        <f t="shared" si="2"/>
        <v>594.15080579664902</v>
      </c>
      <c r="K13" s="675">
        <f t="shared" si="2"/>
        <v>594.15080579664902</v>
      </c>
      <c r="L13" s="678">
        <f t="shared" si="2"/>
        <v>628.69358315412944</v>
      </c>
      <c r="M13" s="675">
        <f t="shared" si="2"/>
        <v>595.10619109040761</v>
      </c>
      <c r="N13" s="678">
        <f t="shared" si="2"/>
        <v>594.15080579664902</v>
      </c>
      <c r="O13" s="675">
        <f t="shared" si="2"/>
        <v>590.61803075513228</v>
      </c>
      <c r="P13" s="678">
        <f t="shared" si="2"/>
        <v>781.69390642028634</v>
      </c>
      <c r="Q13" s="678">
        <f t="shared" si="2"/>
        <v>701.95686504819855</v>
      </c>
      <c r="R13" s="675">
        <f t="shared" si="2"/>
        <v>528.60177306072535</v>
      </c>
      <c r="S13" s="678">
        <f t="shared" si="2"/>
        <v>701.95686504819855</v>
      </c>
      <c r="T13" s="678">
        <f t="shared" si="2"/>
        <v>590.61803075513228</v>
      </c>
      <c r="U13" s="675">
        <f t="shared" si="2"/>
        <v>712.56395422793889</v>
      </c>
      <c r="V13" s="678">
        <f t="shared" si="2"/>
        <v>700.3170536926574</v>
      </c>
      <c r="W13" s="675">
        <f t="shared" si="2"/>
        <v>744.46417290131023</v>
      </c>
      <c r="X13" s="675">
        <f t="shared" si="2"/>
        <v>595.10619109040761</v>
      </c>
      <c r="Y13" s="678">
        <f t="shared" si="2"/>
        <v>594.15080579664902</v>
      </c>
      <c r="Z13" s="675">
        <f t="shared" si="2"/>
        <v>511.07345045939877</v>
      </c>
      <c r="AA13" s="675">
        <f t="shared" si="2"/>
        <v>698.28361672336894</v>
      </c>
      <c r="AB13" s="678">
        <f t="shared" si="2"/>
        <v>752.98043720399073</v>
      </c>
      <c r="AC13" s="678">
        <f t="shared" si="2"/>
        <v>816.00758276598026</v>
      </c>
    </row>
    <row r="14" spans="1:29" ht="16.5" customHeight="1">
      <c r="A14" s="728" t="s">
        <v>573</v>
      </c>
      <c r="B14" s="663">
        <v>0</v>
      </c>
      <c r="C14" s="663">
        <v>0</v>
      </c>
      <c r="D14" s="663">
        <v>0</v>
      </c>
      <c r="E14" s="663">
        <v>0</v>
      </c>
      <c r="F14" s="663">
        <v>0</v>
      </c>
      <c r="G14" s="663">
        <v>0</v>
      </c>
      <c r="H14" s="663">
        <v>0</v>
      </c>
      <c r="I14" s="663">
        <v>0</v>
      </c>
      <c r="J14" s="663">
        <v>0</v>
      </c>
      <c r="K14" s="663">
        <v>0</v>
      </c>
      <c r="L14" s="663">
        <v>0</v>
      </c>
      <c r="M14" s="663">
        <v>0</v>
      </c>
      <c r="N14" s="663">
        <v>0</v>
      </c>
      <c r="O14" s="663">
        <v>0</v>
      </c>
      <c r="P14" s="663">
        <v>0</v>
      </c>
      <c r="Q14" s="663">
        <v>0</v>
      </c>
      <c r="R14" s="663">
        <v>0</v>
      </c>
      <c r="S14" s="663">
        <v>0</v>
      </c>
      <c r="T14" s="663">
        <v>0</v>
      </c>
      <c r="U14" s="663">
        <v>0</v>
      </c>
      <c r="V14" s="663">
        <v>0</v>
      </c>
      <c r="W14" s="663">
        <v>0</v>
      </c>
      <c r="X14" s="663">
        <v>0</v>
      </c>
      <c r="Y14" s="663">
        <v>0</v>
      </c>
      <c r="Z14" s="663">
        <v>0</v>
      </c>
      <c r="AA14" s="663">
        <v>0</v>
      </c>
      <c r="AB14" s="663">
        <v>0</v>
      </c>
      <c r="AC14" s="663">
        <v>0</v>
      </c>
    </row>
    <row r="15" spans="1:29" ht="16.5" customHeight="1">
      <c r="A15" s="682" t="s">
        <v>574</v>
      </c>
      <c r="B15" s="683" t="s">
        <v>293</v>
      </c>
      <c r="C15" s="685" t="s">
        <v>293</v>
      </c>
      <c r="D15" s="683" t="s">
        <v>293</v>
      </c>
      <c r="E15" s="683" t="s">
        <v>293</v>
      </c>
      <c r="F15" s="685" t="s">
        <v>293</v>
      </c>
      <c r="G15" s="683" t="s">
        <v>293</v>
      </c>
      <c r="H15" s="683" t="s">
        <v>293</v>
      </c>
      <c r="I15" s="685" t="s">
        <v>293</v>
      </c>
      <c r="J15" s="685" t="s">
        <v>293</v>
      </c>
      <c r="K15" s="685" t="s">
        <v>293</v>
      </c>
      <c r="L15" s="683" t="s">
        <v>293</v>
      </c>
      <c r="M15" s="685" t="s">
        <v>293</v>
      </c>
      <c r="N15" s="685" t="s">
        <v>293</v>
      </c>
      <c r="O15" s="685" t="s">
        <v>293</v>
      </c>
      <c r="P15" s="683" t="s">
        <v>293</v>
      </c>
      <c r="Q15" s="683" t="s">
        <v>293</v>
      </c>
      <c r="R15" s="661">
        <v>4000</v>
      </c>
      <c r="S15" s="683" t="s">
        <v>293</v>
      </c>
      <c r="T15" s="683" t="s">
        <v>293</v>
      </c>
      <c r="U15" s="683" t="s">
        <v>293</v>
      </c>
      <c r="V15" s="685" t="s">
        <v>293</v>
      </c>
      <c r="W15" s="683" t="s">
        <v>293</v>
      </c>
      <c r="X15" s="685" t="s">
        <v>293</v>
      </c>
      <c r="Y15" s="683" t="s">
        <v>293</v>
      </c>
      <c r="Z15" s="685" t="s">
        <v>293</v>
      </c>
      <c r="AA15" s="683" t="s">
        <v>293</v>
      </c>
      <c r="AB15" s="683" t="s">
        <v>293</v>
      </c>
      <c r="AC15" s="683" t="s">
        <v>293</v>
      </c>
    </row>
    <row r="16" spans="1:29" ht="16.5" customHeight="1">
      <c r="A16" s="682" t="s">
        <v>575</v>
      </c>
      <c r="B16" s="683" t="s">
        <v>293</v>
      </c>
      <c r="C16" s="685" t="s">
        <v>293</v>
      </c>
      <c r="D16" s="683" t="s">
        <v>293</v>
      </c>
      <c r="E16" s="683" t="s">
        <v>293</v>
      </c>
      <c r="F16" s="685" t="s">
        <v>293</v>
      </c>
      <c r="G16" s="683" t="s">
        <v>293</v>
      </c>
      <c r="H16" s="683" t="s">
        <v>293</v>
      </c>
      <c r="I16" s="685" t="s">
        <v>293</v>
      </c>
      <c r="J16" s="685" t="s">
        <v>293</v>
      </c>
      <c r="K16" s="685" t="s">
        <v>293</v>
      </c>
      <c r="L16" s="683" t="s">
        <v>293</v>
      </c>
      <c r="M16" s="685" t="s">
        <v>293</v>
      </c>
      <c r="N16" s="685" t="s">
        <v>293</v>
      </c>
      <c r="O16" s="685" t="s">
        <v>293</v>
      </c>
      <c r="P16" s="683" t="s">
        <v>293</v>
      </c>
      <c r="Q16" s="683" t="s">
        <v>293</v>
      </c>
      <c r="R16" s="661">
        <v>6.5</v>
      </c>
      <c r="S16" s="683" t="s">
        <v>293</v>
      </c>
      <c r="T16" s="683" t="s">
        <v>293</v>
      </c>
      <c r="U16" s="683" t="s">
        <v>293</v>
      </c>
      <c r="V16" s="685" t="s">
        <v>293</v>
      </c>
      <c r="W16" s="683" t="s">
        <v>293</v>
      </c>
      <c r="X16" s="685" t="s">
        <v>293</v>
      </c>
      <c r="Y16" s="683" t="s">
        <v>293</v>
      </c>
      <c r="Z16" s="685" t="s">
        <v>293</v>
      </c>
      <c r="AA16" s="683" t="s">
        <v>293</v>
      </c>
      <c r="AB16" s="683" t="s">
        <v>293</v>
      </c>
      <c r="AC16" s="683" t="s">
        <v>293</v>
      </c>
    </row>
    <row r="17" spans="1:29" ht="16.5" customHeight="1">
      <c r="A17" s="728" t="s">
        <v>576</v>
      </c>
      <c r="B17" s="683" t="s">
        <v>293</v>
      </c>
      <c r="C17" s="685" t="s">
        <v>293</v>
      </c>
      <c r="D17" s="683" t="s">
        <v>293</v>
      </c>
      <c r="E17" s="683" t="s">
        <v>293</v>
      </c>
      <c r="F17" s="685" t="s">
        <v>293</v>
      </c>
      <c r="G17" s="683" t="s">
        <v>293</v>
      </c>
      <c r="H17" s="683" t="s">
        <v>293</v>
      </c>
      <c r="I17" s="685" t="s">
        <v>293</v>
      </c>
      <c r="J17" s="685" t="s">
        <v>293</v>
      </c>
      <c r="K17" s="685" t="s">
        <v>293</v>
      </c>
      <c r="L17" s="683" t="s">
        <v>293</v>
      </c>
      <c r="M17" s="685" t="s">
        <v>293</v>
      </c>
      <c r="N17" s="685" t="s">
        <v>293</v>
      </c>
      <c r="O17" s="685" t="s">
        <v>293</v>
      </c>
      <c r="P17" s="683" t="s">
        <v>293</v>
      </c>
      <c r="Q17" s="683" t="s">
        <v>293</v>
      </c>
      <c r="R17" s="777">
        <f>R16*R15/(9.81*(R4-R5))</f>
        <v>220.86306489976215</v>
      </c>
      <c r="S17" s="683" t="s">
        <v>293</v>
      </c>
      <c r="T17" s="683" t="s">
        <v>293</v>
      </c>
      <c r="U17" s="683" t="s">
        <v>293</v>
      </c>
      <c r="V17" s="685" t="s">
        <v>293</v>
      </c>
      <c r="W17" s="683" t="s">
        <v>293</v>
      </c>
      <c r="X17" s="685" t="s">
        <v>293</v>
      </c>
      <c r="Y17" s="683" t="s">
        <v>293</v>
      </c>
      <c r="Z17" s="685" t="s">
        <v>293</v>
      </c>
      <c r="AA17" s="683" t="s">
        <v>293</v>
      </c>
      <c r="AB17" s="683" t="s">
        <v>293</v>
      </c>
      <c r="AC17" s="683" t="s">
        <v>293</v>
      </c>
    </row>
    <row r="18" spans="1:29" ht="16.5" customHeight="1">
      <c r="A18" s="728" t="s">
        <v>577</v>
      </c>
      <c r="B18" s="683" t="s">
        <v>293</v>
      </c>
      <c r="C18" s="685" t="s">
        <v>293</v>
      </c>
      <c r="D18" s="683" t="s">
        <v>293</v>
      </c>
      <c r="E18" s="683" t="s">
        <v>293</v>
      </c>
      <c r="F18" s="685" t="s">
        <v>293</v>
      </c>
      <c r="G18" s="683" t="s">
        <v>293</v>
      </c>
      <c r="H18" s="683" t="s">
        <v>293</v>
      </c>
      <c r="I18" s="685" t="s">
        <v>293</v>
      </c>
      <c r="J18" s="685" t="s">
        <v>293</v>
      </c>
      <c r="K18" s="685" t="s">
        <v>293</v>
      </c>
      <c r="L18" s="683" t="s">
        <v>293</v>
      </c>
      <c r="M18" s="685" t="s">
        <v>293</v>
      </c>
      <c r="N18" s="685" t="s">
        <v>293</v>
      </c>
      <c r="O18" s="685" t="s">
        <v>293</v>
      </c>
      <c r="P18" s="683" t="s">
        <v>293</v>
      </c>
      <c r="Q18" s="683" t="s">
        <v>293</v>
      </c>
      <c r="R18" s="777">
        <f>R17*9.81*LN(R4/R5)</f>
        <v>168.91667318437584</v>
      </c>
      <c r="S18" s="683" t="s">
        <v>293</v>
      </c>
      <c r="T18" s="683" t="s">
        <v>293</v>
      </c>
      <c r="U18" s="683" t="s">
        <v>293</v>
      </c>
      <c r="V18" s="685" t="s">
        <v>293</v>
      </c>
      <c r="W18" s="683" t="s">
        <v>293</v>
      </c>
      <c r="X18" s="685" t="s">
        <v>293</v>
      </c>
      <c r="Y18" s="683" t="s">
        <v>293</v>
      </c>
      <c r="Z18" s="685" t="s">
        <v>293</v>
      </c>
      <c r="AA18" s="683" t="s">
        <v>293</v>
      </c>
      <c r="AB18" s="683" t="s">
        <v>293</v>
      </c>
      <c r="AC18" s="683" t="s">
        <v>293</v>
      </c>
    </row>
    <row r="19" spans="1:29" ht="16.5" customHeight="1">
      <c r="A19" s="728" t="s">
        <v>578</v>
      </c>
      <c r="B19" s="692">
        <f t="shared" ref="B19:AC19" si="3">IF(ISNUMBER(B18),B13+B18,B13)</f>
        <v>590.61803075513228</v>
      </c>
      <c r="C19" s="692">
        <f t="shared" si="3"/>
        <v>595.10619109040761</v>
      </c>
      <c r="D19" s="692">
        <f t="shared" si="3"/>
        <v>551.77192663320943</v>
      </c>
      <c r="E19" s="692">
        <f t="shared" si="3"/>
        <v>776.00291935739961</v>
      </c>
      <c r="F19" s="692">
        <f t="shared" si="3"/>
        <v>598.64698344417582</v>
      </c>
      <c r="G19" s="692">
        <f t="shared" si="3"/>
        <v>776.00291935739961</v>
      </c>
      <c r="H19" s="692">
        <f t="shared" si="3"/>
        <v>776.00291935739961</v>
      </c>
      <c r="I19" s="692">
        <f t="shared" si="3"/>
        <v>594.15080579664902</v>
      </c>
      <c r="J19" s="692">
        <f t="shared" si="3"/>
        <v>594.15080579664902</v>
      </c>
      <c r="K19" s="692">
        <f t="shared" si="3"/>
        <v>594.15080579664902</v>
      </c>
      <c r="L19" s="692">
        <f t="shared" si="3"/>
        <v>628.69358315412944</v>
      </c>
      <c r="M19" s="692">
        <f t="shared" si="3"/>
        <v>595.10619109040761</v>
      </c>
      <c r="N19" s="692">
        <f t="shared" si="3"/>
        <v>594.15080579664902</v>
      </c>
      <c r="O19" s="692">
        <f t="shared" si="3"/>
        <v>590.61803075513228</v>
      </c>
      <c r="P19" s="692">
        <f t="shared" si="3"/>
        <v>781.69390642028634</v>
      </c>
      <c r="Q19" s="692">
        <f t="shared" si="3"/>
        <v>701.95686504819855</v>
      </c>
      <c r="R19" s="692">
        <f t="shared" si="3"/>
        <v>697.51844624510113</v>
      </c>
      <c r="S19" s="692">
        <f t="shared" si="3"/>
        <v>701.95686504819855</v>
      </c>
      <c r="T19" s="692">
        <f t="shared" si="3"/>
        <v>590.61803075513228</v>
      </c>
      <c r="U19" s="692">
        <f t="shared" si="3"/>
        <v>712.56395422793889</v>
      </c>
      <c r="V19" s="692">
        <f t="shared" si="3"/>
        <v>700.3170536926574</v>
      </c>
      <c r="W19" s="692">
        <f t="shared" si="3"/>
        <v>744.46417290131023</v>
      </c>
      <c r="X19" s="692">
        <f t="shared" si="3"/>
        <v>595.10619109040761</v>
      </c>
      <c r="Y19" s="692">
        <f t="shared" si="3"/>
        <v>594.15080579664902</v>
      </c>
      <c r="Z19" s="692">
        <f t="shared" si="3"/>
        <v>511.07345045939877</v>
      </c>
      <c r="AA19" s="692">
        <f t="shared" si="3"/>
        <v>698.28361672336894</v>
      </c>
      <c r="AB19" s="692">
        <f t="shared" si="3"/>
        <v>752.98043720399073</v>
      </c>
      <c r="AC19" s="692">
        <f t="shared" si="3"/>
        <v>816.00758276598026</v>
      </c>
    </row>
    <row r="20" spans="1:29" ht="18">
      <c r="A20" s="695" t="s">
        <v>579</v>
      </c>
      <c r="B20" s="696"/>
      <c r="C20" s="696"/>
      <c r="D20" s="696"/>
      <c r="E20" s="696"/>
      <c r="F20" s="696"/>
      <c r="G20" s="696"/>
      <c r="H20" s="696"/>
      <c r="I20" s="696"/>
      <c r="J20" s="696"/>
      <c r="K20" s="696"/>
      <c r="L20" s="696"/>
      <c r="M20" s="696"/>
      <c r="N20" s="696"/>
      <c r="O20" s="696"/>
      <c r="P20" s="696"/>
      <c r="Q20" s="696"/>
      <c r="R20" s="696"/>
      <c r="S20" s="696"/>
      <c r="T20" s="696"/>
      <c r="U20" s="696"/>
      <c r="V20" s="696"/>
      <c r="W20" s="696"/>
      <c r="X20" s="696"/>
      <c r="Y20" s="696"/>
      <c r="Z20" s="696"/>
      <c r="AA20" s="696"/>
      <c r="AB20" s="696"/>
      <c r="AC20" s="696"/>
    </row>
    <row r="21" spans="1:29" ht="15.75" customHeight="1">
      <c r="A21" s="661" t="s">
        <v>580</v>
      </c>
      <c r="B21" s="661">
        <f>1.6*5.5</f>
        <v>8.8000000000000007</v>
      </c>
      <c r="C21" s="663">
        <f>1.6*4.76</f>
        <v>7.6159999999999997</v>
      </c>
      <c r="D21" s="663">
        <f>1.6*4.76</f>
        <v>7.6159999999999997</v>
      </c>
      <c r="E21" s="661">
        <f>1.656*2.95</f>
        <v>4.8852000000000002</v>
      </c>
      <c r="F21" s="663">
        <f>1.6*4.76</f>
        <v>7.6159999999999997</v>
      </c>
      <c r="G21" s="663">
        <f>1.28*2.76</f>
        <v>3.5327999999999999</v>
      </c>
      <c r="H21" s="663">
        <f>1.28*2.76</f>
        <v>3.5327999999999999</v>
      </c>
      <c r="I21" s="663">
        <f>1.6*4.76</f>
        <v>7.6159999999999997</v>
      </c>
      <c r="J21" s="663">
        <f>1.6*4.76</f>
        <v>7.6159999999999997</v>
      </c>
      <c r="K21" s="663">
        <f>1.6*4.76</f>
        <v>7.6159999999999997</v>
      </c>
      <c r="L21" s="661">
        <f>1.28*8.75</f>
        <v>11.200000000000001</v>
      </c>
      <c r="M21" s="663">
        <f>1.6*4.76</f>
        <v>7.6159999999999997</v>
      </c>
      <c r="N21" s="663">
        <f>1.6*4.76</f>
        <v>7.6159999999999997</v>
      </c>
      <c r="O21" s="661">
        <f>1.6*5.5</f>
        <v>8.8000000000000007</v>
      </c>
      <c r="P21" s="663">
        <f>1.6*4.76</f>
        <v>7.6159999999999997</v>
      </c>
      <c r="Q21" s="661">
        <f>1.6*6</f>
        <v>9.6000000000000014</v>
      </c>
      <c r="R21" s="661">
        <f>1.28*8.1</f>
        <v>10.368</v>
      </c>
      <c r="S21" s="661">
        <f>1.6*6</f>
        <v>9.6000000000000014</v>
      </c>
      <c r="T21" s="661">
        <f>1.6*5.5</f>
        <v>8.8000000000000007</v>
      </c>
      <c r="U21" s="661">
        <f>1*5.5</f>
        <v>5.5</v>
      </c>
      <c r="V21" s="661">
        <f>1*5.5</f>
        <v>5.5</v>
      </c>
      <c r="W21" s="661">
        <f>1*1.15</f>
        <v>1.1499999999999999</v>
      </c>
      <c r="X21" s="661">
        <f>1.6*4.76</f>
        <v>7.6159999999999997</v>
      </c>
      <c r="Y21" s="661">
        <f>1.6*4.76</f>
        <v>7.6159999999999997</v>
      </c>
      <c r="Z21" s="663">
        <f>1.28*18.14369</f>
        <v>23.223923199999998</v>
      </c>
      <c r="AA21" s="661">
        <f>1.6*4.76</f>
        <v>7.6159999999999997</v>
      </c>
      <c r="AB21" s="661">
        <f>1.6*4.76</f>
        <v>7.6159999999999997</v>
      </c>
      <c r="AC21" s="661">
        <f>1*4</f>
        <v>4</v>
      </c>
    </row>
    <row r="22" spans="1:29" ht="15.75" customHeight="1">
      <c r="A22" s="775" t="s">
        <v>764</v>
      </c>
      <c r="B22" s="667" t="s">
        <v>763</v>
      </c>
      <c r="C22" s="667" t="s">
        <v>763</v>
      </c>
      <c r="D22" s="667" t="s">
        <v>763</v>
      </c>
      <c r="E22" s="667" t="s">
        <v>763</v>
      </c>
      <c r="F22" s="667" t="s">
        <v>763</v>
      </c>
      <c r="G22" s="667" t="s">
        <v>763</v>
      </c>
      <c r="H22" s="667" t="s">
        <v>763</v>
      </c>
      <c r="I22" s="667" t="s">
        <v>763</v>
      </c>
      <c r="J22" s="667" t="s">
        <v>763</v>
      </c>
      <c r="K22" s="667" t="s">
        <v>763</v>
      </c>
      <c r="L22" s="667" t="s">
        <v>763</v>
      </c>
      <c r="M22" s="667" t="s">
        <v>763</v>
      </c>
      <c r="N22" s="667" t="s">
        <v>763</v>
      </c>
      <c r="O22" s="667" t="s">
        <v>763</v>
      </c>
      <c r="P22" s="667" t="s">
        <v>763</v>
      </c>
      <c r="Q22" s="667" t="s">
        <v>763</v>
      </c>
      <c r="R22" s="667" t="s">
        <v>763</v>
      </c>
      <c r="S22" s="667" t="s">
        <v>763</v>
      </c>
      <c r="T22" s="667" t="s">
        <v>763</v>
      </c>
      <c r="U22" s="667" t="s">
        <v>763</v>
      </c>
      <c r="V22" s="667" t="s">
        <v>763</v>
      </c>
      <c r="W22" s="667" t="s">
        <v>763</v>
      </c>
      <c r="X22" s="667" t="s">
        <v>763</v>
      </c>
      <c r="Y22" s="667" t="s">
        <v>763</v>
      </c>
      <c r="Z22" s="667" t="s">
        <v>763</v>
      </c>
      <c r="AA22" s="667" t="s">
        <v>763</v>
      </c>
      <c r="AB22" s="667" t="s">
        <v>763</v>
      </c>
      <c r="AC22" s="667" t="s">
        <v>763</v>
      </c>
    </row>
    <row r="23" spans="1:29" ht="15.75" customHeight="1">
      <c r="A23" s="776" t="s">
        <v>762</v>
      </c>
      <c r="B23" s="704">
        <v>60.8</v>
      </c>
      <c r="C23" s="666">
        <v>58.08</v>
      </c>
      <c r="D23" s="704">
        <v>58.08</v>
      </c>
      <c r="E23" s="704">
        <v>39.713000000000001</v>
      </c>
      <c r="F23" s="704">
        <v>58.08</v>
      </c>
      <c r="G23" s="704">
        <v>36.332000000000001</v>
      </c>
      <c r="H23" s="704">
        <v>36.332000000000001</v>
      </c>
      <c r="I23" s="704">
        <v>58.08</v>
      </c>
      <c r="J23" s="704">
        <v>58.08</v>
      </c>
      <c r="K23" s="704">
        <v>58.08</v>
      </c>
      <c r="L23" s="704">
        <v>63.028571428600003</v>
      </c>
      <c r="M23" s="704">
        <v>58.08</v>
      </c>
      <c r="N23" s="704">
        <v>58.08</v>
      </c>
      <c r="O23" s="666">
        <v>60.8</v>
      </c>
      <c r="P23" s="704">
        <v>58.08</v>
      </c>
      <c r="Q23" s="704">
        <v>61.6</v>
      </c>
      <c r="R23" s="704">
        <v>62.368000000000002</v>
      </c>
      <c r="S23" s="704">
        <v>61.6</v>
      </c>
      <c r="T23" s="704">
        <v>60.8</v>
      </c>
      <c r="U23" s="704">
        <v>45</v>
      </c>
      <c r="V23" s="666">
        <v>45</v>
      </c>
      <c r="W23" s="704">
        <v>28</v>
      </c>
      <c r="X23" s="704">
        <v>58.08</v>
      </c>
      <c r="Y23" s="704">
        <v>58.08</v>
      </c>
      <c r="Z23" s="666">
        <v>64.746274742899999</v>
      </c>
      <c r="AA23" s="704">
        <v>58.08</v>
      </c>
      <c r="AB23" s="704">
        <v>58.08</v>
      </c>
      <c r="AC23" s="704">
        <v>37.5</v>
      </c>
    </row>
    <row r="24" spans="1:29" ht="15.75" customHeight="1">
      <c r="A24" s="661" t="s">
        <v>581</v>
      </c>
      <c r="B24" s="667" t="s">
        <v>328</v>
      </c>
      <c r="C24" s="669" t="s">
        <v>328</v>
      </c>
      <c r="D24" s="667" t="s">
        <v>328</v>
      </c>
      <c r="E24" s="667" t="s">
        <v>328</v>
      </c>
      <c r="F24" s="669" t="s">
        <v>328</v>
      </c>
      <c r="G24" s="667" t="s">
        <v>328</v>
      </c>
      <c r="H24" s="667" t="s">
        <v>328</v>
      </c>
      <c r="I24" s="669" t="s">
        <v>328</v>
      </c>
      <c r="J24" s="669" t="s">
        <v>328</v>
      </c>
      <c r="K24" s="669" t="s">
        <v>328</v>
      </c>
      <c r="L24" s="667" t="s">
        <v>328</v>
      </c>
      <c r="M24" s="669" t="s">
        <v>328</v>
      </c>
      <c r="N24" s="669" t="s">
        <v>328</v>
      </c>
      <c r="O24" s="669" t="s">
        <v>328</v>
      </c>
      <c r="P24" s="667" t="s">
        <v>328</v>
      </c>
      <c r="Q24" s="667" t="s">
        <v>328</v>
      </c>
      <c r="R24" s="667" t="s">
        <v>328</v>
      </c>
      <c r="S24" s="667" t="s">
        <v>328</v>
      </c>
      <c r="T24" s="667" t="s">
        <v>328</v>
      </c>
      <c r="U24" s="667" t="s">
        <v>328</v>
      </c>
      <c r="V24" s="669" t="s">
        <v>328</v>
      </c>
      <c r="W24" s="667" t="s">
        <v>328</v>
      </c>
      <c r="X24" s="669" t="s">
        <v>328</v>
      </c>
      <c r="Y24" s="667" t="s">
        <v>328</v>
      </c>
      <c r="Z24" s="669" t="s">
        <v>328</v>
      </c>
      <c r="AA24" s="667" t="s">
        <v>328</v>
      </c>
      <c r="AB24" s="667" t="s">
        <v>328</v>
      </c>
      <c r="AC24" s="667" t="s">
        <v>328</v>
      </c>
    </row>
    <row r="25" spans="1:29" ht="15.75" customHeight="1">
      <c r="A25" s="661" t="s">
        <v>582</v>
      </c>
      <c r="B25" s="666">
        <v>9</v>
      </c>
      <c r="C25" s="666">
        <v>9.1440000000000001</v>
      </c>
      <c r="D25" s="666">
        <v>9.1440000000000001</v>
      </c>
      <c r="E25" s="661">
        <v>5</v>
      </c>
      <c r="F25" s="663">
        <v>5</v>
      </c>
      <c r="G25" s="661">
        <v>5</v>
      </c>
      <c r="H25" s="661">
        <v>5</v>
      </c>
      <c r="I25" s="663">
        <v>5</v>
      </c>
      <c r="J25" s="663">
        <v>5</v>
      </c>
      <c r="K25" s="666">
        <v>5</v>
      </c>
      <c r="L25" s="661">
        <v>10</v>
      </c>
      <c r="M25" s="666">
        <v>9.1440000000000001</v>
      </c>
      <c r="N25" s="663">
        <v>5</v>
      </c>
      <c r="O25" s="663">
        <v>5</v>
      </c>
      <c r="P25" s="661">
        <v>9</v>
      </c>
      <c r="Q25" s="661">
        <v>5</v>
      </c>
      <c r="R25" s="661">
        <v>8</v>
      </c>
      <c r="S25" s="661">
        <v>5</v>
      </c>
      <c r="T25" s="666">
        <v>9</v>
      </c>
      <c r="U25" s="661">
        <v>5</v>
      </c>
      <c r="V25" s="663">
        <v>5</v>
      </c>
      <c r="W25" s="661">
        <v>3</v>
      </c>
      <c r="X25" s="666">
        <v>9.1440000000000001</v>
      </c>
      <c r="Y25" s="661">
        <v>5</v>
      </c>
      <c r="Z25" s="663">
        <v>12</v>
      </c>
      <c r="AA25" s="661">
        <v>5</v>
      </c>
      <c r="AB25" s="661">
        <v>5</v>
      </c>
      <c r="AC25" s="661">
        <v>5</v>
      </c>
    </row>
    <row r="26" spans="1:29" ht="15.75" customHeight="1">
      <c r="A26" s="775" t="s">
        <v>583</v>
      </c>
      <c r="B26" s="669" t="s">
        <v>328</v>
      </c>
      <c r="C26" s="669" t="s">
        <v>328</v>
      </c>
      <c r="D26" s="669" t="s">
        <v>328</v>
      </c>
      <c r="E26" s="669" t="s">
        <v>328</v>
      </c>
      <c r="F26" s="669" t="s">
        <v>328</v>
      </c>
      <c r="G26" s="669" t="s">
        <v>328</v>
      </c>
      <c r="H26" s="669" t="s">
        <v>328</v>
      </c>
      <c r="I26" s="669" t="s">
        <v>328</v>
      </c>
      <c r="J26" s="669" t="s">
        <v>328</v>
      </c>
      <c r="K26" s="669" t="s">
        <v>328</v>
      </c>
      <c r="L26" s="669" t="s">
        <v>328</v>
      </c>
      <c r="M26" s="669" t="s">
        <v>328</v>
      </c>
      <c r="N26" s="669" t="s">
        <v>328</v>
      </c>
      <c r="O26" s="669" t="s">
        <v>328</v>
      </c>
      <c r="P26" s="669" t="s">
        <v>328</v>
      </c>
      <c r="Q26" s="669" t="s">
        <v>328</v>
      </c>
      <c r="R26" s="669" t="s">
        <v>328</v>
      </c>
      <c r="S26" s="669" t="s">
        <v>328</v>
      </c>
      <c r="T26" s="669" t="s">
        <v>328</v>
      </c>
      <c r="U26" s="669" t="s">
        <v>328</v>
      </c>
      <c r="V26" s="669" t="s">
        <v>328</v>
      </c>
      <c r="W26" s="669" t="s">
        <v>328</v>
      </c>
      <c r="X26" s="669" t="s">
        <v>328</v>
      </c>
      <c r="Y26" s="669" t="s">
        <v>328</v>
      </c>
      <c r="Z26" s="669" t="s">
        <v>328</v>
      </c>
      <c r="AA26" s="669" t="s">
        <v>328</v>
      </c>
      <c r="AB26" s="669" t="s">
        <v>328</v>
      </c>
      <c r="AC26" s="669" t="s">
        <v>328</v>
      </c>
    </row>
    <row r="27" spans="1:29" ht="15.75" customHeight="1">
      <c r="A27" s="661" t="s">
        <v>584</v>
      </c>
      <c r="B27" s="666">
        <v>0.5</v>
      </c>
      <c r="C27" s="666">
        <v>2.2000000000000002</v>
      </c>
      <c r="D27" s="666">
        <v>2.2000000000000002</v>
      </c>
      <c r="E27" s="666">
        <v>1.8</v>
      </c>
      <c r="F27" s="666">
        <v>0.5</v>
      </c>
      <c r="G27" s="666">
        <v>1.8</v>
      </c>
      <c r="H27" s="666">
        <v>1.8</v>
      </c>
      <c r="I27" s="666">
        <v>0.5</v>
      </c>
      <c r="J27" s="666">
        <v>0.5</v>
      </c>
      <c r="K27" s="666">
        <v>0.5</v>
      </c>
      <c r="L27" s="666">
        <v>2.4900000000000002</v>
      </c>
      <c r="M27" s="666">
        <v>2.2000000000000002</v>
      </c>
      <c r="N27" s="666">
        <v>0.5</v>
      </c>
      <c r="O27" s="666">
        <v>0.5</v>
      </c>
      <c r="P27" s="666">
        <v>0.5</v>
      </c>
      <c r="Q27" s="666">
        <v>1.8</v>
      </c>
      <c r="R27" s="666">
        <v>1.5</v>
      </c>
      <c r="S27" s="661">
        <v>1.8</v>
      </c>
      <c r="T27" s="666">
        <v>0.5</v>
      </c>
      <c r="U27" s="666">
        <v>0.5</v>
      </c>
      <c r="V27" s="666">
        <v>0.5</v>
      </c>
      <c r="W27" s="666">
        <v>0.5</v>
      </c>
      <c r="X27" s="666">
        <v>2.2000000000000002</v>
      </c>
      <c r="Y27" s="666">
        <v>0.5</v>
      </c>
      <c r="Z27" s="663">
        <v>1.3</v>
      </c>
      <c r="AA27" s="666">
        <v>0.5</v>
      </c>
      <c r="AB27" s="666">
        <v>0.5</v>
      </c>
      <c r="AC27" s="666">
        <v>0.5</v>
      </c>
    </row>
    <row r="28" spans="1:29" ht="15.75" customHeight="1">
      <c r="A28" s="661" t="s">
        <v>761</v>
      </c>
      <c r="B28" s="666">
        <v>0.1</v>
      </c>
      <c r="C28" s="666">
        <v>0.1</v>
      </c>
      <c r="D28" s="666">
        <v>0.1</v>
      </c>
      <c r="E28" s="666">
        <v>0.1</v>
      </c>
      <c r="F28" s="666">
        <v>0.1</v>
      </c>
      <c r="G28" s="666">
        <v>0.1</v>
      </c>
      <c r="H28" s="666">
        <v>0.1</v>
      </c>
      <c r="I28" s="666">
        <v>0.1</v>
      </c>
      <c r="J28" s="666">
        <v>0.1</v>
      </c>
      <c r="K28" s="666">
        <v>0.1</v>
      </c>
      <c r="L28" s="666">
        <v>0.1</v>
      </c>
      <c r="M28" s="666">
        <v>0.1</v>
      </c>
      <c r="N28" s="666">
        <v>0.1</v>
      </c>
      <c r="O28" s="666">
        <v>0.1</v>
      </c>
      <c r="P28" s="666">
        <v>0.1</v>
      </c>
      <c r="Q28" s="666">
        <v>0.1</v>
      </c>
      <c r="R28" s="666">
        <v>0.1</v>
      </c>
      <c r="S28" s="666">
        <v>0.1</v>
      </c>
      <c r="T28" s="666">
        <v>0.1</v>
      </c>
      <c r="U28" s="666">
        <v>0.1</v>
      </c>
      <c r="V28" s="666">
        <v>0.1</v>
      </c>
      <c r="W28" s="666">
        <v>0.1</v>
      </c>
      <c r="X28" s="666">
        <v>0.1</v>
      </c>
      <c r="Y28" s="666">
        <v>0.1</v>
      </c>
      <c r="Z28" s="666">
        <v>0.1</v>
      </c>
      <c r="AA28" s="666">
        <v>0.1</v>
      </c>
      <c r="AB28" s="666">
        <v>0.1</v>
      </c>
      <c r="AC28" s="666">
        <v>0.1</v>
      </c>
    </row>
    <row r="29" spans="1:29" ht="15.75" customHeight="1">
      <c r="A29" s="661" t="s">
        <v>760</v>
      </c>
      <c r="B29" s="666">
        <v>1</v>
      </c>
      <c r="C29" s="666">
        <v>1</v>
      </c>
      <c r="D29" s="666">
        <v>1</v>
      </c>
      <c r="E29" s="666">
        <v>1</v>
      </c>
      <c r="F29" s="666">
        <v>1</v>
      </c>
      <c r="G29" s="666">
        <v>1</v>
      </c>
      <c r="H29" s="666">
        <v>1</v>
      </c>
      <c r="I29" s="666">
        <v>1</v>
      </c>
      <c r="J29" s="666">
        <v>1</v>
      </c>
      <c r="K29" s="666">
        <v>1</v>
      </c>
      <c r="L29" s="666">
        <v>1</v>
      </c>
      <c r="M29" s="666">
        <v>1</v>
      </c>
      <c r="N29" s="666">
        <v>1</v>
      </c>
      <c r="O29" s="666">
        <v>1</v>
      </c>
      <c r="P29" s="666">
        <v>1</v>
      </c>
      <c r="Q29" s="666">
        <v>1</v>
      </c>
      <c r="R29" s="666">
        <v>1</v>
      </c>
      <c r="S29" s="666">
        <v>1</v>
      </c>
      <c r="T29" s="666">
        <v>1</v>
      </c>
      <c r="U29" s="666">
        <v>1</v>
      </c>
      <c r="V29" s="666">
        <v>1</v>
      </c>
      <c r="W29" s="666">
        <v>1</v>
      </c>
      <c r="X29" s="666">
        <v>1</v>
      </c>
      <c r="Y29" s="666">
        <v>1</v>
      </c>
      <c r="Z29" s="666">
        <v>1</v>
      </c>
      <c r="AA29" s="666">
        <v>1</v>
      </c>
      <c r="AB29" s="666">
        <v>1</v>
      </c>
      <c r="AC29" s="666">
        <v>1</v>
      </c>
    </row>
    <row r="30" spans="1:29" ht="18">
      <c r="A30" s="700" t="s">
        <v>585</v>
      </c>
      <c r="B30" s="701"/>
      <c r="C30" s="755"/>
      <c r="D30" s="755"/>
      <c r="E30" s="701"/>
      <c r="F30" s="701"/>
      <c r="G30" s="701"/>
      <c r="H30" s="701"/>
      <c r="I30" s="701"/>
      <c r="J30" s="701"/>
      <c r="K30" s="701"/>
      <c r="L30" s="701"/>
      <c r="M30" s="755"/>
      <c r="N30" s="701"/>
      <c r="O30" s="701"/>
      <c r="P30" s="701"/>
      <c r="Q30" s="701"/>
      <c r="R30" s="701"/>
      <c r="S30" s="701"/>
      <c r="T30" s="701"/>
      <c r="U30" s="701"/>
      <c r="V30" s="701"/>
      <c r="W30" s="701"/>
      <c r="X30" s="755"/>
      <c r="Y30" s="701"/>
      <c r="Z30" s="701"/>
      <c r="AA30" s="701"/>
      <c r="AB30" s="701"/>
      <c r="AC30" s="701"/>
    </row>
    <row r="31" spans="1:29" ht="12.75">
      <c r="A31" s="661" t="s">
        <v>586</v>
      </c>
      <c r="B31" s="667" t="s">
        <v>323</v>
      </c>
      <c r="C31" s="669" t="s">
        <v>323</v>
      </c>
      <c r="D31" s="667" t="s">
        <v>323</v>
      </c>
      <c r="E31" s="667" t="s">
        <v>323</v>
      </c>
      <c r="F31" s="669" t="s">
        <v>323</v>
      </c>
      <c r="G31" s="667" t="s">
        <v>323</v>
      </c>
      <c r="H31" s="667" t="s">
        <v>323</v>
      </c>
      <c r="I31" s="669" t="s">
        <v>323</v>
      </c>
      <c r="J31" s="669" t="s">
        <v>323</v>
      </c>
      <c r="K31" s="669" t="s">
        <v>323</v>
      </c>
      <c r="L31" s="667" t="s">
        <v>323</v>
      </c>
      <c r="M31" s="669" t="s">
        <v>323</v>
      </c>
      <c r="N31" s="669" t="s">
        <v>323</v>
      </c>
      <c r="O31" s="669" t="s">
        <v>323</v>
      </c>
      <c r="P31" s="667" t="s">
        <v>323</v>
      </c>
      <c r="Q31" s="667" t="s">
        <v>323</v>
      </c>
      <c r="R31" s="667" t="s">
        <v>323</v>
      </c>
      <c r="S31" s="667" t="s">
        <v>323</v>
      </c>
      <c r="T31" s="667" t="s">
        <v>323</v>
      </c>
      <c r="U31" s="667" t="s">
        <v>323</v>
      </c>
      <c r="V31" s="669" t="s">
        <v>323</v>
      </c>
      <c r="W31" s="667" t="s">
        <v>323</v>
      </c>
      <c r="X31" s="669" t="s">
        <v>323</v>
      </c>
      <c r="Y31" s="667" t="s">
        <v>323</v>
      </c>
      <c r="Z31" s="669" t="s">
        <v>323</v>
      </c>
      <c r="AA31" s="667" t="s">
        <v>323</v>
      </c>
      <c r="AB31" s="667" t="s">
        <v>323</v>
      </c>
      <c r="AC31" s="667" t="s">
        <v>323</v>
      </c>
    </row>
    <row r="32" spans="1:29" ht="12.75">
      <c r="A32" s="661" t="s">
        <v>587</v>
      </c>
      <c r="B32" s="704">
        <v>0.5</v>
      </c>
      <c r="C32" s="666">
        <v>0.5</v>
      </c>
      <c r="D32" s="704">
        <v>0.5</v>
      </c>
      <c r="E32" s="704">
        <v>0.4</v>
      </c>
      <c r="F32" s="704">
        <v>0.5</v>
      </c>
      <c r="G32" s="704">
        <v>0.4</v>
      </c>
      <c r="H32" s="704">
        <v>0.4</v>
      </c>
      <c r="I32" s="704">
        <v>0.5</v>
      </c>
      <c r="J32" s="704">
        <v>0.5</v>
      </c>
      <c r="K32" s="704">
        <v>0.5</v>
      </c>
      <c r="L32" s="704">
        <v>0.34</v>
      </c>
      <c r="M32" s="666">
        <v>0.5</v>
      </c>
      <c r="N32" s="704">
        <v>0.5</v>
      </c>
      <c r="O32" s="704">
        <v>0.5</v>
      </c>
      <c r="P32" s="704">
        <v>0.5</v>
      </c>
      <c r="Q32" s="704">
        <v>0.25</v>
      </c>
      <c r="R32" s="704">
        <v>0.5</v>
      </c>
      <c r="S32" s="704">
        <v>0.25</v>
      </c>
      <c r="T32" s="704">
        <v>0.5</v>
      </c>
      <c r="U32" s="704">
        <v>0.5</v>
      </c>
      <c r="V32" s="704">
        <v>0.5</v>
      </c>
      <c r="W32" s="704">
        <v>0.35</v>
      </c>
      <c r="X32" s="704">
        <v>0.5</v>
      </c>
      <c r="Y32" s="704">
        <v>0.5</v>
      </c>
      <c r="Z32" s="704">
        <v>0.3</v>
      </c>
      <c r="AA32" s="704">
        <v>0.5</v>
      </c>
      <c r="AB32" s="704">
        <v>0.5</v>
      </c>
      <c r="AC32" s="683" t="s">
        <v>293</v>
      </c>
    </row>
    <row r="33" spans="1:29" ht="12.75">
      <c r="A33" s="661" t="s">
        <v>588</v>
      </c>
      <c r="B33" s="661">
        <v>21</v>
      </c>
      <c r="C33" s="666">
        <v>20</v>
      </c>
      <c r="D33" s="704">
        <v>20</v>
      </c>
      <c r="E33" s="704">
        <v>60</v>
      </c>
      <c r="F33" s="663">
        <v>20</v>
      </c>
      <c r="G33" s="661">
        <v>60</v>
      </c>
      <c r="H33" s="661">
        <v>60</v>
      </c>
      <c r="I33" s="663">
        <v>40</v>
      </c>
      <c r="J33" s="663">
        <v>40</v>
      </c>
      <c r="K33" s="663">
        <v>40</v>
      </c>
      <c r="L33" s="661">
        <v>13</v>
      </c>
      <c r="M33" s="666">
        <v>20</v>
      </c>
      <c r="N33" s="663">
        <v>40</v>
      </c>
      <c r="O33" s="663">
        <v>21</v>
      </c>
      <c r="P33" s="661">
        <v>23</v>
      </c>
      <c r="Q33" s="661">
        <v>25</v>
      </c>
      <c r="R33" s="661">
        <v>100</v>
      </c>
      <c r="S33" s="661">
        <v>25</v>
      </c>
      <c r="T33" s="661">
        <v>21</v>
      </c>
      <c r="U33" s="661">
        <v>60</v>
      </c>
      <c r="V33" s="663">
        <v>60</v>
      </c>
      <c r="W33" s="661">
        <v>25</v>
      </c>
      <c r="X33" s="666">
        <v>20</v>
      </c>
      <c r="Y33" s="661">
        <v>40</v>
      </c>
      <c r="Z33" s="663">
        <v>30</v>
      </c>
      <c r="AA33" s="661">
        <v>20</v>
      </c>
      <c r="AB33" s="661">
        <v>30</v>
      </c>
      <c r="AC33" s="661">
        <v>3.7</v>
      </c>
    </row>
    <row r="34" spans="1:29" ht="12.75">
      <c r="A34" s="661" t="s">
        <v>589</v>
      </c>
      <c r="B34" s="661">
        <v>1</v>
      </c>
      <c r="C34" s="666">
        <v>1</v>
      </c>
      <c r="D34" s="704">
        <v>1</v>
      </c>
      <c r="E34" s="704">
        <v>1</v>
      </c>
      <c r="F34" s="663">
        <v>1</v>
      </c>
      <c r="G34" s="661">
        <v>1</v>
      </c>
      <c r="H34" s="661">
        <v>1</v>
      </c>
      <c r="I34" s="663">
        <v>1</v>
      </c>
      <c r="J34" s="663">
        <v>1</v>
      </c>
      <c r="K34" s="663">
        <v>1</v>
      </c>
      <c r="L34" s="661">
        <v>1</v>
      </c>
      <c r="M34" s="666">
        <v>1</v>
      </c>
      <c r="N34" s="663">
        <v>1</v>
      </c>
      <c r="O34" s="663">
        <v>1</v>
      </c>
      <c r="P34" s="661">
        <v>1</v>
      </c>
      <c r="Q34" s="661">
        <v>1</v>
      </c>
      <c r="R34" s="661">
        <v>1</v>
      </c>
      <c r="S34" s="661">
        <v>1</v>
      </c>
      <c r="T34" s="661">
        <v>1</v>
      </c>
      <c r="U34" s="661">
        <v>1</v>
      </c>
      <c r="V34" s="663">
        <v>1</v>
      </c>
      <c r="W34" s="661">
        <v>1</v>
      </c>
      <c r="X34" s="666">
        <v>1</v>
      </c>
      <c r="Y34" s="661">
        <v>1</v>
      </c>
      <c r="Z34" s="663">
        <v>1</v>
      </c>
      <c r="AA34" s="661">
        <v>1</v>
      </c>
      <c r="AB34" s="661">
        <v>1</v>
      </c>
      <c r="AC34" s="661">
        <v>1</v>
      </c>
    </row>
    <row r="35" spans="1:29" ht="12.75">
      <c r="A35" s="661" t="s">
        <v>590</v>
      </c>
      <c r="B35" s="661">
        <v>20</v>
      </c>
      <c r="C35" s="666">
        <v>20</v>
      </c>
      <c r="D35" s="704">
        <v>20</v>
      </c>
      <c r="E35" s="704">
        <v>20</v>
      </c>
      <c r="F35" s="663">
        <v>20</v>
      </c>
      <c r="G35" s="661">
        <v>20</v>
      </c>
      <c r="H35" s="661">
        <v>20</v>
      </c>
      <c r="I35" s="663">
        <v>20</v>
      </c>
      <c r="J35" s="663">
        <v>20</v>
      </c>
      <c r="K35" s="663">
        <v>20</v>
      </c>
      <c r="L35" s="661">
        <v>20</v>
      </c>
      <c r="M35" s="666">
        <v>20</v>
      </c>
      <c r="N35" s="663">
        <v>20</v>
      </c>
      <c r="O35" s="663">
        <v>20</v>
      </c>
      <c r="P35" s="661">
        <v>20</v>
      </c>
      <c r="Q35" s="661">
        <v>20</v>
      </c>
      <c r="R35" s="661">
        <v>20</v>
      </c>
      <c r="S35" s="661">
        <v>20</v>
      </c>
      <c r="T35" s="661">
        <v>20</v>
      </c>
      <c r="U35" s="661">
        <v>20</v>
      </c>
      <c r="V35" s="663">
        <v>20</v>
      </c>
      <c r="W35" s="661">
        <v>20</v>
      </c>
      <c r="X35" s="666">
        <v>20</v>
      </c>
      <c r="Y35" s="661">
        <v>20</v>
      </c>
      <c r="Z35" s="663">
        <v>20</v>
      </c>
      <c r="AA35" s="661">
        <v>20</v>
      </c>
      <c r="AB35" s="661">
        <v>20</v>
      </c>
      <c r="AC35" s="661">
        <v>20</v>
      </c>
    </row>
    <row r="36" spans="1:29" ht="12.75">
      <c r="A36" s="661" t="s">
        <v>591</v>
      </c>
      <c r="B36" s="661">
        <v>3.5</v>
      </c>
      <c r="C36" s="663">
        <v>4</v>
      </c>
      <c r="D36" s="661">
        <v>4</v>
      </c>
      <c r="E36" s="661">
        <v>2.5</v>
      </c>
      <c r="F36" s="663">
        <v>2.5</v>
      </c>
      <c r="G36" s="661">
        <v>2.5</v>
      </c>
      <c r="H36" s="661">
        <v>2.5</v>
      </c>
      <c r="I36" s="663">
        <v>2.5</v>
      </c>
      <c r="J36" s="663">
        <v>2.5</v>
      </c>
      <c r="K36" s="666">
        <v>2.5</v>
      </c>
      <c r="L36" s="661">
        <v>5</v>
      </c>
      <c r="M36" s="663">
        <v>4</v>
      </c>
      <c r="N36" s="663">
        <v>2.5</v>
      </c>
      <c r="O36" s="663">
        <v>4</v>
      </c>
      <c r="P36" s="661">
        <v>2.4</v>
      </c>
      <c r="Q36" s="661">
        <v>2.5</v>
      </c>
      <c r="R36" s="661">
        <v>2.5</v>
      </c>
      <c r="S36" s="661">
        <v>2.5</v>
      </c>
      <c r="T36" s="661">
        <v>3.5</v>
      </c>
      <c r="U36" s="661">
        <v>3</v>
      </c>
      <c r="V36" s="663">
        <v>2.5</v>
      </c>
      <c r="W36" s="661">
        <v>5</v>
      </c>
      <c r="X36" s="663">
        <v>4</v>
      </c>
      <c r="Y36" s="661">
        <v>2.5</v>
      </c>
      <c r="Z36" s="663">
        <v>2</v>
      </c>
      <c r="AA36" s="661">
        <v>4</v>
      </c>
      <c r="AB36" s="661">
        <v>4</v>
      </c>
      <c r="AC36" s="661">
        <v>5</v>
      </c>
    </row>
    <row r="37" spans="1:29" ht="12.75">
      <c r="A37" s="661" t="s">
        <v>592</v>
      </c>
      <c r="B37" s="661">
        <v>28</v>
      </c>
      <c r="C37" s="663">
        <v>25</v>
      </c>
      <c r="D37" s="661">
        <v>25</v>
      </c>
      <c r="E37" s="661">
        <v>40</v>
      </c>
      <c r="F37" s="663">
        <v>40</v>
      </c>
      <c r="G37" s="661">
        <v>40</v>
      </c>
      <c r="H37" s="661">
        <v>40</v>
      </c>
      <c r="I37" s="663">
        <v>40</v>
      </c>
      <c r="J37" s="663">
        <v>40</v>
      </c>
      <c r="K37" s="663">
        <v>40</v>
      </c>
      <c r="L37" s="661">
        <v>30</v>
      </c>
      <c r="M37" s="663">
        <v>25</v>
      </c>
      <c r="N37" s="663">
        <v>40</v>
      </c>
      <c r="O37" s="663">
        <v>28</v>
      </c>
      <c r="P37" s="661">
        <v>40</v>
      </c>
      <c r="Q37" s="661">
        <v>30</v>
      </c>
      <c r="R37" s="661">
        <v>45</v>
      </c>
      <c r="S37" s="661">
        <v>30</v>
      </c>
      <c r="T37" s="661">
        <v>28</v>
      </c>
      <c r="U37" s="661">
        <v>40</v>
      </c>
      <c r="V37" s="663">
        <v>40</v>
      </c>
      <c r="W37" s="661">
        <v>45</v>
      </c>
      <c r="X37" s="663">
        <v>25</v>
      </c>
      <c r="Y37" s="661">
        <v>40</v>
      </c>
      <c r="Z37" s="663">
        <v>60</v>
      </c>
      <c r="AA37" s="661">
        <v>25</v>
      </c>
      <c r="AB37" s="661">
        <v>30</v>
      </c>
      <c r="AC37" s="661">
        <v>50</v>
      </c>
    </row>
    <row r="38" spans="1:29" ht="12.75">
      <c r="A38" s="661" t="s">
        <v>593</v>
      </c>
      <c r="B38" s="661">
        <v>6</v>
      </c>
      <c r="C38" s="663">
        <v>11</v>
      </c>
      <c r="D38" s="661">
        <v>11</v>
      </c>
      <c r="E38" s="661">
        <v>12</v>
      </c>
      <c r="F38" s="663">
        <v>12</v>
      </c>
      <c r="G38" s="661">
        <v>12</v>
      </c>
      <c r="H38" s="661">
        <v>20</v>
      </c>
      <c r="I38" s="663">
        <v>16.5</v>
      </c>
      <c r="J38" s="663">
        <v>16.5</v>
      </c>
      <c r="K38" s="663">
        <v>16.5</v>
      </c>
      <c r="L38" s="661">
        <v>12</v>
      </c>
      <c r="M38" s="663">
        <v>11</v>
      </c>
      <c r="N38" s="663">
        <v>16.5</v>
      </c>
      <c r="O38" s="663">
        <v>11</v>
      </c>
      <c r="P38" s="661">
        <v>20</v>
      </c>
      <c r="Q38" s="661">
        <v>35</v>
      </c>
      <c r="R38" s="661">
        <v>10</v>
      </c>
      <c r="S38" s="661">
        <v>35</v>
      </c>
      <c r="T38" s="661">
        <v>6</v>
      </c>
      <c r="U38" s="661">
        <v>12</v>
      </c>
      <c r="V38" s="663">
        <v>16.5</v>
      </c>
      <c r="W38" s="661">
        <v>30</v>
      </c>
      <c r="X38" s="663">
        <v>11</v>
      </c>
      <c r="Y38" s="661">
        <v>16.5</v>
      </c>
      <c r="Z38" s="663">
        <v>12</v>
      </c>
      <c r="AA38" s="661">
        <v>11</v>
      </c>
      <c r="AB38" s="661">
        <v>18</v>
      </c>
      <c r="AC38" s="661">
        <v>100</v>
      </c>
    </row>
    <row r="39" spans="1:29" ht="17.25" customHeight="1">
      <c r="A39" s="661" t="s">
        <v>594</v>
      </c>
      <c r="B39" s="667" t="s">
        <v>324</v>
      </c>
      <c r="C39" s="669" t="s">
        <v>324</v>
      </c>
      <c r="D39" s="667" t="s">
        <v>324</v>
      </c>
      <c r="E39" s="667" t="s">
        <v>324</v>
      </c>
      <c r="F39" s="669" t="s">
        <v>328</v>
      </c>
      <c r="G39" s="667" t="s">
        <v>328</v>
      </c>
      <c r="H39" s="667" t="s">
        <v>328</v>
      </c>
      <c r="I39" s="669" t="s">
        <v>328</v>
      </c>
      <c r="J39" s="669" t="s">
        <v>328</v>
      </c>
      <c r="K39" s="669" t="s">
        <v>328</v>
      </c>
      <c r="L39" s="667" t="s">
        <v>328</v>
      </c>
      <c r="M39" s="669" t="s">
        <v>324</v>
      </c>
      <c r="N39" s="669" t="s">
        <v>328</v>
      </c>
      <c r="O39" s="669" t="s">
        <v>324</v>
      </c>
      <c r="P39" s="667" t="s">
        <v>328</v>
      </c>
      <c r="Q39" s="667" t="s">
        <v>328</v>
      </c>
      <c r="R39" s="667" t="s">
        <v>328</v>
      </c>
      <c r="S39" s="667" t="s">
        <v>328</v>
      </c>
      <c r="T39" s="667" t="s">
        <v>324</v>
      </c>
      <c r="U39" s="667" t="s">
        <v>328</v>
      </c>
      <c r="V39" s="669" t="s">
        <v>328</v>
      </c>
      <c r="W39" s="667" t="s">
        <v>328</v>
      </c>
      <c r="X39" s="669" t="s">
        <v>324</v>
      </c>
      <c r="Y39" s="667" t="s">
        <v>328</v>
      </c>
      <c r="Z39" s="669" t="s">
        <v>328</v>
      </c>
      <c r="AA39" s="667" t="s">
        <v>324</v>
      </c>
      <c r="AB39" s="667" t="s">
        <v>328</v>
      </c>
      <c r="AC39" s="667" t="s">
        <v>328</v>
      </c>
    </row>
    <row r="40" spans="1:29" ht="17.25" customHeight="1">
      <c r="A40" s="661" t="s">
        <v>595</v>
      </c>
      <c r="B40" s="667" t="s">
        <v>293</v>
      </c>
      <c r="C40" s="669" t="s">
        <v>293</v>
      </c>
      <c r="D40" s="667" t="s">
        <v>293</v>
      </c>
      <c r="E40" s="667" t="s">
        <v>293</v>
      </c>
      <c r="F40" s="663">
        <v>10</v>
      </c>
      <c r="G40" s="661">
        <v>40</v>
      </c>
      <c r="H40" s="661">
        <v>40</v>
      </c>
      <c r="I40" s="663">
        <v>40</v>
      </c>
      <c r="J40" s="663">
        <v>40</v>
      </c>
      <c r="K40" s="666">
        <v>40</v>
      </c>
      <c r="L40" s="661">
        <v>20</v>
      </c>
      <c r="M40" s="669" t="s">
        <v>293</v>
      </c>
      <c r="N40" s="663">
        <v>40</v>
      </c>
      <c r="O40" s="669" t="s">
        <v>293</v>
      </c>
      <c r="P40" s="704">
        <v>25</v>
      </c>
      <c r="Q40" s="704">
        <v>30</v>
      </c>
      <c r="R40" s="661">
        <v>20</v>
      </c>
      <c r="S40" s="661">
        <v>30</v>
      </c>
      <c r="T40" s="667" t="s">
        <v>293</v>
      </c>
      <c r="U40" s="661">
        <v>10</v>
      </c>
      <c r="V40" s="663">
        <v>10</v>
      </c>
      <c r="W40" s="661">
        <v>12</v>
      </c>
      <c r="X40" s="669" t="s">
        <v>293</v>
      </c>
      <c r="Y40" s="661">
        <v>40</v>
      </c>
      <c r="Z40" s="663">
        <v>30</v>
      </c>
      <c r="AA40" s="667" t="s">
        <v>293</v>
      </c>
      <c r="AB40" s="661">
        <v>30</v>
      </c>
      <c r="AC40" s="661">
        <v>40</v>
      </c>
    </row>
    <row r="41" spans="1:29" ht="31.5" customHeight="1">
      <c r="A41" s="682" t="s">
        <v>596</v>
      </c>
      <c r="B41" s="661">
        <v>20</v>
      </c>
      <c r="C41" s="663">
        <v>20</v>
      </c>
      <c r="D41" s="661">
        <v>5</v>
      </c>
      <c r="E41" s="661">
        <v>10</v>
      </c>
      <c r="F41" s="663">
        <v>10</v>
      </c>
      <c r="G41" s="661">
        <v>10</v>
      </c>
      <c r="H41" s="661">
        <v>10</v>
      </c>
      <c r="I41" s="663">
        <v>10</v>
      </c>
      <c r="J41" s="663">
        <v>10</v>
      </c>
      <c r="K41" s="666">
        <v>10</v>
      </c>
      <c r="L41" s="661">
        <v>3</v>
      </c>
      <c r="M41" s="663">
        <v>20</v>
      </c>
      <c r="N41" s="663">
        <v>10</v>
      </c>
      <c r="O41" s="663">
        <v>20</v>
      </c>
      <c r="P41" s="661">
        <v>17</v>
      </c>
      <c r="Q41" s="661">
        <v>10</v>
      </c>
      <c r="R41" s="661">
        <v>5</v>
      </c>
      <c r="S41" s="661">
        <v>10</v>
      </c>
      <c r="T41" s="661">
        <v>20</v>
      </c>
      <c r="U41" s="661">
        <v>10</v>
      </c>
      <c r="V41" s="663">
        <v>10</v>
      </c>
      <c r="W41" s="661">
        <v>15</v>
      </c>
      <c r="X41" s="663">
        <v>20</v>
      </c>
      <c r="Y41" s="661">
        <v>10</v>
      </c>
      <c r="Z41" s="663">
        <v>5</v>
      </c>
      <c r="AA41" s="661">
        <v>20</v>
      </c>
      <c r="AB41" s="661">
        <v>20</v>
      </c>
      <c r="AC41" s="661">
        <v>10</v>
      </c>
    </row>
    <row r="42" spans="1:29" ht="12.75">
      <c r="A42" s="661" t="s">
        <v>597</v>
      </c>
      <c r="B42" s="661">
        <v>3.5</v>
      </c>
      <c r="C42" s="663">
        <v>4</v>
      </c>
      <c r="D42" s="661">
        <v>5.5</v>
      </c>
      <c r="E42" s="661">
        <v>5.5</v>
      </c>
      <c r="F42" s="663">
        <v>5.5</v>
      </c>
      <c r="G42" s="661">
        <v>5.5</v>
      </c>
      <c r="H42" s="661">
        <v>5.5</v>
      </c>
      <c r="I42" s="663">
        <v>5.5</v>
      </c>
      <c r="J42" s="663">
        <v>5.5</v>
      </c>
      <c r="K42" s="666">
        <v>5.5</v>
      </c>
      <c r="L42" s="661">
        <v>4</v>
      </c>
      <c r="M42" s="663">
        <v>4</v>
      </c>
      <c r="N42" s="663">
        <v>5.5</v>
      </c>
      <c r="O42" s="663">
        <v>3.5</v>
      </c>
      <c r="P42" s="661">
        <v>5.5</v>
      </c>
      <c r="Q42" s="661">
        <v>5.5</v>
      </c>
      <c r="R42" s="661">
        <v>5.5</v>
      </c>
      <c r="S42" s="661">
        <v>5.5</v>
      </c>
      <c r="T42" s="661">
        <v>3.5</v>
      </c>
      <c r="U42" s="661">
        <v>5.5</v>
      </c>
      <c r="V42" s="663">
        <v>5.5</v>
      </c>
      <c r="W42" s="661">
        <v>5</v>
      </c>
      <c r="X42" s="663">
        <v>4</v>
      </c>
      <c r="Y42" s="661">
        <v>5.5</v>
      </c>
      <c r="Z42" s="663">
        <v>6</v>
      </c>
      <c r="AA42" s="661">
        <v>4</v>
      </c>
      <c r="AB42" s="661">
        <v>4</v>
      </c>
      <c r="AC42" s="661">
        <v>4</v>
      </c>
    </row>
    <row r="43" spans="1:29" ht="12.75">
      <c r="A43" s="661" t="s">
        <v>706</v>
      </c>
      <c r="B43" s="661">
        <v>8.6999999999999993</v>
      </c>
      <c r="C43" s="663">
        <v>10</v>
      </c>
      <c r="D43" s="661">
        <v>8</v>
      </c>
      <c r="E43" s="661">
        <v>8</v>
      </c>
      <c r="F43" s="663">
        <v>8</v>
      </c>
      <c r="G43" s="661">
        <v>8</v>
      </c>
      <c r="H43" s="661">
        <v>8</v>
      </c>
      <c r="I43" s="663">
        <v>8</v>
      </c>
      <c r="J43" s="663">
        <v>8</v>
      </c>
      <c r="K43" s="663">
        <v>8</v>
      </c>
      <c r="L43" s="661">
        <v>8</v>
      </c>
      <c r="M43" s="663">
        <v>10</v>
      </c>
      <c r="N43" s="663">
        <v>8</v>
      </c>
      <c r="O43" s="663">
        <v>8.6999999999999993</v>
      </c>
      <c r="P43" s="661">
        <v>8</v>
      </c>
      <c r="Q43" s="661">
        <v>8</v>
      </c>
      <c r="R43" s="661">
        <v>8</v>
      </c>
      <c r="S43" s="661">
        <v>8</v>
      </c>
      <c r="T43" s="661">
        <v>8.6999999999999993</v>
      </c>
      <c r="U43" s="661">
        <v>8</v>
      </c>
      <c r="V43" s="663">
        <v>8</v>
      </c>
      <c r="W43" s="661">
        <v>7.5</v>
      </c>
      <c r="X43" s="663">
        <v>10</v>
      </c>
      <c r="Y43" s="661">
        <v>8</v>
      </c>
      <c r="Z43" s="663">
        <v>7</v>
      </c>
      <c r="AA43" s="661">
        <v>10</v>
      </c>
      <c r="AB43" s="661">
        <v>10</v>
      </c>
      <c r="AC43" s="661">
        <v>6</v>
      </c>
    </row>
    <row r="44" spans="1:29" ht="12.75">
      <c r="A44" s="705" t="s">
        <v>287</v>
      </c>
      <c r="B44" s="704">
        <v>0.5</v>
      </c>
      <c r="C44" s="666">
        <v>0.5</v>
      </c>
      <c r="D44" s="704">
        <v>0.5</v>
      </c>
      <c r="E44" s="704">
        <v>1</v>
      </c>
      <c r="F44" s="666">
        <v>1</v>
      </c>
      <c r="G44" s="704">
        <v>1</v>
      </c>
      <c r="H44" s="704">
        <v>1</v>
      </c>
      <c r="I44" s="666">
        <v>1</v>
      </c>
      <c r="J44" s="666">
        <v>1</v>
      </c>
      <c r="K44" s="666">
        <v>1</v>
      </c>
      <c r="L44" s="704">
        <v>1</v>
      </c>
      <c r="M44" s="666">
        <v>0.5</v>
      </c>
      <c r="N44" s="666">
        <v>1</v>
      </c>
      <c r="O44" s="666">
        <v>0.5</v>
      </c>
      <c r="P44" s="704">
        <v>1</v>
      </c>
      <c r="Q44" s="704">
        <v>1</v>
      </c>
      <c r="R44" s="704">
        <v>0.5</v>
      </c>
      <c r="S44" s="704">
        <v>1</v>
      </c>
      <c r="T44" s="704">
        <v>0.5</v>
      </c>
      <c r="U44" s="704">
        <v>1</v>
      </c>
      <c r="V44" s="666">
        <v>1</v>
      </c>
      <c r="W44" s="704">
        <v>0.5</v>
      </c>
      <c r="X44" s="666">
        <v>0.5</v>
      </c>
      <c r="Y44" s="704">
        <v>1</v>
      </c>
      <c r="Z44" s="666">
        <v>2.5</v>
      </c>
      <c r="AA44" s="704">
        <v>0.5</v>
      </c>
      <c r="AB44" s="704">
        <v>1</v>
      </c>
      <c r="AC44" s="704">
        <v>0.5</v>
      </c>
    </row>
    <row r="45" spans="1:29" ht="12.75">
      <c r="A45" s="661" t="s">
        <v>606</v>
      </c>
      <c r="B45" s="704">
        <v>3</v>
      </c>
      <c r="C45" s="666">
        <v>3</v>
      </c>
      <c r="D45" s="704">
        <v>3</v>
      </c>
      <c r="E45" s="704">
        <v>3</v>
      </c>
      <c r="F45" s="666">
        <v>3</v>
      </c>
      <c r="G45" s="704">
        <v>3</v>
      </c>
      <c r="H45" s="704">
        <v>3</v>
      </c>
      <c r="I45" s="666">
        <v>3</v>
      </c>
      <c r="J45" s="666">
        <v>3</v>
      </c>
      <c r="K45" s="666">
        <v>3</v>
      </c>
      <c r="L45" s="704">
        <v>3</v>
      </c>
      <c r="M45" s="666">
        <v>3</v>
      </c>
      <c r="N45" s="666">
        <v>3</v>
      </c>
      <c r="O45" s="666">
        <v>3</v>
      </c>
      <c r="P45" s="704">
        <v>3</v>
      </c>
      <c r="Q45" s="704">
        <v>3</v>
      </c>
      <c r="R45" s="704">
        <v>3</v>
      </c>
      <c r="S45" s="704">
        <v>3</v>
      </c>
      <c r="T45" s="704">
        <v>3</v>
      </c>
      <c r="U45" s="704">
        <v>3</v>
      </c>
      <c r="V45" s="666">
        <v>3</v>
      </c>
      <c r="W45" s="704">
        <v>3</v>
      </c>
      <c r="X45" s="666">
        <v>3</v>
      </c>
      <c r="Y45" s="704">
        <v>3</v>
      </c>
      <c r="Z45" s="666">
        <v>3</v>
      </c>
      <c r="AA45" s="704">
        <v>3</v>
      </c>
      <c r="AB45" s="704">
        <v>3</v>
      </c>
      <c r="AC45" s="704">
        <v>1</v>
      </c>
    </row>
    <row r="46" spans="1:29" ht="12.75">
      <c r="A46" s="661" t="s">
        <v>289</v>
      </c>
      <c r="B46" s="667" t="s">
        <v>324</v>
      </c>
      <c r="C46" s="669" t="s">
        <v>324</v>
      </c>
      <c r="D46" s="667" t="s">
        <v>324</v>
      </c>
      <c r="E46" s="667" t="s">
        <v>324</v>
      </c>
      <c r="F46" s="669" t="s">
        <v>324</v>
      </c>
      <c r="G46" s="667" t="s">
        <v>328</v>
      </c>
      <c r="H46" s="667" t="s">
        <v>328</v>
      </c>
      <c r="I46" s="669" t="s">
        <v>324</v>
      </c>
      <c r="J46" s="669" t="s">
        <v>324</v>
      </c>
      <c r="K46" s="669" t="s">
        <v>328</v>
      </c>
      <c r="L46" s="667" t="s">
        <v>328</v>
      </c>
      <c r="M46" s="669" t="s">
        <v>324</v>
      </c>
      <c r="N46" s="669" t="s">
        <v>324</v>
      </c>
      <c r="O46" s="669" t="s">
        <v>324</v>
      </c>
      <c r="P46" s="667" t="s">
        <v>328</v>
      </c>
      <c r="Q46" s="667" t="s">
        <v>328</v>
      </c>
      <c r="R46" s="667" t="s">
        <v>328</v>
      </c>
      <c r="S46" s="667" t="s">
        <v>328</v>
      </c>
      <c r="T46" s="667" t="s">
        <v>324</v>
      </c>
      <c r="U46" s="667" t="s">
        <v>324</v>
      </c>
      <c r="V46" s="669" t="s">
        <v>328</v>
      </c>
      <c r="W46" s="667" t="s">
        <v>328</v>
      </c>
      <c r="X46" s="669" t="s">
        <v>324</v>
      </c>
      <c r="Y46" s="667" t="s">
        <v>328</v>
      </c>
      <c r="Z46" s="669" t="s">
        <v>328</v>
      </c>
      <c r="AA46" s="667" t="s">
        <v>324</v>
      </c>
      <c r="AB46" s="667" t="s">
        <v>324</v>
      </c>
      <c r="AC46" s="667" t="s">
        <v>324</v>
      </c>
    </row>
    <row r="47" spans="1:29" ht="25.5">
      <c r="A47" s="682" t="s">
        <v>607</v>
      </c>
      <c r="B47" s="666">
        <v>4</v>
      </c>
      <c r="C47" s="666">
        <v>4</v>
      </c>
      <c r="D47" s="666">
        <v>4</v>
      </c>
      <c r="E47" s="666">
        <v>4</v>
      </c>
      <c r="F47" s="666">
        <v>4</v>
      </c>
      <c r="G47" s="666">
        <v>4</v>
      </c>
      <c r="H47" s="666">
        <v>4</v>
      </c>
      <c r="I47" s="666">
        <v>4</v>
      </c>
      <c r="J47" s="666">
        <v>4</v>
      </c>
      <c r="K47" s="666">
        <v>4</v>
      </c>
      <c r="L47" s="704">
        <v>4</v>
      </c>
      <c r="M47" s="666">
        <v>4</v>
      </c>
      <c r="N47" s="666">
        <v>4</v>
      </c>
      <c r="O47" s="666">
        <v>4</v>
      </c>
      <c r="P47" s="666">
        <v>4</v>
      </c>
      <c r="Q47" s="666">
        <v>4</v>
      </c>
      <c r="R47" s="704">
        <v>4</v>
      </c>
      <c r="S47" s="666">
        <v>4</v>
      </c>
      <c r="T47" s="666">
        <v>4</v>
      </c>
      <c r="U47" s="666">
        <v>4</v>
      </c>
      <c r="V47" s="666">
        <v>4</v>
      </c>
      <c r="W47" s="666">
        <v>4</v>
      </c>
      <c r="X47" s="666">
        <v>4</v>
      </c>
      <c r="Y47" s="666">
        <v>4</v>
      </c>
      <c r="Z47" s="704">
        <v>4</v>
      </c>
      <c r="AA47" s="666">
        <v>4</v>
      </c>
      <c r="AB47" s="666">
        <v>4</v>
      </c>
      <c r="AC47" s="666">
        <v>12</v>
      </c>
    </row>
    <row r="48" spans="1:29" ht="12.75">
      <c r="A48" s="682" t="s">
        <v>608</v>
      </c>
      <c r="B48" s="666">
        <v>1800</v>
      </c>
      <c r="C48" s="666">
        <v>1800</v>
      </c>
      <c r="D48" s="666">
        <v>1800</v>
      </c>
      <c r="E48" s="666">
        <v>1800</v>
      </c>
      <c r="F48" s="666">
        <v>1800</v>
      </c>
      <c r="G48" s="666">
        <v>1800</v>
      </c>
      <c r="H48" s="666">
        <v>1800</v>
      </c>
      <c r="I48" s="666">
        <v>1800</v>
      </c>
      <c r="J48" s="666">
        <v>1800</v>
      </c>
      <c r="K48" s="666">
        <v>1800</v>
      </c>
      <c r="L48" s="666">
        <v>1800</v>
      </c>
      <c r="M48" s="666">
        <v>1800</v>
      </c>
      <c r="N48" s="666">
        <v>1800</v>
      </c>
      <c r="O48" s="666">
        <v>1800</v>
      </c>
      <c r="P48" s="666">
        <v>1800</v>
      </c>
      <c r="Q48" s="666">
        <v>1800</v>
      </c>
      <c r="R48" s="666">
        <v>1800</v>
      </c>
      <c r="S48" s="666">
        <v>1800</v>
      </c>
      <c r="T48" s="666">
        <v>1800</v>
      </c>
      <c r="U48" s="666">
        <v>1800</v>
      </c>
      <c r="V48" s="666">
        <v>1800</v>
      </c>
      <c r="W48" s="666">
        <v>1800</v>
      </c>
      <c r="X48" s="666">
        <v>1800</v>
      </c>
      <c r="Y48" s="666">
        <v>1800</v>
      </c>
      <c r="Z48" s="666">
        <v>1800</v>
      </c>
      <c r="AA48" s="666">
        <v>1800</v>
      </c>
      <c r="AB48" s="666">
        <v>1800</v>
      </c>
      <c r="AC48" s="666">
        <v>2600</v>
      </c>
    </row>
    <row r="49" spans="1:29" ht="12.75">
      <c r="A49" s="661" t="s">
        <v>609</v>
      </c>
      <c r="B49" s="666">
        <v>2.5000000000000001E-3</v>
      </c>
      <c r="C49" s="666">
        <v>5.0000000000000001E-4</v>
      </c>
      <c r="D49" s="666">
        <v>5.0000000000000001E-4</v>
      </c>
      <c r="E49" s="666">
        <v>5.4999999999999997E-3</v>
      </c>
      <c r="F49" s="666">
        <v>3.5000000000000001E-3</v>
      </c>
      <c r="G49" s="666">
        <v>5.4999999999999997E-3</v>
      </c>
      <c r="H49" s="666">
        <v>5.4999999999999997E-3</v>
      </c>
      <c r="I49" s="666">
        <v>2.5000000000000001E-3</v>
      </c>
      <c r="J49" s="666">
        <v>2.5000000000000001E-3</v>
      </c>
      <c r="K49" s="666">
        <v>2.5000000000000001E-3</v>
      </c>
      <c r="L49" s="704">
        <v>4.0000000000000001E-3</v>
      </c>
      <c r="M49" s="666">
        <v>5.0000000000000001E-4</v>
      </c>
      <c r="N49" s="666">
        <v>2.5000000000000001E-3</v>
      </c>
      <c r="O49" s="666">
        <v>5.0000000000000001E-4</v>
      </c>
      <c r="P49" s="666">
        <v>4.4999999999999997E-3</v>
      </c>
      <c r="Q49" s="666">
        <v>1.6000000000000001E-3</v>
      </c>
      <c r="R49" s="704">
        <v>7.0000000000000001E-3</v>
      </c>
      <c r="S49" s="666">
        <v>1.6000000000000001E-3</v>
      </c>
      <c r="T49" s="666">
        <v>2.5000000000000001E-3</v>
      </c>
      <c r="U49" s="666">
        <v>0.01</v>
      </c>
      <c r="V49" s="666">
        <v>1.5E-3</v>
      </c>
      <c r="W49" s="666">
        <v>1.5E-3</v>
      </c>
      <c r="X49" s="666">
        <v>5.0000000000000001E-4</v>
      </c>
      <c r="Y49" s="666">
        <v>2.5000000000000001E-3</v>
      </c>
      <c r="Z49" s="666">
        <v>4.1000000000000003E-3</v>
      </c>
      <c r="AA49" s="666">
        <v>1.5E-3</v>
      </c>
      <c r="AB49" s="666">
        <v>4.4999999999999997E-3</v>
      </c>
      <c r="AC49" s="666">
        <v>4.0000000000000002E-4</v>
      </c>
    </row>
    <row r="50" spans="1:29" ht="12.75">
      <c r="A50" s="661" t="s">
        <v>611</v>
      </c>
      <c r="B50" s="666">
        <v>4.9099999999999998E-2</v>
      </c>
      <c r="C50" s="666">
        <v>5.3100000000000001E-2</v>
      </c>
      <c r="D50" s="666">
        <v>5.3100000000000001E-2</v>
      </c>
      <c r="E50" s="666">
        <v>6.3100000000000003E-2</v>
      </c>
      <c r="F50" s="666">
        <v>6.5100000000000005E-2</v>
      </c>
      <c r="G50" s="666">
        <v>6.3100000000000003E-2</v>
      </c>
      <c r="H50" s="666">
        <v>6.3100000000000003E-2</v>
      </c>
      <c r="I50" s="666">
        <v>4.0599999999999997E-2</v>
      </c>
      <c r="J50" s="666">
        <v>4.0599999999999997E-2</v>
      </c>
      <c r="K50" s="666">
        <v>4.0599999999999997E-2</v>
      </c>
      <c r="L50" s="666">
        <v>4.8599999999999997E-2</v>
      </c>
      <c r="M50" s="666">
        <v>5.3100000000000001E-2</v>
      </c>
      <c r="N50" s="666">
        <v>4.0599999999999997E-2</v>
      </c>
      <c r="O50" s="666">
        <v>5.3100000000000001E-2</v>
      </c>
      <c r="P50" s="666">
        <v>4.6600000000000003E-2</v>
      </c>
      <c r="Q50" s="666">
        <v>3.9600000000000003E-2</v>
      </c>
      <c r="R50" s="704">
        <v>4.5100000000000001E-2</v>
      </c>
      <c r="S50" s="666">
        <v>3.9600000000000003E-2</v>
      </c>
      <c r="T50" s="666">
        <v>4.9099999999999998E-2</v>
      </c>
      <c r="U50" s="666">
        <v>5.0000000000000001E-3</v>
      </c>
      <c r="V50" s="666">
        <v>3.1600000000000003E-2</v>
      </c>
      <c r="W50" s="666">
        <v>4.9599999999999998E-2</v>
      </c>
      <c r="X50" s="666">
        <v>5.3100000000000001E-2</v>
      </c>
      <c r="Y50" s="666">
        <v>4.0599999999999997E-2</v>
      </c>
      <c r="Z50" s="666">
        <v>3.8600000000000002E-2</v>
      </c>
      <c r="AA50" s="666">
        <v>5.7099999999999998E-2</v>
      </c>
      <c r="AB50" s="666">
        <v>3.8100000000000002E-2</v>
      </c>
      <c r="AC50" s="666">
        <v>2E-3</v>
      </c>
    </row>
    <row r="51" spans="1:29" ht="12.75">
      <c r="A51" s="661" t="s">
        <v>613</v>
      </c>
      <c r="B51" s="666">
        <v>1</v>
      </c>
      <c r="C51" s="666">
        <v>1</v>
      </c>
      <c r="D51" s="666">
        <v>1</v>
      </c>
      <c r="E51" s="666">
        <v>1</v>
      </c>
      <c r="F51" s="666">
        <v>1</v>
      </c>
      <c r="G51" s="666">
        <v>1</v>
      </c>
      <c r="H51" s="666">
        <v>1</v>
      </c>
      <c r="I51" s="666">
        <v>1</v>
      </c>
      <c r="J51" s="666">
        <v>1</v>
      </c>
      <c r="K51" s="666">
        <v>1</v>
      </c>
      <c r="L51" s="704">
        <v>1</v>
      </c>
      <c r="M51" s="666">
        <v>1</v>
      </c>
      <c r="N51" s="666">
        <v>1</v>
      </c>
      <c r="O51" s="666">
        <v>1</v>
      </c>
      <c r="P51" s="666">
        <v>1</v>
      </c>
      <c r="Q51" s="666">
        <v>1</v>
      </c>
      <c r="R51" s="704">
        <v>1</v>
      </c>
      <c r="S51" s="666">
        <v>1</v>
      </c>
      <c r="T51" s="666">
        <v>1</v>
      </c>
      <c r="U51" s="666">
        <v>0.5</v>
      </c>
      <c r="V51" s="666">
        <v>1</v>
      </c>
      <c r="W51" s="666">
        <v>1</v>
      </c>
      <c r="X51" s="666">
        <v>1</v>
      </c>
      <c r="Y51" s="666">
        <v>1</v>
      </c>
      <c r="Z51" s="704">
        <v>1</v>
      </c>
      <c r="AA51" s="666">
        <v>1</v>
      </c>
      <c r="AB51" s="666">
        <v>1</v>
      </c>
      <c r="AC51" s="666">
        <v>0.7</v>
      </c>
    </row>
    <row r="52" spans="1:29" ht="12.75">
      <c r="A52" s="661" t="s">
        <v>615</v>
      </c>
      <c r="B52" s="666">
        <v>5.9999999999999995E-4</v>
      </c>
      <c r="C52" s="666">
        <v>6.9999999999999999E-4</v>
      </c>
      <c r="D52" s="666">
        <v>6.9999999999999999E-4</v>
      </c>
      <c r="E52" s="666">
        <v>1.1999999999999999E-3</v>
      </c>
      <c r="F52" s="666">
        <v>1E-3</v>
      </c>
      <c r="G52" s="666">
        <v>1.1999999999999999E-3</v>
      </c>
      <c r="H52" s="666">
        <v>1.1999999999999999E-3</v>
      </c>
      <c r="I52" s="666">
        <v>5.9999999999999995E-4</v>
      </c>
      <c r="J52" s="666">
        <v>5.9999999999999995E-4</v>
      </c>
      <c r="K52" s="666">
        <v>5.9999999999999995E-4</v>
      </c>
      <c r="L52" s="666">
        <v>6.9999999999999999E-4</v>
      </c>
      <c r="M52" s="666">
        <v>6.9999999999999999E-4</v>
      </c>
      <c r="N52" s="666">
        <v>5.9999999999999995E-4</v>
      </c>
      <c r="O52" s="666">
        <v>6.9999999999999999E-4</v>
      </c>
      <c r="P52" s="666">
        <v>8.9999999999999998E-4</v>
      </c>
      <c r="Q52" s="666">
        <v>5.0000000000000001E-4</v>
      </c>
      <c r="R52" s="704">
        <v>1.0999999999999999E-2</v>
      </c>
      <c r="S52" s="666">
        <v>5.0000000000000001E-4</v>
      </c>
      <c r="T52" s="666">
        <v>5.9999999999999995E-4</v>
      </c>
      <c r="U52" s="666">
        <v>2E-3</v>
      </c>
      <c r="V52" s="666">
        <v>5.0000000000000001E-4</v>
      </c>
      <c r="W52" s="666">
        <v>5.0000000000000001E-4</v>
      </c>
      <c r="X52" s="666">
        <v>6.9999999999999999E-4</v>
      </c>
      <c r="Y52" s="666">
        <v>5.9999999999999995E-4</v>
      </c>
      <c r="Z52" s="666">
        <v>6.9999999999999999E-4</v>
      </c>
      <c r="AA52" s="666">
        <v>4.0000000000000002E-4</v>
      </c>
      <c r="AB52" s="666">
        <v>6.9999999999999999E-4</v>
      </c>
      <c r="AC52" s="666">
        <v>5.9999999999999995E-4</v>
      </c>
    </row>
    <row r="53" spans="1:29" ht="24" customHeight="1">
      <c r="A53" s="707" t="s">
        <v>617</v>
      </c>
      <c r="B53" s="708"/>
      <c r="C53" s="756"/>
      <c r="D53" s="756"/>
      <c r="E53" s="708"/>
      <c r="F53" s="708"/>
      <c r="G53" s="708"/>
      <c r="H53" s="708"/>
      <c r="I53" s="708"/>
      <c r="J53" s="708"/>
      <c r="K53" s="708"/>
      <c r="L53" s="708"/>
      <c r="M53" s="756"/>
      <c r="N53" s="708"/>
      <c r="O53" s="708"/>
      <c r="P53" s="708"/>
      <c r="Q53" s="708"/>
      <c r="R53" s="708"/>
      <c r="S53" s="708"/>
      <c r="T53" s="708"/>
      <c r="U53" s="708"/>
      <c r="V53" s="708"/>
      <c r="W53" s="708"/>
      <c r="X53" s="756"/>
      <c r="Y53" s="708"/>
      <c r="Z53" s="708"/>
      <c r="AA53" s="708"/>
      <c r="AB53" s="708"/>
      <c r="AC53" s="708"/>
    </row>
    <row r="54" spans="1:29" ht="15.75" customHeight="1">
      <c r="A54" s="661" t="s">
        <v>618</v>
      </c>
      <c r="B54" s="704">
        <f>90*0.11</f>
        <v>9.9</v>
      </c>
      <c r="C54" s="704">
        <f>90*0.11</f>
        <v>9.9</v>
      </c>
      <c r="D54" s="704">
        <f>90*0.11</f>
        <v>9.9</v>
      </c>
      <c r="E54" s="666">
        <f>90*0.17</f>
        <v>15.3</v>
      </c>
      <c r="F54" s="666">
        <f>90*0.11</f>
        <v>9.9</v>
      </c>
      <c r="G54" s="704">
        <f>90*0.17</f>
        <v>15.3</v>
      </c>
      <c r="H54" s="704">
        <f>90*0.17</f>
        <v>15.3</v>
      </c>
      <c r="I54" s="704">
        <f>90*0.18</f>
        <v>16.2</v>
      </c>
      <c r="J54" s="704">
        <f>90*0.18</f>
        <v>16.2</v>
      </c>
      <c r="K54" s="666">
        <f>90*0.18</f>
        <v>16.2</v>
      </c>
      <c r="L54" s="704">
        <f>90*0.12</f>
        <v>10.799999999999999</v>
      </c>
      <c r="M54" s="704">
        <f>90*0.11</f>
        <v>9.9</v>
      </c>
      <c r="N54" s="704">
        <f>90*0.18</f>
        <v>16.2</v>
      </c>
      <c r="O54" s="666">
        <f>90*0.11</f>
        <v>9.9</v>
      </c>
      <c r="P54" s="704">
        <f>90*0.17</f>
        <v>15.3</v>
      </c>
      <c r="Q54" s="704">
        <f>90*0.356</f>
        <v>32.04</v>
      </c>
      <c r="R54" s="704">
        <f>90*0.16</f>
        <v>14.4</v>
      </c>
      <c r="S54" s="704">
        <f>90*0.356</f>
        <v>32.04</v>
      </c>
      <c r="T54" s="704">
        <f>90*0.11</f>
        <v>9.9</v>
      </c>
      <c r="U54" s="704">
        <f>90*0.16</f>
        <v>14.4</v>
      </c>
      <c r="V54" s="666">
        <f>90*0.2</f>
        <v>18</v>
      </c>
      <c r="W54" s="704">
        <f>90*0.18</f>
        <v>16.2</v>
      </c>
      <c r="X54" s="666">
        <f>90*0.11</f>
        <v>9.9</v>
      </c>
      <c r="Y54" s="704">
        <f>90*0.18</f>
        <v>16.2</v>
      </c>
      <c r="Z54" s="666">
        <f>90*0.142232</f>
        <v>12.800879999999999</v>
      </c>
      <c r="AA54" s="704">
        <f>90*0.09</f>
        <v>8.1</v>
      </c>
      <c r="AB54" s="704">
        <f>90*0.18</f>
        <v>16.2</v>
      </c>
      <c r="AC54" s="667" t="s">
        <v>293</v>
      </c>
    </row>
    <row r="55" spans="1:29" ht="15.75" customHeight="1">
      <c r="A55" s="661" t="s">
        <v>707</v>
      </c>
      <c r="B55" s="704">
        <v>10.7</v>
      </c>
      <c r="C55" s="704">
        <v>10.4</v>
      </c>
      <c r="D55" s="704">
        <v>10.4</v>
      </c>
      <c r="E55" s="666">
        <v>19.8</v>
      </c>
      <c r="F55" s="666">
        <v>10.6</v>
      </c>
      <c r="G55" s="704">
        <v>19.8</v>
      </c>
      <c r="H55" s="704">
        <v>19.8</v>
      </c>
      <c r="I55" s="704">
        <v>17.600000000000001</v>
      </c>
      <c r="J55" s="704">
        <v>17.600000000000001</v>
      </c>
      <c r="K55" s="666">
        <v>17.600000000000001</v>
      </c>
      <c r="L55" s="704">
        <v>10.9</v>
      </c>
      <c r="M55" s="704">
        <v>10.4</v>
      </c>
      <c r="N55" s="704">
        <v>17.600000000000001</v>
      </c>
      <c r="O55" s="666">
        <v>10.4</v>
      </c>
      <c r="P55" s="704">
        <v>31</v>
      </c>
      <c r="Q55" s="704">
        <v>27.354299999999999</v>
      </c>
      <c r="R55" s="704">
        <v>15.5</v>
      </c>
      <c r="S55" s="704">
        <v>27.354299999999999</v>
      </c>
      <c r="T55" s="704">
        <v>10.7</v>
      </c>
      <c r="U55" s="669" t="s">
        <v>293</v>
      </c>
      <c r="V55" s="666">
        <v>18.7</v>
      </c>
      <c r="W55" s="704">
        <v>29.1</v>
      </c>
      <c r="X55" s="666">
        <v>10.4</v>
      </c>
      <c r="Y55" s="704">
        <v>17.600000000000001</v>
      </c>
      <c r="Z55" s="666">
        <v>10.278700000000001</v>
      </c>
      <c r="AA55" s="704">
        <v>11</v>
      </c>
      <c r="AB55" s="704">
        <v>18.5</v>
      </c>
      <c r="AC55" s="669" t="s">
        <v>293</v>
      </c>
    </row>
    <row r="56" spans="1:29" ht="15.75" customHeight="1">
      <c r="A56" s="661" t="s">
        <v>621</v>
      </c>
      <c r="B56" s="704">
        <v>1.4</v>
      </c>
      <c r="C56" s="704">
        <v>1.4</v>
      </c>
      <c r="D56" s="704">
        <v>1.4</v>
      </c>
      <c r="E56" s="666">
        <v>1.4</v>
      </c>
      <c r="F56" s="666">
        <v>1.4</v>
      </c>
      <c r="G56" s="704">
        <v>1.4</v>
      </c>
      <c r="H56" s="704">
        <v>1.4</v>
      </c>
      <c r="I56" s="704">
        <v>1.4</v>
      </c>
      <c r="J56" s="704">
        <v>1.4</v>
      </c>
      <c r="K56" s="666">
        <v>1.4</v>
      </c>
      <c r="L56" s="704">
        <v>1.3</v>
      </c>
      <c r="M56" s="704">
        <v>1.4</v>
      </c>
      <c r="N56" s="704">
        <v>1.4</v>
      </c>
      <c r="O56" s="666">
        <v>1.4</v>
      </c>
      <c r="P56" s="704">
        <v>1.4</v>
      </c>
      <c r="Q56" s="704">
        <v>1.45</v>
      </c>
      <c r="R56" s="704">
        <v>1.4</v>
      </c>
      <c r="S56" s="704">
        <v>1.45</v>
      </c>
      <c r="T56" s="704">
        <v>1.4</v>
      </c>
      <c r="U56" s="704">
        <v>1.4</v>
      </c>
      <c r="V56" s="666">
        <v>1.4</v>
      </c>
      <c r="W56" s="704">
        <v>1.25</v>
      </c>
      <c r="X56" s="666">
        <v>1.4</v>
      </c>
      <c r="Y56" s="704">
        <v>1.4</v>
      </c>
      <c r="Z56" s="666">
        <v>1.3</v>
      </c>
      <c r="AA56" s="704">
        <v>1.4</v>
      </c>
      <c r="AB56" s="704">
        <v>1.4</v>
      </c>
      <c r="AC56" s="667" t="s">
        <v>293</v>
      </c>
    </row>
    <row r="57" spans="1:29" ht="15.75" customHeight="1">
      <c r="A57" s="661" t="s">
        <v>622</v>
      </c>
      <c r="B57" s="669" t="s">
        <v>293</v>
      </c>
      <c r="C57" s="669" t="s">
        <v>293</v>
      </c>
      <c r="D57" s="669" t="s">
        <v>293</v>
      </c>
      <c r="E57" s="669" t="s">
        <v>293</v>
      </c>
      <c r="F57" s="669" t="s">
        <v>293</v>
      </c>
      <c r="G57" s="669" t="s">
        <v>293</v>
      </c>
      <c r="H57" s="669" t="s">
        <v>293</v>
      </c>
      <c r="I57" s="669" t="s">
        <v>293</v>
      </c>
      <c r="J57" s="669" t="s">
        <v>293</v>
      </c>
      <c r="K57" s="669" t="s">
        <v>293</v>
      </c>
      <c r="L57" s="669" t="s">
        <v>293</v>
      </c>
      <c r="M57" s="669" t="s">
        <v>293</v>
      </c>
      <c r="N57" s="669" t="s">
        <v>293</v>
      </c>
      <c r="O57" s="669" t="s">
        <v>293</v>
      </c>
      <c r="P57" s="669" t="s">
        <v>293</v>
      </c>
      <c r="Q57" s="669" t="s">
        <v>293</v>
      </c>
      <c r="R57" s="669" t="s">
        <v>293</v>
      </c>
      <c r="S57" s="669" t="s">
        <v>293</v>
      </c>
      <c r="T57" s="669" t="s">
        <v>293</v>
      </c>
      <c r="U57" s="669" t="s">
        <v>293</v>
      </c>
      <c r="V57" s="669" t="s">
        <v>293</v>
      </c>
      <c r="W57" s="669" t="s">
        <v>293</v>
      </c>
      <c r="X57" s="669" t="s">
        <v>293</v>
      </c>
      <c r="Y57" s="669" t="s">
        <v>293</v>
      </c>
      <c r="Z57" s="669" t="s">
        <v>293</v>
      </c>
      <c r="AA57" s="669" t="s">
        <v>293</v>
      </c>
      <c r="AB57" s="669" t="s">
        <v>293</v>
      </c>
      <c r="AC57" s="669" t="s">
        <v>293</v>
      </c>
    </row>
    <row r="58" spans="1:29" ht="15.75" customHeight="1">
      <c r="A58" s="661" t="s">
        <v>623</v>
      </c>
      <c r="B58" s="661">
        <v>1000</v>
      </c>
      <c r="C58" s="661">
        <v>1000</v>
      </c>
      <c r="D58" s="661">
        <v>1000</v>
      </c>
      <c r="E58" s="663">
        <v>1000</v>
      </c>
      <c r="F58" s="663">
        <v>1000</v>
      </c>
      <c r="G58" s="661">
        <v>1000</v>
      </c>
      <c r="H58" s="661">
        <v>1000</v>
      </c>
      <c r="I58" s="661">
        <v>1000</v>
      </c>
      <c r="J58" s="661">
        <v>1000</v>
      </c>
      <c r="K58" s="663">
        <v>1000</v>
      </c>
      <c r="L58" s="661">
        <v>1000</v>
      </c>
      <c r="M58" s="661">
        <v>1000</v>
      </c>
      <c r="N58" s="661">
        <v>1000</v>
      </c>
      <c r="O58" s="663">
        <v>800</v>
      </c>
      <c r="P58" s="661">
        <v>1000</v>
      </c>
      <c r="Q58" s="669" t="s">
        <v>293</v>
      </c>
      <c r="R58" s="667" t="s">
        <v>293</v>
      </c>
      <c r="S58" s="667" t="s">
        <v>293</v>
      </c>
      <c r="T58" s="661">
        <v>1000</v>
      </c>
      <c r="U58" s="661">
        <v>1000</v>
      </c>
      <c r="V58" s="663">
        <v>1000</v>
      </c>
      <c r="W58" s="667" t="s">
        <v>293</v>
      </c>
      <c r="X58" s="663">
        <v>1000</v>
      </c>
      <c r="Y58" s="661">
        <v>1000</v>
      </c>
      <c r="Z58" s="669" t="s">
        <v>293</v>
      </c>
      <c r="AA58" s="661">
        <v>1000</v>
      </c>
      <c r="AB58" s="661">
        <v>1000</v>
      </c>
      <c r="AC58" s="661">
        <v>1000</v>
      </c>
    </row>
    <row r="59" spans="1:29" ht="15.75" customHeight="1">
      <c r="A59" s="661" t="s">
        <v>624</v>
      </c>
      <c r="B59" s="661">
        <v>1.7</v>
      </c>
      <c r="C59" s="663">
        <v>1.7</v>
      </c>
      <c r="D59" s="661">
        <v>1.7</v>
      </c>
      <c r="E59" s="661">
        <v>2.5</v>
      </c>
      <c r="F59" s="663">
        <v>2.5</v>
      </c>
      <c r="G59" s="661">
        <v>2.5</v>
      </c>
      <c r="H59" s="661">
        <v>2.5</v>
      </c>
      <c r="I59" s="663">
        <v>2.5</v>
      </c>
      <c r="J59" s="663">
        <v>2.5</v>
      </c>
      <c r="K59" s="663">
        <v>2.5</v>
      </c>
      <c r="L59" s="661">
        <v>3.4</v>
      </c>
      <c r="M59" s="663">
        <v>1.7</v>
      </c>
      <c r="N59" s="663">
        <v>2.5</v>
      </c>
      <c r="O59" s="663">
        <v>1.7</v>
      </c>
      <c r="P59" s="661">
        <v>2.5</v>
      </c>
      <c r="Q59" s="661">
        <v>3</v>
      </c>
      <c r="R59" s="661">
        <v>2.7</v>
      </c>
      <c r="S59" s="661">
        <v>3</v>
      </c>
      <c r="T59" s="661">
        <v>1.7</v>
      </c>
      <c r="U59" s="661">
        <v>2.4</v>
      </c>
      <c r="V59" s="663">
        <v>2.4</v>
      </c>
      <c r="W59" s="661">
        <v>2.5</v>
      </c>
      <c r="X59" s="663">
        <v>1.7</v>
      </c>
      <c r="Y59" s="661">
        <v>2.5</v>
      </c>
      <c r="Z59" s="663">
        <v>3.4</v>
      </c>
      <c r="AA59" s="661">
        <v>1.7</v>
      </c>
      <c r="AB59" s="661">
        <v>2.1</v>
      </c>
      <c r="AC59" s="661">
        <v>2.4</v>
      </c>
    </row>
    <row r="60" spans="1:29" ht="15.75" customHeight="1">
      <c r="A60" s="661" t="s">
        <v>625</v>
      </c>
      <c r="B60" s="661">
        <v>9</v>
      </c>
      <c r="C60" s="663">
        <v>10</v>
      </c>
      <c r="D60" s="661">
        <v>10</v>
      </c>
      <c r="E60" s="661">
        <v>18</v>
      </c>
      <c r="F60" s="663">
        <v>18</v>
      </c>
      <c r="G60" s="661">
        <v>18</v>
      </c>
      <c r="H60" s="661">
        <v>18</v>
      </c>
      <c r="I60" s="663">
        <v>18</v>
      </c>
      <c r="J60" s="663">
        <v>18</v>
      </c>
      <c r="K60" s="663">
        <v>18</v>
      </c>
      <c r="L60" s="661">
        <v>7</v>
      </c>
      <c r="M60" s="663">
        <v>10</v>
      </c>
      <c r="N60" s="663">
        <v>18</v>
      </c>
      <c r="O60" s="663">
        <v>9</v>
      </c>
      <c r="P60" s="661">
        <v>16</v>
      </c>
      <c r="Q60" s="661">
        <v>10</v>
      </c>
      <c r="R60" s="661">
        <v>18</v>
      </c>
      <c r="S60" s="661">
        <v>10</v>
      </c>
      <c r="T60" s="661">
        <v>9</v>
      </c>
      <c r="U60" s="661">
        <v>16</v>
      </c>
      <c r="V60" s="663">
        <v>16</v>
      </c>
      <c r="W60" s="661">
        <v>10</v>
      </c>
      <c r="X60" s="663">
        <v>10</v>
      </c>
      <c r="Y60" s="661">
        <v>18</v>
      </c>
      <c r="Z60" s="663">
        <v>20</v>
      </c>
      <c r="AA60" s="661">
        <v>10</v>
      </c>
      <c r="AB60" s="661">
        <v>20</v>
      </c>
      <c r="AC60" s="661">
        <v>2</v>
      </c>
    </row>
    <row r="61" spans="1:29" ht="15.75" customHeight="1">
      <c r="A61" s="661" t="s">
        <v>629</v>
      </c>
      <c r="B61" s="661">
        <v>30</v>
      </c>
      <c r="C61" s="661">
        <v>30</v>
      </c>
      <c r="D61" s="661">
        <v>30</v>
      </c>
      <c r="E61" s="661">
        <v>30</v>
      </c>
      <c r="F61" s="661">
        <v>30</v>
      </c>
      <c r="G61" s="661">
        <v>30</v>
      </c>
      <c r="H61" s="661">
        <v>30</v>
      </c>
      <c r="I61" s="661">
        <v>30</v>
      </c>
      <c r="J61" s="661">
        <v>30</v>
      </c>
      <c r="K61" s="661">
        <v>30</v>
      </c>
      <c r="L61" s="661">
        <v>30</v>
      </c>
      <c r="M61" s="661">
        <v>30</v>
      </c>
      <c r="N61" s="661">
        <v>30</v>
      </c>
      <c r="O61" s="661">
        <v>30</v>
      </c>
      <c r="P61" s="661">
        <v>30</v>
      </c>
      <c r="Q61" s="661">
        <v>30</v>
      </c>
      <c r="R61" s="661">
        <v>30</v>
      </c>
      <c r="S61" s="661">
        <v>30</v>
      </c>
      <c r="T61" s="661">
        <v>30</v>
      </c>
      <c r="U61" s="661">
        <v>30</v>
      </c>
      <c r="V61" s="661">
        <v>30</v>
      </c>
      <c r="W61" s="661">
        <v>30</v>
      </c>
      <c r="X61" s="661">
        <v>30</v>
      </c>
      <c r="Y61" s="661">
        <v>30</v>
      </c>
      <c r="Z61" s="661">
        <v>30</v>
      </c>
      <c r="AA61" s="661">
        <v>30</v>
      </c>
      <c r="AB61" s="661">
        <v>30</v>
      </c>
      <c r="AC61" s="661">
        <v>30</v>
      </c>
    </row>
    <row r="62" spans="1:29" ht="15.75" customHeight="1">
      <c r="A62" s="661" t="s">
        <v>759</v>
      </c>
      <c r="B62" s="661">
        <v>11</v>
      </c>
      <c r="C62" s="663">
        <v>12</v>
      </c>
      <c r="D62" s="661">
        <v>12</v>
      </c>
      <c r="E62" s="661">
        <v>18</v>
      </c>
      <c r="F62" s="663">
        <v>18</v>
      </c>
      <c r="G62" s="661">
        <v>18</v>
      </c>
      <c r="H62" s="661">
        <v>18</v>
      </c>
      <c r="I62" s="663">
        <v>18</v>
      </c>
      <c r="J62" s="663">
        <v>18</v>
      </c>
      <c r="K62" s="663">
        <v>18</v>
      </c>
      <c r="L62" s="661">
        <v>8</v>
      </c>
      <c r="M62" s="663">
        <v>12</v>
      </c>
      <c r="N62" s="663">
        <v>18</v>
      </c>
      <c r="O62" s="663">
        <v>11</v>
      </c>
      <c r="P62" s="661">
        <v>18</v>
      </c>
      <c r="Q62" s="661">
        <v>18</v>
      </c>
      <c r="R62" s="661">
        <v>18</v>
      </c>
      <c r="S62" s="661">
        <v>18</v>
      </c>
      <c r="T62" s="661">
        <v>11</v>
      </c>
      <c r="U62" s="661">
        <v>15</v>
      </c>
      <c r="V62" s="663">
        <v>15</v>
      </c>
      <c r="W62" s="661">
        <v>15</v>
      </c>
      <c r="X62" s="663">
        <v>12</v>
      </c>
      <c r="Y62" s="661">
        <v>18</v>
      </c>
      <c r="Z62" s="663">
        <v>20</v>
      </c>
      <c r="AA62" s="661">
        <v>12</v>
      </c>
      <c r="AB62" s="661">
        <v>12</v>
      </c>
      <c r="AC62" s="661">
        <v>3</v>
      </c>
    </row>
    <row r="63" spans="1:29" ht="15.75" customHeight="1">
      <c r="A63" s="661" t="s">
        <v>631</v>
      </c>
      <c r="B63" s="661">
        <v>11</v>
      </c>
      <c r="C63" s="663">
        <v>11</v>
      </c>
      <c r="D63" s="661">
        <v>11</v>
      </c>
      <c r="E63" s="661">
        <v>18</v>
      </c>
      <c r="F63" s="663">
        <v>11</v>
      </c>
      <c r="G63" s="661">
        <v>18</v>
      </c>
      <c r="H63" s="661">
        <v>18</v>
      </c>
      <c r="I63" s="663">
        <v>20</v>
      </c>
      <c r="J63" s="663">
        <v>20</v>
      </c>
      <c r="K63" s="663">
        <v>20</v>
      </c>
      <c r="L63" s="661">
        <v>15</v>
      </c>
      <c r="M63" s="663">
        <v>11</v>
      </c>
      <c r="N63" s="663">
        <v>20</v>
      </c>
      <c r="O63" s="663">
        <v>11</v>
      </c>
      <c r="P63" s="661">
        <v>30</v>
      </c>
      <c r="Q63" s="661">
        <v>35</v>
      </c>
      <c r="R63" s="661">
        <v>15</v>
      </c>
      <c r="S63" s="661">
        <v>35</v>
      </c>
      <c r="T63" s="661">
        <v>11</v>
      </c>
      <c r="U63" s="661">
        <v>15</v>
      </c>
      <c r="V63" s="663">
        <v>20</v>
      </c>
      <c r="W63" s="661">
        <v>30</v>
      </c>
      <c r="X63" s="663">
        <v>11</v>
      </c>
      <c r="Y63" s="661">
        <v>20</v>
      </c>
      <c r="Z63" s="663">
        <v>12</v>
      </c>
      <c r="AA63" s="661">
        <v>11</v>
      </c>
      <c r="AB63" s="661">
        <v>18</v>
      </c>
      <c r="AC63" s="667" t="s">
        <v>293</v>
      </c>
    </row>
    <row r="64" spans="1:29" ht="15.75" customHeight="1">
      <c r="A64" s="661" t="s">
        <v>632</v>
      </c>
      <c r="B64" s="661">
        <v>10</v>
      </c>
      <c r="C64" s="663">
        <v>10</v>
      </c>
      <c r="D64" s="661">
        <v>10</v>
      </c>
      <c r="E64" s="661">
        <v>18</v>
      </c>
      <c r="F64" s="663">
        <v>10</v>
      </c>
      <c r="G64" s="661">
        <v>18</v>
      </c>
      <c r="H64" s="661">
        <v>18</v>
      </c>
      <c r="I64" s="663">
        <v>20</v>
      </c>
      <c r="J64" s="663">
        <v>20</v>
      </c>
      <c r="K64" s="663">
        <v>20</v>
      </c>
      <c r="L64" s="661">
        <v>15</v>
      </c>
      <c r="M64" s="663">
        <v>10</v>
      </c>
      <c r="N64" s="663">
        <v>20</v>
      </c>
      <c r="O64" s="663">
        <v>10</v>
      </c>
      <c r="P64" s="661">
        <v>30</v>
      </c>
      <c r="Q64" s="661">
        <v>35</v>
      </c>
      <c r="R64" s="661">
        <v>15</v>
      </c>
      <c r="S64" s="661">
        <v>35</v>
      </c>
      <c r="T64" s="661">
        <v>10</v>
      </c>
      <c r="U64" s="661">
        <v>15</v>
      </c>
      <c r="V64" s="663">
        <v>20</v>
      </c>
      <c r="W64" s="661">
        <v>30</v>
      </c>
      <c r="X64" s="663">
        <v>10</v>
      </c>
      <c r="Y64" s="661">
        <v>20</v>
      </c>
      <c r="Z64" s="663">
        <v>12</v>
      </c>
      <c r="AA64" s="661">
        <v>11</v>
      </c>
      <c r="AB64" s="661">
        <v>18</v>
      </c>
      <c r="AC64" s="661">
        <v>20</v>
      </c>
    </row>
    <row r="65" spans="1:29" ht="15.75" customHeight="1">
      <c r="A65" s="661" t="s">
        <v>756</v>
      </c>
      <c r="B65" s="667" t="s">
        <v>293</v>
      </c>
      <c r="C65" s="667" t="s">
        <v>293</v>
      </c>
      <c r="D65" s="667" t="s">
        <v>293</v>
      </c>
      <c r="E65" s="667" t="s">
        <v>293</v>
      </c>
      <c r="F65" s="667" t="s">
        <v>293</v>
      </c>
      <c r="G65" s="667" t="s">
        <v>293</v>
      </c>
      <c r="H65" s="667" t="s">
        <v>293</v>
      </c>
      <c r="I65" s="667" t="s">
        <v>293</v>
      </c>
      <c r="J65" s="667" t="s">
        <v>293</v>
      </c>
      <c r="K65" s="667" t="s">
        <v>293</v>
      </c>
      <c r="L65" s="667" t="s">
        <v>293</v>
      </c>
      <c r="M65" s="667" t="s">
        <v>293</v>
      </c>
      <c r="N65" s="667" t="s">
        <v>293</v>
      </c>
      <c r="O65" s="667" t="s">
        <v>293</v>
      </c>
      <c r="P65" s="667" t="s">
        <v>293</v>
      </c>
      <c r="Q65" s="667" t="s">
        <v>293</v>
      </c>
      <c r="R65" s="704" t="s">
        <v>758</v>
      </c>
      <c r="S65" s="667" t="s">
        <v>293</v>
      </c>
      <c r="T65" s="667" t="s">
        <v>293</v>
      </c>
      <c r="U65" s="667" t="s">
        <v>293</v>
      </c>
      <c r="V65" s="667" t="s">
        <v>293</v>
      </c>
      <c r="W65" s="667" t="s">
        <v>293</v>
      </c>
      <c r="X65" s="667" t="s">
        <v>293</v>
      </c>
      <c r="Y65" s="667" t="s">
        <v>293</v>
      </c>
      <c r="Z65" s="704" t="s">
        <v>757</v>
      </c>
      <c r="AA65" s="667" t="s">
        <v>293</v>
      </c>
      <c r="AB65" s="667" t="s">
        <v>293</v>
      </c>
      <c r="AC65" s="667" t="s">
        <v>293</v>
      </c>
    </row>
    <row r="66" spans="1:29" ht="15.75" customHeight="1">
      <c r="A66" s="661" t="s">
        <v>756</v>
      </c>
      <c r="B66" s="667" t="s">
        <v>293</v>
      </c>
      <c r="C66" s="667" t="s">
        <v>293</v>
      </c>
      <c r="D66" s="667" t="s">
        <v>293</v>
      </c>
      <c r="E66" s="667" t="s">
        <v>293</v>
      </c>
      <c r="F66" s="667" t="s">
        <v>293</v>
      </c>
      <c r="G66" s="667" t="s">
        <v>293</v>
      </c>
      <c r="H66" s="667" t="s">
        <v>293</v>
      </c>
      <c r="I66" s="667" t="s">
        <v>293</v>
      </c>
      <c r="J66" s="667" t="s">
        <v>293</v>
      </c>
      <c r="K66" s="667" t="s">
        <v>293</v>
      </c>
      <c r="L66" s="667" t="s">
        <v>293</v>
      </c>
      <c r="M66" s="667" t="s">
        <v>293</v>
      </c>
      <c r="N66" s="667" t="s">
        <v>293</v>
      </c>
      <c r="O66" s="667" t="s">
        <v>293</v>
      </c>
      <c r="P66" s="667" t="s">
        <v>293</v>
      </c>
      <c r="Q66" s="667" t="s">
        <v>293</v>
      </c>
      <c r="R66" s="704" t="s">
        <v>755</v>
      </c>
      <c r="S66" s="667" t="s">
        <v>293</v>
      </c>
      <c r="T66" s="667" t="s">
        <v>293</v>
      </c>
      <c r="U66" s="667" t="s">
        <v>293</v>
      </c>
      <c r="V66" s="667" t="s">
        <v>293</v>
      </c>
      <c r="W66" s="667" t="s">
        <v>293</v>
      </c>
      <c r="X66" s="667" t="s">
        <v>293</v>
      </c>
      <c r="Y66" s="667" t="s">
        <v>293</v>
      </c>
      <c r="Z66" s="704" t="s">
        <v>754</v>
      </c>
      <c r="AA66" s="667" t="s">
        <v>293</v>
      </c>
      <c r="AB66" s="667" t="s">
        <v>293</v>
      </c>
      <c r="AC66" s="667" t="s">
        <v>293</v>
      </c>
    </row>
    <row r="67" spans="1:29" ht="15.75" customHeight="1">
      <c r="A67" s="661" t="s">
        <v>633</v>
      </c>
      <c r="B67" s="667" t="s">
        <v>324</v>
      </c>
      <c r="C67" s="669" t="s">
        <v>324</v>
      </c>
      <c r="D67" s="667" t="s">
        <v>324</v>
      </c>
      <c r="E67" s="667" t="s">
        <v>324</v>
      </c>
      <c r="F67" s="669" t="s">
        <v>324</v>
      </c>
      <c r="G67" s="667" t="s">
        <v>324</v>
      </c>
      <c r="H67" s="667" t="s">
        <v>324</v>
      </c>
      <c r="I67" s="669" t="s">
        <v>324</v>
      </c>
      <c r="J67" s="669" t="s">
        <v>324</v>
      </c>
      <c r="K67" s="669" t="s">
        <v>324</v>
      </c>
      <c r="L67" s="667" t="s">
        <v>324</v>
      </c>
      <c r="M67" s="669" t="s">
        <v>324</v>
      </c>
      <c r="N67" s="669" t="s">
        <v>324</v>
      </c>
      <c r="O67" s="669" t="s">
        <v>324</v>
      </c>
      <c r="P67" s="667" t="s">
        <v>324</v>
      </c>
      <c r="Q67" s="667" t="s">
        <v>324</v>
      </c>
      <c r="R67" s="667" t="s">
        <v>324</v>
      </c>
      <c r="S67" s="667" t="s">
        <v>324</v>
      </c>
      <c r="T67" s="667" t="s">
        <v>324</v>
      </c>
      <c r="U67" s="667" t="s">
        <v>324</v>
      </c>
      <c r="V67" s="669" t="s">
        <v>324</v>
      </c>
      <c r="W67" s="667" t="s">
        <v>324</v>
      </c>
      <c r="X67" s="669" t="s">
        <v>324</v>
      </c>
      <c r="Y67" s="667" t="s">
        <v>324</v>
      </c>
      <c r="Z67" s="669" t="s">
        <v>324</v>
      </c>
      <c r="AA67" s="667" t="s">
        <v>324</v>
      </c>
      <c r="AB67" s="667" t="s">
        <v>324</v>
      </c>
      <c r="AC67" s="667" t="s">
        <v>328</v>
      </c>
    </row>
    <row r="68" spans="1:29" ht="15.75" customHeight="1">
      <c r="A68" s="661" t="s">
        <v>634</v>
      </c>
      <c r="B68" s="721" t="s">
        <v>293</v>
      </c>
      <c r="C68" s="669" t="s">
        <v>293</v>
      </c>
      <c r="D68" s="721" t="s">
        <v>293</v>
      </c>
      <c r="E68" s="667" t="s">
        <v>293</v>
      </c>
      <c r="F68" s="669" t="s">
        <v>293</v>
      </c>
      <c r="G68" s="667" t="s">
        <v>293</v>
      </c>
      <c r="H68" s="667" t="s">
        <v>293</v>
      </c>
      <c r="I68" s="669" t="s">
        <v>293</v>
      </c>
      <c r="J68" s="669" t="s">
        <v>293</v>
      </c>
      <c r="K68" s="669" t="s">
        <v>293</v>
      </c>
      <c r="L68" s="721" t="s">
        <v>293</v>
      </c>
      <c r="M68" s="669" t="s">
        <v>293</v>
      </c>
      <c r="N68" s="669" t="s">
        <v>293</v>
      </c>
      <c r="O68" s="717" t="s">
        <v>293</v>
      </c>
      <c r="P68" s="721" t="s">
        <v>293</v>
      </c>
      <c r="Q68" s="721" t="s">
        <v>293</v>
      </c>
      <c r="R68" s="721" t="s">
        <v>293</v>
      </c>
      <c r="S68" s="721" t="s">
        <v>293</v>
      </c>
      <c r="T68" s="721" t="s">
        <v>293</v>
      </c>
      <c r="U68" s="721" t="s">
        <v>293</v>
      </c>
      <c r="V68" s="717" t="s">
        <v>293</v>
      </c>
      <c r="W68" s="721" t="s">
        <v>293</v>
      </c>
      <c r="X68" s="669" t="s">
        <v>293</v>
      </c>
      <c r="Y68" s="667" t="s">
        <v>293</v>
      </c>
      <c r="Z68" s="717" t="s">
        <v>293</v>
      </c>
      <c r="AA68" s="721" t="s">
        <v>293</v>
      </c>
      <c r="AB68" s="721" t="s">
        <v>293</v>
      </c>
      <c r="AC68" s="661">
        <f>0.05*90</f>
        <v>4.5</v>
      </c>
    </row>
    <row r="69" spans="1:29" ht="83.25" customHeight="1">
      <c r="A69" s="722" t="s">
        <v>635</v>
      </c>
      <c r="B69" s="773" t="s">
        <v>753</v>
      </c>
      <c r="C69" s="773"/>
      <c r="D69" s="773"/>
      <c r="E69" s="773"/>
      <c r="F69" s="773"/>
      <c r="G69" s="773"/>
      <c r="H69" s="773"/>
      <c r="I69" s="773"/>
      <c r="J69" s="773" t="s">
        <v>708</v>
      </c>
      <c r="K69" s="773" t="s">
        <v>709</v>
      </c>
      <c r="L69" s="773"/>
      <c r="M69" s="773" t="s">
        <v>752</v>
      </c>
      <c r="N69" s="773" t="s">
        <v>751</v>
      </c>
      <c r="O69" s="773"/>
      <c r="P69" s="773"/>
      <c r="Q69" s="773" t="s">
        <v>750</v>
      </c>
      <c r="R69" s="773"/>
      <c r="S69" s="773"/>
      <c r="T69" s="773"/>
      <c r="U69" s="773"/>
      <c r="V69" s="773"/>
      <c r="W69" s="773"/>
      <c r="X69" s="774" t="s">
        <v>712</v>
      </c>
      <c r="Y69" s="682" t="s">
        <v>713</v>
      </c>
      <c r="Z69" s="773"/>
      <c r="AA69" s="773"/>
      <c r="AB69" s="773"/>
      <c r="AC69" s="773"/>
    </row>
    <row r="70" spans="1:29">
      <c r="A70" s="727"/>
      <c r="B70" s="661"/>
      <c r="C70" s="751"/>
      <c r="D70" s="661"/>
      <c r="E70" s="754"/>
      <c r="F70" s="751"/>
      <c r="G70" s="754"/>
      <c r="H70" s="754"/>
      <c r="I70" s="751"/>
      <c r="J70" s="751"/>
      <c r="K70" s="663"/>
      <c r="L70" s="661"/>
      <c r="M70" s="751"/>
      <c r="N70" s="751"/>
      <c r="O70" s="663"/>
      <c r="P70" s="661"/>
      <c r="Q70" s="661"/>
      <c r="R70" s="661"/>
      <c r="S70" s="661"/>
      <c r="T70" s="661"/>
      <c r="U70" s="661"/>
      <c r="V70" s="663"/>
      <c r="W70" s="661"/>
      <c r="X70" s="663"/>
      <c r="Y70" s="661"/>
      <c r="Z70" s="663"/>
      <c r="AA70" s="661"/>
      <c r="AB70" s="661"/>
      <c r="AC70" s="661"/>
    </row>
    <row r="71" spans="1:29" ht="36" customHeight="1">
      <c r="A71" s="729"/>
      <c r="B71" s="661"/>
      <c r="C71" s="752"/>
      <c r="D71" s="661"/>
      <c r="E71" s="758"/>
      <c r="F71" s="752"/>
      <c r="G71" s="758"/>
      <c r="H71" s="758"/>
      <c r="I71" s="752"/>
      <c r="J71" s="752"/>
      <c r="K71" s="663"/>
      <c r="L71" s="661"/>
      <c r="M71" s="752"/>
      <c r="N71" s="752"/>
      <c r="O71" s="663"/>
      <c r="P71" s="661"/>
      <c r="Q71" s="661"/>
      <c r="R71" s="661"/>
      <c r="S71" s="661"/>
      <c r="T71" s="661"/>
      <c r="U71" s="661"/>
      <c r="V71" s="663"/>
      <c r="W71" s="661"/>
      <c r="X71" s="663"/>
      <c r="Y71" s="661"/>
      <c r="Z71" s="663"/>
      <c r="AA71" s="661"/>
      <c r="AB71" s="661"/>
      <c r="AC71" s="661"/>
    </row>
    <row r="72" spans="1:29" ht="53.25" customHeight="1">
      <c r="A72" s="682"/>
      <c r="B72" s="661"/>
      <c r="C72" s="751"/>
      <c r="D72" s="661"/>
      <c r="E72" s="754"/>
      <c r="F72" s="751"/>
      <c r="G72" s="754"/>
      <c r="H72" s="754"/>
      <c r="I72" s="751"/>
      <c r="J72" s="751"/>
      <c r="K72" s="663"/>
      <c r="L72" s="661"/>
      <c r="M72" s="751"/>
      <c r="N72" s="751"/>
      <c r="O72" s="663"/>
      <c r="P72" s="661"/>
      <c r="Q72" s="661"/>
      <c r="R72" s="661"/>
      <c r="S72" s="661"/>
      <c r="T72" s="661"/>
      <c r="U72" s="661"/>
      <c r="V72" s="663"/>
      <c r="W72" s="661"/>
      <c r="X72" s="663"/>
      <c r="Y72" s="661"/>
      <c r="Z72" s="663"/>
      <c r="AA72" s="661"/>
      <c r="AB72" s="661"/>
      <c r="AC72" s="661"/>
    </row>
    <row r="73" spans="1:29" ht="67.5" customHeight="1">
      <c r="A73" s="730"/>
      <c r="B73" s="661"/>
      <c r="C73" s="663"/>
      <c r="D73" s="661"/>
      <c r="E73" s="661"/>
      <c r="F73" s="663"/>
      <c r="G73" s="661"/>
      <c r="H73" s="661"/>
      <c r="I73" s="663"/>
      <c r="J73" s="663"/>
      <c r="K73" s="663"/>
      <c r="L73" s="661"/>
      <c r="M73" s="663"/>
      <c r="N73" s="663"/>
      <c r="O73" s="663"/>
      <c r="P73" s="661"/>
      <c r="Q73" s="661"/>
      <c r="R73" s="661"/>
      <c r="S73" s="661"/>
      <c r="T73" s="661"/>
      <c r="U73" s="661"/>
      <c r="V73" s="663"/>
      <c r="W73" s="661"/>
      <c r="X73" s="663"/>
      <c r="Y73" s="661"/>
      <c r="Z73" s="663"/>
      <c r="AA73" s="661"/>
      <c r="AB73" s="661"/>
      <c r="AC73" s="661"/>
    </row>
    <row r="74" spans="1:29" ht="82.5" customHeight="1">
      <c r="A74" s="759"/>
      <c r="B74" s="661"/>
      <c r="C74" s="663"/>
      <c r="D74" s="661"/>
      <c r="E74" s="661"/>
      <c r="F74" s="663"/>
      <c r="G74" s="661"/>
      <c r="H74" s="661"/>
      <c r="I74" s="663"/>
      <c r="J74" s="663"/>
      <c r="K74" s="663"/>
      <c r="L74" s="661"/>
      <c r="M74" s="663"/>
      <c r="N74" s="663"/>
      <c r="O74" s="663"/>
      <c r="P74" s="661"/>
      <c r="Q74" s="661"/>
      <c r="R74" s="661"/>
      <c r="S74" s="661"/>
      <c r="T74" s="661"/>
      <c r="U74" s="661"/>
      <c r="V74" s="663"/>
      <c r="W74" s="661"/>
      <c r="X74" s="663"/>
      <c r="Y74" s="661"/>
      <c r="Z74" s="663"/>
      <c r="AA74" s="661"/>
      <c r="AB74" s="661"/>
      <c r="AC74" s="661"/>
    </row>
    <row r="75" spans="1:29" ht="12.75">
      <c r="A75" s="661"/>
      <c r="B75" s="661"/>
      <c r="C75" s="663"/>
      <c r="D75" s="661"/>
      <c r="E75" s="661"/>
      <c r="F75" s="663"/>
      <c r="G75" s="661"/>
      <c r="H75" s="661"/>
      <c r="I75" s="663"/>
      <c r="J75" s="663"/>
      <c r="K75" s="663"/>
      <c r="L75" s="661"/>
      <c r="M75" s="663"/>
      <c r="N75" s="663"/>
      <c r="O75" s="663"/>
      <c r="P75" s="661"/>
      <c r="Q75" s="661"/>
      <c r="R75" s="661"/>
      <c r="S75" s="661"/>
      <c r="T75" s="661"/>
      <c r="U75" s="661"/>
      <c r="V75" s="663"/>
      <c r="W75" s="661"/>
      <c r="X75" s="663"/>
      <c r="Y75" s="661"/>
      <c r="Z75" s="663"/>
      <c r="AA75" s="661"/>
      <c r="AB75" s="661"/>
      <c r="AC75" s="661"/>
    </row>
    <row r="76" spans="1:29" ht="12.75">
      <c r="A76" s="661"/>
      <c r="B76" s="661"/>
      <c r="C76" s="663"/>
      <c r="D76" s="661"/>
      <c r="E76" s="661"/>
      <c r="F76" s="663"/>
      <c r="G76" s="661"/>
      <c r="H76" s="661"/>
      <c r="I76" s="663"/>
      <c r="J76" s="663"/>
      <c r="K76" s="663"/>
      <c r="L76" s="661"/>
      <c r="M76" s="663"/>
      <c r="N76" s="663"/>
      <c r="O76" s="663"/>
      <c r="P76" s="661"/>
      <c r="Q76" s="661"/>
      <c r="R76" s="661"/>
      <c r="S76" s="661"/>
      <c r="T76" s="661"/>
      <c r="U76" s="661"/>
      <c r="V76" s="663"/>
      <c r="W76" s="661"/>
      <c r="X76" s="663"/>
      <c r="Y76" s="661"/>
      <c r="Z76" s="663"/>
      <c r="AA76" s="661"/>
      <c r="AB76" s="661"/>
      <c r="AC76" s="661"/>
    </row>
    <row r="77" spans="1:29" ht="12.75">
      <c r="A77" s="661"/>
      <c r="B77" s="661"/>
      <c r="C77" s="663"/>
      <c r="D77" s="661"/>
      <c r="E77" s="661"/>
      <c r="F77" s="663"/>
      <c r="G77" s="661"/>
      <c r="H77" s="661"/>
      <c r="I77" s="663"/>
      <c r="J77" s="663"/>
      <c r="K77" s="663"/>
      <c r="L77" s="661"/>
      <c r="M77" s="663"/>
      <c r="N77" s="663"/>
      <c r="O77" s="663"/>
      <c r="P77" s="661"/>
      <c r="Q77" s="661"/>
      <c r="R77" s="661"/>
      <c r="S77" s="661"/>
      <c r="T77" s="661"/>
      <c r="U77" s="661"/>
      <c r="V77" s="663"/>
      <c r="W77" s="661"/>
      <c r="X77" s="663"/>
      <c r="Y77" s="661"/>
      <c r="Z77" s="663"/>
      <c r="AA77" s="661"/>
      <c r="AB77" s="661"/>
      <c r="AC77" s="661"/>
    </row>
    <row r="78" spans="1:29" ht="12.75">
      <c r="A78" s="661"/>
      <c r="B78" s="661"/>
      <c r="C78" s="663"/>
      <c r="D78" s="661"/>
      <c r="E78" s="661"/>
      <c r="F78" s="663"/>
      <c r="G78" s="661"/>
      <c r="H78" s="661"/>
      <c r="I78" s="663"/>
      <c r="J78" s="663"/>
      <c r="K78" s="663"/>
      <c r="L78" s="661"/>
      <c r="M78" s="663"/>
      <c r="N78" s="663"/>
      <c r="O78" s="663"/>
      <c r="P78" s="661"/>
      <c r="Q78" s="661"/>
      <c r="R78" s="661"/>
      <c r="S78" s="661"/>
      <c r="T78" s="661"/>
      <c r="U78" s="661"/>
      <c r="V78" s="663"/>
      <c r="W78" s="661"/>
      <c r="X78" s="663"/>
      <c r="Y78" s="661"/>
      <c r="Z78" s="663"/>
      <c r="AA78" s="661"/>
      <c r="AB78" s="661"/>
      <c r="AC78" s="661"/>
    </row>
    <row r="79" spans="1:29" ht="12.75">
      <c r="A79" s="661"/>
      <c r="B79" s="661"/>
      <c r="C79" s="663"/>
      <c r="D79" s="661"/>
      <c r="E79" s="661"/>
      <c r="F79" s="663"/>
      <c r="G79" s="661"/>
      <c r="H79" s="661"/>
      <c r="I79" s="663"/>
      <c r="J79" s="663"/>
      <c r="K79" s="663"/>
      <c r="L79" s="661"/>
      <c r="M79" s="663"/>
      <c r="N79" s="663"/>
      <c r="O79" s="663"/>
      <c r="P79" s="661"/>
      <c r="Q79" s="661"/>
      <c r="R79" s="661"/>
      <c r="S79" s="661"/>
      <c r="T79" s="661"/>
      <c r="U79" s="661"/>
      <c r="V79" s="663"/>
      <c r="W79" s="661"/>
      <c r="X79" s="663"/>
      <c r="Y79" s="661"/>
      <c r="Z79" s="663"/>
      <c r="AA79" s="661"/>
      <c r="AB79" s="661"/>
      <c r="AC79" s="661"/>
    </row>
  </sheetData>
  <conditionalFormatting sqref="A1:AC1 A3:AC7 A9:AC19 A21:AC29 A31:AC52 A54:A73 B54:AC79 A75:A79">
    <cfRule type="expression" dxfId="70" priority="1">
      <formula>ISODD(COLUMN())</formula>
    </cfRule>
    <cfRule type="expression" dxfId="69" priority="2">
      <formula>ISEVEN(COLUMN())</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5688B-AE3F-481C-B4B6-9FC3B4E27C0D}">
  <sheetPr>
    <tabColor rgb="FF980000"/>
    <outlinePr summaryBelow="0" summaryRight="0"/>
  </sheetPr>
  <dimension ref="A1:AA88"/>
  <sheetViews>
    <sheetView workbookViewId="0">
      <pane xSplit="1" ySplit="1" topLeftCell="O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2" customWidth="1"/>
    <col min="2" max="27" width="16.7109375" customWidth="1"/>
  </cols>
  <sheetData>
    <row r="1" spans="1:27" ht="35.25" customHeight="1">
      <c r="A1" s="651" t="s">
        <v>551</v>
      </c>
      <c r="B1" s="652" t="s">
        <v>359</v>
      </c>
      <c r="C1" s="652" t="s">
        <v>790</v>
      </c>
      <c r="D1" s="653" t="s">
        <v>789</v>
      </c>
      <c r="E1" s="653" t="s">
        <v>788</v>
      </c>
      <c r="F1" s="653" t="s">
        <v>787</v>
      </c>
      <c r="G1" s="652" t="s">
        <v>786</v>
      </c>
      <c r="H1" s="652" t="s">
        <v>368</v>
      </c>
      <c r="I1" s="652" t="s">
        <v>360</v>
      </c>
      <c r="J1" s="655" t="s">
        <v>785</v>
      </c>
      <c r="K1" s="652" t="s">
        <v>362</v>
      </c>
      <c r="L1" s="652" t="s">
        <v>363</v>
      </c>
      <c r="M1" s="652" t="s">
        <v>365</v>
      </c>
      <c r="N1" s="652" t="s">
        <v>366</v>
      </c>
      <c r="O1" s="654" t="s">
        <v>351</v>
      </c>
      <c r="P1" s="654" t="s">
        <v>352</v>
      </c>
      <c r="Q1" s="654" t="s">
        <v>554</v>
      </c>
      <c r="R1" s="653" t="s">
        <v>555</v>
      </c>
      <c r="S1" s="654" t="s">
        <v>353</v>
      </c>
      <c r="T1" s="655" t="s">
        <v>355</v>
      </c>
      <c r="U1" s="654" t="s">
        <v>556</v>
      </c>
      <c r="V1" s="654" t="s">
        <v>557</v>
      </c>
      <c r="W1" s="654" t="s">
        <v>558</v>
      </c>
      <c r="X1" s="654" t="s">
        <v>559</v>
      </c>
      <c r="Y1" s="652" t="s">
        <v>364</v>
      </c>
      <c r="Z1" s="652" t="s">
        <v>784</v>
      </c>
      <c r="AA1" s="652" t="s">
        <v>783</v>
      </c>
    </row>
    <row r="2" spans="1:27" ht="137.25" customHeight="1">
      <c r="A2" s="656" t="s">
        <v>562</v>
      </c>
      <c r="B2" s="658"/>
      <c r="C2" s="657"/>
      <c r="D2" s="657"/>
      <c r="E2" s="657"/>
      <c r="F2" s="657"/>
      <c r="G2" s="657"/>
      <c r="H2" s="657"/>
      <c r="I2" s="658"/>
      <c r="J2" s="660"/>
      <c r="K2" s="658"/>
      <c r="L2" s="658"/>
      <c r="M2" s="658"/>
      <c r="N2" s="658"/>
      <c r="O2" s="658"/>
      <c r="P2" s="658"/>
      <c r="Q2" s="658"/>
      <c r="R2" s="659"/>
      <c r="S2" s="658"/>
      <c r="T2" s="659"/>
      <c r="U2" s="658"/>
      <c r="V2" s="658"/>
      <c r="W2" s="658"/>
      <c r="X2" s="658"/>
      <c r="Y2" s="658"/>
      <c r="Z2" s="658"/>
      <c r="AA2" s="659"/>
    </row>
    <row r="3" spans="1:27" ht="12.75">
      <c r="A3" s="661" t="s">
        <v>563</v>
      </c>
      <c r="B3" s="661">
        <v>91</v>
      </c>
      <c r="C3" s="661">
        <v>84.46</v>
      </c>
      <c r="D3" s="662">
        <v>84.46</v>
      </c>
      <c r="E3" s="662">
        <v>84.46</v>
      </c>
      <c r="F3" s="662">
        <v>84.46</v>
      </c>
      <c r="G3" s="663">
        <v>76.930000000000007</v>
      </c>
      <c r="H3" s="661">
        <v>90</v>
      </c>
      <c r="I3" s="661">
        <v>84.5</v>
      </c>
      <c r="J3" s="665">
        <v>83</v>
      </c>
      <c r="K3" s="661">
        <v>121</v>
      </c>
      <c r="L3" s="661">
        <v>115</v>
      </c>
      <c r="M3" s="661">
        <v>121</v>
      </c>
      <c r="N3" s="661">
        <v>105</v>
      </c>
      <c r="O3" s="663">
        <v>215</v>
      </c>
      <c r="P3" s="663">
        <v>237</v>
      </c>
      <c r="Q3" s="663">
        <v>343</v>
      </c>
      <c r="R3" s="662">
        <v>343</v>
      </c>
      <c r="S3" s="663">
        <v>245.5</v>
      </c>
      <c r="T3" s="664">
        <v>245.5</v>
      </c>
      <c r="U3" s="663">
        <v>44</v>
      </c>
      <c r="V3" s="663">
        <v>44</v>
      </c>
      <c r="W3" s="663">
        <v>105</v>
      </c>
      <c r="X3" s="663">
        <v>105</v>
      </c>
      <c r="Y3" s="661">
        <v>89</v>
      </c>
      <c r="Z3" s="661">
        <v>84.46</v>
      </c>
      <c r="AA3" s="662">
        <v>84.46</v>
      </c>
    </row>
    <row r="4" spans="1:27" ht="12.75">
      <c r="A4" s="661" t="s">
        <v>564</v>
      </c>
      <c r="B4" s="661">
        <v>63.6</v>
      </c>
      <c r="C4" s="661">
        <v>57.06</v>
      </c>
      <c r="D4" s="662">
        <v>57.06</v>
      </c>
      <c r="E4" s="662">
        <v>57.06</v>
      </c>
      <c r="F4" s="662">
        <v>57.06</v>
      </c>
      <c r="G4" s="666">
        <v>58</v>
      </c>
      <c r="H4" s="661">
        <v>63</v>
      </c>
      <c r="I4" s="661">
        <v>59.7</v>
      </c>
      <c r="J4" s="665">
        <v>58.2</v>
      </c>
      <c r="K4" s="661">
        <v>108</v>
      </c>
      <c r="L4" s="661">
        <v>95</v>
      </c>
      <c r="M4" s="661">
        <v>108</v>
      </c>
      <c r="N4" s="661">
        <v>81</v>
      </c>
      <c r="O4" s="663">
        <v>182</v>
      </c>
      <c r="P4" s="663">
        <v>162</v>
      </c>
      <c r="Q4" s="663">
        <v>262.60000000000002</v>
      </c>
      <c r="R4" s="662">
        <v>262.60000000000002</v>
      </c>
      <c r="S4" s="663">
        <v>178.5</v>
      </c>
      <c r="T4" s="663">
        <v>178.5</v>
      </c>
      <c r="U4" s="663">
        <v>34</v>
      </c>
      <c r="V4" s="663">
        <v>34</v>
      </c>
      <c r="W4" s="663">
        <v>71</v>
      </c>
      <c r="X4" s="663">
        <v>71</v>
      </c>
      <c r="Y4" s="661">
        <v>66</v>
      </c>
      <c r="Z4" s="661">
        <v>57.06</v>
      </c>
      <c r="AA4" s="662">
        <v>57.06</v>
      </c>
    </row>
    <row r="5" spans="1:27" ht="12.75">
      <c r="A5" s="661" t="s">
        <v>565</v>
      </c>
      <c r="B5" s="667" t="s">
        <v>293</v>
      </c>
      <c r="C5" s="667" t="s">
        <v>293</v>
      </c>
      <c r="D5" s="668" t="s">
        <v>293</v>
      </c>
      <c r="E5" s="668" t="s">
        <v>293</v>
      </c>
      <c r="F5" s="668" t="s">
        <v>293</v>
      </c>
      <c r="G5" s="669" t="s">
        <v>293</v>
      </c>
      <c r="H5" s="667" t="s">
        <v>293</v>
      </c>
      <c r="I5" s="667" t="s">
        <v>293</v>
      </c>
      <c r="J5" s="602" t="s">
        <v>293</v>
      </c>
      <c r="K5" s="661">
        <v>82.3</v>
      </c>
      <c r="L5" s="661">
        <v>74.8</v>
      </c>
      <c r="M5" s="661">
        <v>82.3</v>
      </c>
      <c r="N5" s="661">
        <v>63</v>
      </c>
      <c r="O5" s="669" t="s">
        <v>293</v>
      </c>
      <c r="P5" s="669" t="s">
        <v>293</v>
      </c>
      <c r="Q5" s="666">
        <v>204.5</v>
      </c>
      <c r="R5" s="662">
        <v>204.5</v>
      </c>
      <c r="S5" s="669" t="s">
        <v>293</v>
      </c>
      <c r="T5" s="670" t="s">
        <v>293</v>
      </c>
      <c r="U5" s="667" t="s">
        <v>293</v>
      </c>
      <c r="V5" s="669" t="s">
        <v>293</v>
      </c>
      <c r="W5" s="669" t="s">
        <v>293</v>
      </c>
      <c r="X5" s="669" t="s">
        <v>293</v>
      </c>
      <c r="Y5" s="669" t="s">
        <v>293</v>
      </c>
      <c r="Z5" s="667" t="s">
        <v>293</v>
      </c>
      <c r="AA5" s="668" t="s">
        <v>293</v>
      </c>
    </row>
    <row r="6" spans="1:27" ht="12.75">
      <c r="A6" s="661" t="s">
        <v>566</v>
      </c>
      <c r="B6" s="661">
        <v>127</v>
      </c>
      <c r="C6" s="661">
        <v>127</v>
      </c>
      <c r="D6" s="662">
        <v>127</v>
      </c>
      <c r="E6" s="662">
        <v>127</v>
      </c>
      <c r="F6" s="662">
        <v>127</v>
      </c>
      <c r="G6" s="663">
        <v>127</v>
      </c>
      <c r="H6" s="661">
        <v>127</v>
      </c>
      <c r="I6" s="661">
        <v>127</v>
      </c>
      <c r="J6" s="665">
        <v>127</v>
      </c>
      <c r="K6" s="661">
        <v>160</v>
      </c>
      <c r="L6" s="661">
        <v>157</v>
      </c>
      <c r="M6" s="661">
        <v>160</v>
      </c>
      <c r="N6" s="661">
        <v>160</v>
      </c>
      <c r="O6" s="663">
        <v>200</v>
      </c>
      <c r="P6" s="663">
        <v>200</v>
      </c>
      <c r="Q6" s="663">
        <v>260</v>
      </c>
      <c r="R6" s="662">
        <v>260</v>
      </c>
      <c r="S6" s="663">
        <v>230</v>
      </c>
      <c r="T6" s="664">
        <v>230</v>
      </c>
      <c r="U6" s="663">
        <v>120</v>
      </c>
      <c r="V6" s="663">
        <v>120</v>
      </c>
      <c r="W6" s="663">
        <v>170</v>
      </c>
      <c r="X6" s="663">
        <v>170</v>
      </c>
      <c r="Y6" s="661">
        <v>157</v>
      </c>
      <c r="Z6" s="661">
        <v>127</v>
      </c>
      <c r="AA6" s="662">
        <v>127</v>
      </c>
    </row>
    <row r="7" spans="1:27" ht="12.75">
      <c r="A7" s="661" t="s">
        <v>567</v>
      </c>
      <c r="B7" s="661">
        <v>3.02</v>
      </c>
      <c r="C7" s="661">
        <v>2.85</v>
      </c>
      <c r="D7" s="662">
        <v>2.85</v>
      </c>
      <c r="E7" s="662">
        <v>2.85</v>
      </c>
      <c r="F7" s="662">
        <v>2.85</v>
      </c>
      <c r="G7" s="663">
        <v>3.05</v>
      </c>
      <c r="H7" s="661">
        <v>2.8239999999999998</v>
      </c>
      <c r="I7" s="661">
        <v>2.8919999999999999</v>
      </c>
      <c r="J7" s="665">
        <v>2.8919999999999999</v>
      </c>
      <c r="K7" s="661">
        <v>2.9990000000000001</v>
      </c>
      <c r="L7" s="661">
        <v>2.992</v>
      </c>
      <c r="M7" s="661">
        <v>2.9990000000000001</v>
      </c>
      <c r="N7" s="661">
        <v>3</v>
      </c>
      <c r="O7" s="663">
        <v>4.16</v>
      </c>
      <c r="P7" s="663">
        <v>4.194</v>
      </c>
      <c r="Q7" s="663">
        <v>4.5</v>
      </c>
      <c r="R7" s="662">
        <v>4.5</v>
      </c>
      <c r="S7" s="663">
        <v>3.7</v>
      </c>
      <c r="T7" s="664">
        <v>3.7</v>
      </c>
      <c r="U7" s="663">
        <v>2.0950000000000002</v>
      </c>
      <c r="V7" s="663">
        <v>2.0950000000000002</v>
      </c>
      <c r="W7" s="663">
        <v>2.9</v>
      </c>
      <c r="X7" s="663">
        <v>2.9</v>
      </c>
      <c r="Y7" s="661">
        <v>2.7480000000000002</v>
      </c>
      <c r="Z7" s="661">
        <v>2.85</v>
      </c>
      <c r="AA7" s="662">
        <v>2.85</v>
      </c>
    </row>
    <row r="8" spans="1:27" ht="20.25" customHeight="1">
      <c r="A8" s="671" t="s">
        <v>568</v>
      </c>
      <c r="B8" s="672"/>
      <c r="C8" s="672"/>
      <c r="D8" s="673"/>
      <c r="E8" s="673"/>
      <c r="F8" s="673"/>
      <c r="G8" s="672"/>
      <c r="H8" s="672"/>
      <c r="I8" s="672"/>
      <c r="J8" s="674"/>
      <c r="K8" s="672"/>
      <c r="L8" s="672"/>
      <c r="M8" s="672"/>
      <c r="N8" s="672"/>
      <c r="O8" s="672"/>
      <c r="P8" s="672"/>
      <c r="Q8" s="672"/>
      <c r="R8" s="673"/>
      <c r="S8" s="672"/>
      <c r="T8" s="673"/>
      <c r="U8" s="672"/>
      <c r="V8" s="672"/>
      <c r="W8" s="672"/>
      <c r="X8" s="672"/>
      <c r="Y8" s="672"/>
      <c r="Z8" s="672"/>
      <c r="AA8" s="673"/>
    </row>
    <row r="9" spans="1:27" ht="12.75">
      <c r="A9" s="661" t="s">
        <v>569</v>
      </c>
      <c r="B9" s="661">
        <v>11952.69</v>
      </c>
      <c r="C9" s="661">
        <v>10800</v>
      </c>
      <c r="D9" s="662">
        <v>10800</v>
      </c>
      <c r="E9" s="662">
        <v>10800</v>
      </c>
      <c r="F9" s="662">
        <v>10800</v>
      </c>
      <c r="G9" s="663">
        <v>18100</v>
      </c>
      <c r="H9" s="661">
        <v>27000</v>
      </c>
      <c r="I9" s="661">
        <v>27900</v>
      </c>
      <c r="J9" s="665">
        <v>27900</v>
      </c>
      <c r="K9" s="661">
        <v>37675</v>
      </c>
      <c r="L9" s="661">
        <v>35200</v>
      </c>
      <c r="M9" s="661">
        <v>37675</v>
      </c>
      <c r="N9" s="661">
        <v>17600</v>
      </c>
      <c r="O9" s="663">
        <v>60000</v>
      </c>
      <c r="P9" s="663">
        <v>50000</v>
      </c>
      <c r="Q9" s="663">
        <v>55275</v>
      </c>
      <c r="R9" s="662">
        <v>55275</v>
      </c>
      <c r="S9" s="661">
        <v>25125</v>
      </c>
      <c r="T9" s="661">
        <v>25125</v>
      </c>
      <c r="U9" s="663">
        <v>9500</v>
      </c>
      <c r="V9" s="663">
        <v>9500</v>
      </c>
      <c r="W9" s="663">
        <v>13750</v>
      </c>
      <c r="X9" s="663">
        <v>13750</v>
      </c>
      <c r="Y9" s="661">
        <v>27950</v>
      </c>
      <c r="Z9" s="661">
        <v>10800</v>
      </c>
      <c r="AA9" s="662">
        <v>10800</v>
      </c>
    </row>
    <row r="10" spans="1:27" ht="16.5" customHeight="1">
      <c r="A10" s="661" t="s">
        <v>570</v>
      </c>
      <c r="B10" s="661">
        <v>5.2</v>
      </c>
      <c r="C10" s="661">
        <v>5.3</v>
      </c>
      <c r="D10" s="662">
        <v>5.3</v>
      </c>
      <c r="E10" s="662">
        <v>5.3</v>
      </c>
      <c r="F10" s="662">
        <v>5.3</v>
      </c>
      <c r="G10" s="663">
        <v>2.2000000000000002</v>
      </c>
      <c r="H10" s="661">
        <v>2.1</v>
      </c>
      <c r="I10" s="661">
        <v>2</v>
      </c>
      <c r="J10" s="665">
        <v>2</v>
      </c>
      <c r="K10" s="661">
        <v>0.78500000000000003</v>
      </c>
      <c r="L10" s="661">
        <v>1.25</v>
      </c>
      <c r="M10" s="661">
        <v>0.78500000000000003</v>
      </c>
      <c r="N10" s="661">
        <v>3</v>
      </c>
      <c r="O10" s="663">
        <v>1.85</v>
      </c>
      <c r="P10" s="663">
        <v>3</v>
      </c>
      <c r="Q10" s="663">
        <v>3.2</v>
      </c>
      <c r="R10" s="662">
        <v>3.2</v>
      </c>
      <c r="S10" s="663">
        <v>6</v>
      </c>
      <c r="T10" s="664">
        <v>6</v>
      </c>
      <c r="U10" s="663">
        <v>3</v>
      </c>
      <c r="V10" s="663">
        <v>3</v>
      </c>
      <c r="W10" s="663">
        <v>5.5</v>
      </c>
      <c r="X10" s="663">
        <v>5.5</v>
      </c>
      <c r="Y10" s="661">
        <v>2</v>
      </c>
      <c r="Z10" s="661">
        <v>5.3</v>
      </c>
      <c r="AA10" s="662">
        <v>5.3</v>
      </c>
    </row>
    <row r="11" spans="1:27" ht="12.75">
      <c r="A11" s="661" t="str">
        <f>"Raw acceleration at ignition: [m/s"&amp;CHAR(178)&amp;"]"</f>
        <v>Raw acceleration at ignition: [m/s²]</v>
      </c>
      <c r="B11" s="675">
        <f t="shared" ref="B11:AA11" si="0">B9/B3</f>
        <v>131.34824175824176</v>
      </c>
      <c r="C11" s="675">
        <f t="shared" si="0"/>
        <v>127.87118162443761</v>
      </c>
      <c r="D11" s="676">
        <f t="shared" si="0"/>
        <v>127.87118162443761</v>
      </c>
      <c r="E11" s="676">
        <f t="shared" si="0"/>
        <v>127.87118162443761</v>
      </c>
      <c r="F11" s="676">
        <f t="shared" si="0"/>
        <v>127.87118162443761</v>
      </c>
      <c r="G11" s="677">
        <f t="shared" si="0"/>
        <v>235.27882490575846</v>
      </c>
      <c r="H11" s="675">
        <f t="shared" si="0"/>
        <v>300</v>
      </c>
      <c r="I11" s="677">
        <f t="shared" si="0"/>
        <v>330.17751479289939</v>
      </c>
      <c r="J11" s="680">
        <f t="shared" si="0"/>
        <v>336.14457831325302</v>
      </c>
      <c r="K11" s="677">
        <f t="shared" si="0"/>
        <v>311.36363636363637</v>
      </c>
      <c r="L11" s="677">
        <f t="shared" si="0"/>
        <v>306.08695652173913</v>
      </c>
      <c r="M11" s="677">
        <f t="shared" si="0"/>
        <v>311.36363636363637</v>
      </c>
      <c r="N11" s="677">
        <f t="shared" si="0"/>
        <v>167.61904761904762</v>
      </c>
      <c r="O11" s="678">
        <f t="shared" si="0"/>
        <v>279.06976744186045</v>
      </c>
      <c r="P11" s="678">
        <f t="shared" si="0"/>
        <v>210.9704641350211</v>
      </c>
      <c r="Q11" s="675">
        <f t="shared" si="0"/>
        <v>161.15160349854227</v>
      </c>
      <c r="R11" s="676">
        <f t="shared" si="0"/>
        <v>161.15160349854227</v>
      </c>
      <c r="S11" s="675">
        <f t="shared" si="0"/>
        <v>102.34215885947047</v>
      </c>
      <c r="T11" s="679">
        <f t="shared" si="0"/>
        <v>102.34215885947047</v>
      </c>
      <c r="U11" s="678">
        <f t="shared" si="0"/>
        <v>215.90909090909091</v>
      </c>
      <c r="V11" s="678">
        <f t="shared" si="0"/>
        <v>215.90909090909091</v>
      </c>
      <c r="W11" s="678">
        <f t="shared" si="0"/>
        <v>130.95238095238096</v>
      </c>
      <c r="X11" s="678">
        <f t="shared" si="0"/>
        <v>130.95238095238096</v>
      </c>
      <c r="Y11" s="677">
        <f t="shared" si="0"/>
        <v>314.04494382022472</v>
      </c>
      <c r="Z11" s="675">
        <f t="shared" si="0"/>
        <v>127.87118162443761</v>
      </c>
      <c r="AA11" s="676">
        <f t="shared" si="0"/>
        <v>127.87118162443761</v>
      </c>
    </row>
    <row r="12" spans="1:27" ht="12.75">
      <c r="A12" s="661" t="s">
        <v>571</v>
      </c>
      <c r="B12" s="678">
        <f t="shared" ref="B12:AA12" si="1">B10*B9/(9.81*(B3-B4))</f>
        <v>231.2327953748968</v>
      </c>
      <c r="C12" s="678">
        <f t="shared" si="1"/>
        <v>212.95118194602563</v>
      </c>
      <c r="D12" s="676">
        <f t="shared" si="1"/>
        <v>212.95118194602563</v>
      </c>
      <c r="E12" s="676">
        <f t="shared" si="1"/>
        <v>212.95118194602563</v>
      </c>
      <c r="F12" s="676">
        <f t="shared" si="1"/>
        <v>212.95118194602563</v>
      </c>
      <c r="G12" s="675">
        <f t="shared" si="1"/>
        <v>214.42806886038096</v>
      </c>
      <c r="H12" s="678">
        <f t="shared" si="1"/>
        <v>214.06727828746176</v>
      </c>
      <c r="I12" s="678">
        <f t="shared" si="1"/>
        <v>229.35779816513764</v>
      </c>
      <c r="J12" s="680">
        <f t="shared" si="1"/>
        <v>229.35779816513764</v>
      </c>
      <c r="K12" s="678">
        <f t="shared" si="1"/>
        <v>231.90523798321962</v>
      </c>
      <c r="L12" s="678">
        <f t="shared" si="1"/>
        <v>224.26095820591232</v>
      </c>
      <c r="M12" s="678">
        <f t="shared" si="1"/>
        <v>231.90523798321962</v>
      </c>
      <c r="N12" s="678">
        <f t="shared" si="1"/>
        <v>224.26095820591235</v>
      </c>
      <c r="O12" s="675">
        <f t="shared" si="1"/>
        <v>342.87832452970065</v>
      </c>
      <c r="P12" s="678">
        <f t="shared" si="1"/>
        <v>203.87359836901121</v>
      </c>
      <c r="Q12" s="675">
        <f t="shared" si="1"/>
        <v>224.26095820591237</v>
      </c>
      <c r="R12" s="676">
        <f t="shared" si="1"/>
        <v>224.26095820591237</v>
      </c>
      <c r="S12" s="675">
        <f t="shared" si="1"/>
        <v>229.35779816513761</v>
      </c>
      <c r="T12" s="679">
        <f t="shared" si="1"/>
        <v>229.35779816513761</v>
      </c>
      <c r="U12" s="678">
        <f t="shared" si="1"/>
        <v>290.51987767584097</v>
      </c>
      <c r="V12" s="675">
        <f t="shared" si="1"/>
        <v>290.51987767584097</v>
      </c>
      <c r="W12" s="675">
        <f t="shared" si="1"/>
        <v>226.73442465671283</v>
      </c>
      <c r="X12" s="675">
        <f t="shared" si="1"/>
        <v>226.73442465671283</v>
      </c>
      <c r="Y12" s="675">
        <f t="shared" si="1"/>
        <v>247.75074236582012</v>
      </c>
      <c r="Z12" s="678">
        <f t="shared" si="1"/>
        <v>212.95118194602563</v>
      </c>
      <c r="AA12" s="676">
        <f t="shared" si="1"/>
        <v>212.95118194602563</v>
      </c>
    </row>
    <row r="13" spans="1:27" ht="12.75">
      <c r="A13" s="661" t="s">
        <v>572</v>
      </c>
      <c r="B13" s="678">
        <f t="shared" ref="B13:AA13" si="2">B12*9.81*LN(B3/B4)</f>
        <v>812.64305960605225</v>
      </c>
      <c r="C13" s="678">
        <f t="shared" si="2"/>
        <v>819.27299419555425</v>
      </c>
      <c r="D13" s="676">
        <f t="shared" si="2"/>
        <v>819.27299419555425</v>
      </c>
      <c r="E13" s="676">
        <f t="shared" si="2"/>
        <v>819.27299419555425</v>
      </c>
      <c r="F13" s="676">
        <f t="shared" si="2"/>
        <v>819.27299419555425</v>
      </c>
      <c r="G13" s="675">
        <f t="shared" si="2"/>
        <v>594.15080579664902</v>
      </c>
      <c r="H13" s="678">
        <f t="shared" si="2"/>
        <v>749.01738227133808</v>
      </c>
      <c r="I13" s="678">
        <f t="shared" si="2"/>
        <v>781.69390642028634</v>
      </c>
      <c r="J13" s="680">
        <f t="shared" si="2"/>
        <v>798.64931938321331</v>
      </c>
      <c r="K13" s="678">
        <f t="shared" si="2"/>
        <v>258.57385664692413</v>
      </c>
      <c r="L13" s="678">
        <f t="shared" si="2"/>
        <v>420.32152087796027</v>
      </c>
      <c r="M13" s="678">
        <f t="shared" si="2"/>
        <v>258.57385664692413</v>
      </c>
      <c r="N13" s="678">
        <f t="shared" si="2"/>
        <v>570.92463006718617</v>
      </c>
      <c r="O13" s="678">
        <f t="shared" si="2"/>
        <v>560.48723808019054</v>
      </c>
      <c r="P13" s="678">
        <f t="shared" si="2"/>
        <v>760.92761180549428</v>
      </c>
      <c r="Q13" s="675">
        <f t="shared" si="2"/>
        <v>587.61666765393693</v>
      </c>
      <c r="R13" s="676">
        <f t="shared" si="2"/>
        <v>587.61666765393693</v>
      </c>
      <c r="S13" s="675">
        <f t="shared" si="2"/>
        <v>717.09377853348337</v>
      </c>
      <c r="T13" s="679">
        <f t="shared" si="2"/>
        <v>717.09377853348337</v>
      </c>
      <c r="U13" s="678">
        <f t="shared" si="2"/>
        <v>734.81296151098456</v>
      </c>
      <c r="V13" s="678">
        <f t="shared" si="2"/>
        <v>734.81296151098456</v>
      </c>
      <c r="W13" s="678">
        <f t="shared" si="2"/>
        <v>870.31134645333032</v>
      </c>
      <c r="X13" s="678">
        <f t="shared" si="2"/>
        <v>870.31134645333032</v>
      </c>
      <c r="Y13" s="678">
        <f t="shared" si="2"/>
        <v>726.65534733693153</v>
      </c>
      <c r="Z13" s="678">
        <f t="shared" si="2"/>
        <v>819.27299419555425</v>
      </c>
      <c r="AA13" s="676">
        <f t="shared" si="2"/>
        <v>819.27299419555425</v>
      </c>
    </row>
    <row r="14" spans="1:27" ht="18" customHeight="1">
      <c r="A14" s="728" t="s">
        <v>573</v>
      </c>
      <c r="B14" s="661">
        <v>0</v>
      </c>
      <c r="C14" s="661">
        <v>0</v>
      </c>
      <c r="D14" s="662">
        <v>0</v>
      </c>
      <c r="E14" s="662">
        <v>0</v>
      </c>
      <c r="F14" s="662">
        <v>0</v>
      </c>
      <c r="G14" s="663">
        <v>0</v>
      </c>
      <c r="H14" s="661">
        <v>0</v>
      </c>
      <c r="I14" s="663">
        <v>0</v>
      </c>
      <c r="J14" s="665">
        <v>0</v>
      </c>
      <c r="K14" s="661">
        <v>0</v>
      </c>
      <c r="L14" s="661">
        <v>0</v>
      </c>
      <c r="M14" s="661">
        <v>0</v>
      </c>
      <c r="N14" s="661">
        <v>0</v>
      </c>
      <c r="O14" s="661">
        <v>0</v>
      </c>
      <c r="P14" s="661">
        <v>0</v>
      </c>
      <c r="Q14" s="661">
        <v>0</v>
      </c>
      <c r="R14" s="662">
        <v>0</v>
      </c>
      <c r="S14" s="661">
        <v>0</v>
      </c>
      <c r="T14" s="664">
        <v>0</v>
      </c>
      <c r="U14" s="661">
        <v>0</v>
      </c>
      <c r="V14" s="661">
        <v>0</v>
      </c>
      <c r="W14" s="661">
        <v>0</v>
      </c>
      <c r="X14" s="661">
        <v>0</v>
      </c>
      <c r="Y14" s="661">
        <v>0</v>
      </c>
      <c r="Z14" s="661">
        <v>0</v>
      </c>
      <c r="AA14" s="662">
        <v>0</v>
      </c>
    </row>
    <row r="15" spans="1:27" ht="16.5" customHeight="1">
      <c r="A15" s="682" t="s">
        <v>574</v>
      </c>
      <c r="B15" s="683" t="s">
        <v>293</v>
      </c>
      <c r="C15" s="683" t="s">
        <v>293</v>
      </c>
      <c r="D15" s="684" t="s">
        <v>293</v>
      </c>
      <c r="E15" s="684" t="s">
        <v>293</v>
      </c>
      <c r="F15" s="684" t="s">
        <v>293</v>
      </c>
      <c r="G15" s="685" t="s">
        <v>293</v>
      </c>
      <c r="H15" s="683" t="s">
        <v>293</v>
      </c>
      <c r="I15" s="683" t="s">
        <v>293</v>
      </c>
      <c r="J15" s="689" t="s">
        <v>293</v>
      </c>
      <c r="K15" s="661">
        <v>20500</v>
      </c>
      <c r="L15" s="661">
        <v>16160</v>
      </c>
      <c r="M15" s="661">
        <v>20500</v>
      </c>
      <c r="N15" s="661">
        <v>7920</v>
      </c>
      <c r="O15" s="685" t="s">
        <v>293</v>
      </c>
      <c r="P15" s="685" t="s">
        <v>293</v>
      </c>
      <c r="Q15" s="687">
        <v>26630</v>
      </c>
      <c r="R15" s="688">
        <v>26630</v>
      </c>
      <c r="S15" s="685" t="s">
        <v>293</v>
      </c>
      <c r="T15" s="686" t="s">
        <v>293</v>
      </c>
      <c r="U15" s="685" t="s">
        <v>293</v>
      </c>
      <c r="V15" s="685" t="s">
        <v>293</v>
      </c>
      <c r="W15" s="685" t="s">
        <v>293</v>
      </c>
      <c r="X15" s="685" t="s">
        <v>293</v>
      </c>
      <c r="Y15" s="683" t="s">
        <v>293</v>
      </c>
      <c r="Z15" s="683" t="s">
        <v>293</v>
      </c>
      <c r="AA15" s="684" t="s">
        <v>293</v>
      </c>
    </row>
    <row r="16" spans="1:27" ht="18" customHeight="1">
      <c r="A16" s="682" t="s">
        <v>575</v>
      </c>
      <c r="B16" s="683" t="s">
        <v>293</v>
      </c>
      <c r="C16" s="683" t="s">
        <v>293</v>
      </c>
      <c r="D16" s="684" t="s">
        <v>293</v>
      </c>
      <c r="E16" s="684" t="s">
        <v>293</v>
      </c>
      <c r="F16" s="684" t="s">
        <v>293</v>
      </c>
      <c r="G16" s="685" t="s">
        <v>293</v>
      </c>
      <c r="H16" s="683" t="s">
        <v>293</v>
      </c>
      <c r="I16" s="683" t="s">
        <v>293</v>
      </c>
      <c r="J16" s="689" t="s">
        <v>293</v>
      </c>
      <c r="K16" s="661">
        <v>2.85</v>
      </c>
      <c r="L16" s="661">
        <v>2.75</v>
      </c>
      <c r="M16" s="661">
        <v>2.85</v>
      </c>
      <c r="N16" s="661">
        <v>5</v>
      </c>
      <c r="O16" s="685" t="s">
        <v>293</v>
      </c>
      <c r="P16" s="685" t="s">
        <v>293</v>
      </c>
      <c r="Q16" s="690">
        <v>4.8</v>
      </c>
      <c r="R16" s="691">
        <v>4.8</v>
      </c>
      <c r="S16" s="685" t="s">
        <v>293</v>
      </c>
      <c r="T16" s="686" t="s">
        <v>293</v>
      </c>
      <c r="U16" s="685" t="s">
        <v>293</v>
      </c>
      <c r="V16" s="685" t="s">
        <v>293</v>
      </c>
      <c r="W16" s="685" t="s">
        <v>293</v>
      </c>
      <c r="X16" s="685" t="s">
        <v>293</v>
      </c>
      <c r="Y16" s="683" t="s">
        <v>293</v>
      </c>
      <c r="Z16" s="683" t="s">
        <v>293</v>
      </c>
      <c r="AA16" s="684" t="s">
        <v>293</v>
      </c>
    </row>
    <row r="17" spans="1:27" ht="18" customHeight="1">
      <c r="A17" s="728" t="s">
        <v>576</v>
      </c>
      <c r="B17" s="683" t="s">
        <v>293</v>
      </c>
      <c r="C17" s="683" t="s">
        <v>293</v>
      </c>
      <c r="D17" s="684" t="s">
        <v>293</v>
      </c>
      <c r="E17" s="684" t="s">
        <v>293</v>
      </c>
      <c r="F17" s="684" t="s">
        <v>293</v>
      </c>
      <c r="G17" s="685" t="s">
        <v>293</v>
      </c>
      <c r="H17" s="683" t="s">
        <v>293</v>
      </c>
      <c r="I17" s="683" t="s">
        <v>293</v>
      </c>
      <c r="J17" s="689" t="s">
        <v>293</v>
      </c>
      <c r="K17" s="777">
        <f>K16*K15/(9.81*(K4-K5))</f>
        <v>231.7376456169159</v>
      </c>
      <c r="L17" s="777">
        <f>L16*L15/(9.81*(L4-L5))</f>
        <v>224.26095820591229</v>
      </c>
      <c r="M17" s="777">
        <f>M16*M15/(9.81*(M4-M5))</f>
        <v>231.7376456169159</v>
      </c>
      <c r="N17" s="777">
        <f>N16*N15/(9.81*(N4-N5))</f>
        <v>224.26095820591232</v>
      </c>
      <c r="O17" s="685" t="s">
        <v>293</v>
      </c>
      <c r="P17" s="685" t="s">
        <v>293</v>
      </c>
      <c r="Q17" s="692">
        <f>Q16*Q15/(9.81*(Q4-Q5))</f>
        <v>224.2679762299525</v>
      </c>
      <c r="R17" s="676">
        <f>R16*R15/(9.81*(R4-R5))</f>
        <v>224.2679762299525</v>
      </c>
      <c r="S17" s="685" t="s">
        <v>293</v>
      </c>
      <c r="T17" s="686" t="s">
        <v>293</v>
      </c>
      <c r="U17" s="685" t="s">
        <v>293</v>
      </c>
      <c r="V17" s="685" t="s">
        <v>293</v>
      </c>
      <c r="W17" s="685" t="s">
        <v>293</v>
      </c>
      <c r="X17" s="685" t="s">
        <v>293</v>
      </c>
      <c r="Y17" s="683" t="s">
        <v>293</v>
      </c>
      <c r="Z17" s="683" t="s">
        <v>293</v>
      </c>
      <c r="AA17" s="684" t="s">
        <v>293</v>
      </c>
    </row>
    <row r="18" spans="1:27" ht="18" customHeight="1">
      <c r="A18" s="728" t="s">
        <v>577</v>
      </c>
      <c r="B18" s="683" t="s">
        <v>293</v>
      </c>
      <c r="C18" s="683" t="s">
        <v>293</v>
      </c>
      <c r="D18" s="684" t="s">
        <v>293</v>
      </c>
      <c r="E18" s="684" t="s">
        <v>293</v>
      </c>
      <c r="F18" s="684" t="s">
        <v>293</v>
      </c>
      <c r="G18" s="685" t="s">
        <v>293</v>
      </c>
      <c r="H18" s="683" t="s">
        <v>293</v>
      </c>
      <c r="I18" s="683" t="s">
        <v>293</v>
      </c>
      <c r="J18" s="689" t="s">
        <v>293</v>
      </c>
      <c r="K18" s="777">
        <f>K17*9.81*LN(K4/K5)</f>
        <v>617.80486297088896</v>
      </c>
      <c r="L18" s="777">
        <f>L17*9.81*LN(L4/L5)</f>
        <v>525.92981456424025</v>
      </c>
      <c r="M18" s="777">
        <f>M17*9.81*LN(M4/M5)</f>
        <v>617.80486297088896</v>
      </c>
      <c r="N18" s="777">
        <f>N17*9.81*LN(N4/N5)</f>
        <v>552.89174221799351</v>
      </c>
      <c r="O18" s="683" t="s">
        <v>293</v>
      </c>
      <c r="P18" s="683" t="s">
        <v>293</v>
      </c>
      <c r="Q18" s="694">
        <f>Q17*9.81*LN(Q4/Q5)</f>
        <v>550.15798615806432</v>
      </c>
      <c r="R18" s="676">
        <f>R17*9.81*LN(R4/R5)</f>
        <v>550.15798615806432</v>
      </c>
      <c r="S18" s="683" t="s">
        <v>293</v>
      </c>
      <c r="T18" s="686" t="s">
        <v>293</v>
      </c>
      <c r="U18" s="683" t="s">
        <v>293</v>
      </c>
      <c r="V18" s="683" t="s">
        <v>293</v>
      </c>
      <c r="W18" s="683" t="s">
        <v>293</v>
      </c>
      <c r="X18" s="683" t="s">
        <v>293</v>
      </c>
      <c r="Y18" s="683" t="s">
        <v>293</v>
      </c>
      <c r="Z18" s="683" t="s">
        <v>293</v>
      </c>
      <c r="AA18" s="684" t="s">
        <v>293</v>
      </c>
    </row>
    <row r="19" spans="1:27" ht="18" customHeight="1">
      <c r="A19" s="728" t="s">
        <v>578</v>
      </c>
      <c r="B19" s="692">
        <f t="shared" ref="B19:AA19" si="3">IF(ISNUMBER(B18),B13+B18,B13)</f>
        <v>812.64305960605225</v>
      </c>
      <c r="C19" s="692">
        <f t="shared" si="3"/>
        <v>819.27299419555425</v>
      </c>
      <c r="D19" s="676">
        <f t="shared" si="3"/>
        <v>819.27299419555425</v>
      </c>
      <c r="E19" s="676">
        <f t="shared" si="3"/>
        <v>819.27299419555425</v>
      </c>
      <c r="F19" s="676">
        <f t="shared" si="3"/>
        <v>819.27299419555425</v>
      </c>
      <c r="G19" s="692">
        <f t="shared" si="3"/>
        <v>594.15080579664902</v>
      </c>
      <c r="H19" s="692">
        <f t="shared" si="3"/>
        <v>749.01738227133808</v>
      </c>
      <c r="I19" s="692">
        <f t="shared" si="3"/>
        <v>781.69390642028634</v>
      </c>
      <c r="J19" s="680">
        <f t="shared" si="3"/>
        <v>798.64931938321331</v>
      </c>
      <c r="K19" s="692">
        <f t="shared" si="3"/>
        <v>876.37871961781309</v>
      </c>
      <c r="L19" s="692">
        <f t="shared" si="3"/>
        <v>946.25133544220057</v>
      </c>
      <c r="M19" s="692">
        <f t="shared" si="3"/>
        <v>876.37871961781309</v>
      </c>
      <c r="N19" s="692">
        <f t="shared" si="3"/>
        <v>1123.8163722851796</v>
      </c>
      <c r="O19" s="692">
        <f t="shared" si="3"/>
        <v>560.48723808019054</v>
      </c>
      <c r="P19" s="692">
        <f t="shared" si="3"/>
        <v>760.92761180549428</v>
      </c>
      <c r="Q19" s="694">
        <f t="shared" si="3"/>
        <v>1137.7746538120014</v>
      </c>
      <c r="R19" s="676">
        <f t="shared" si="3"/>
        <v>1137.7746538120014</v>
      </c>
      <c r="S19" s="694">
        <f t="shared" si="3"/>
        <v>717.09377853348337</v>
      </c>
      <c r="T19" s="679">
        <f t="shared" si="3"/>
        <v>717.09377853348337</v>
      </c>
      <c r="U19" s="692">
        <f t="shared" si="3"/>
        <v>734.81296151098456</v>
      </c>
      <c r="V19" s="692">
        <f t="shared" si="3"/>
        <v>734.81296151098456</v>
      </c>
      <c r="W19" s="692">
        <f t="shared" si="3"/>
        <v>870.31134645333032</v>
      </c>
      <c r="X19" s="692">
        <f t="shared" si="3"/>
        <v>870.31134645333032</v>
      </c>
      <c r="Y19" s="692">
        <f t="shared" si="3"/>
        <v>726.65534733693153</v>
      </c>
      <c r="Z19" s="692">
        <f t="shared" si="3"/>
        <v>819.27299419555425</v>
      </c>
      <c r="AA19" s="676">
        <f t="shared" si="3"/>
        <v>819.27299419555425</v>
      </c>
    </row>
    <row r="20" spans="1:27" ht="18">
      <c r="A20" s="695" t="s">
        <v>579</v>
      </c>
      <c r="B20" s="696"/>
      <c r="C20" s="696"/>
      <c r="D20" s="697"/>
      <c r="E20" s="697"/>
      <c r="F20" s="697"/>
      <c r="G20" s="696"/>
      <c r="H20" s="696"/>
      <c r="I20" s="696"/>
      <c r="J20" s="698"/>
      <c r="K20" s="696"/>
      <c r="L20" s="696"/>
      <c r="M20" s="696"/>
      <c r="N20" s="696"/>
      <c r="O20" s="696"/>
      <c r="P20" s="696"/>
      <c r="Q20" s="696"/>
      <c r="R20" s="697"/>
      <c r="S20" s="696"/>
      <c r="T20" s="697"/>
      <c r="U20" s="696"/>
      <c r="V20" s="696"/>
      <c r="W20" s="696"/>
      <c r="X20" s="696"/>
      <c r="Y20" s="696"/>
      <c r="Z20" s="696"/>
      <c r="AA20" s="697"/>
    </row>
    <row r="21" spans="1:27" ht="12.75">
      <c r="A21" s="661" t="s">
        <v>580</v>
      </c>
      <c r="B21" s="661">
        <f>1.28*3.8</f>
        <v>4.8639999999999999</v>
      </c>
      <c r="C21" s="661">
        <f>1.28*3.58</f>
        <v>4.5823999999999998</v>
      </c>
      <c r="D21" s="662">
        <f>1.28*3.58</f>
        <v>4.5823999999999998</v>
      </c>
      <c r="E21" s="662">
        <f>1.28*3.58</f>
        <v>4.5823999999999998</v>
      </c>
      <c r="F21" s="662">
        <f>1.28*3.58</f>
        <v>4.5823999999999998</v>
      </c>
      <c r="G21" s="663">
        <f>1.6*4.76</f>
        <v>7.6159999999999997</v>
      </c>
      <c r="H21" s="661">
        <f>1.6*4.5</f>
        <v>7.2</v>
      </c>
      <c r="I21" s="663">
        <f>1.6*4.76</f>
        <v>7.6159999999999997</v>
      </c>
      <c r="J21" s="665">
        <f>1.6*4.76</f>
        <v>7.6159999999999997</v>
      </c>
      <c r="K21" s="663">
        <f>1.6*5</f>
        <v>8</v>
      </c>
      <c r="L21" s="663">
        <f>1.6*5.25</f>
        <v>8.4</v>
      </c>
      <c r="M21" s="663">
        <f>1.6*5</f>
        <v>8</v>
      </c>
      <c r="N21" s="663">
        <f>1.6*5</f>
        <v>8</v>
      </c>
      <c r="O21" s="661">
        <f>1.6*13</f>
        <v>20.8</v>
      </c>
      <c r="P21" s="661">
        <f>1.6*13</f>
        <v>20.8</v>
      </c>
      <c r="Q21" s="661">
        <f>15*1.6</f>
        <v>24</v>
      </c>
      <c r="R21" s="662">
        <f>15*1.6</f>
        <v>24</v>
      </c>
      <c r="S21" s="661">
        <f>15*1.6</f>
        <v>24</v>
      </c>
      <c r="T21" s="664">
        <f>15*1.6</f>
        <v>24</v>
      </c>
      <c r="U21" s="663">
        <f>1.325*1.35</f>
        <v>1.7887500000000001</v>
      </c>
      <c r="V21" s="663">
        <f>1.325*1.35</f>
        <v>1.7887500000000001</v>
      </c>
      <c r="W21" s="663">
        <f>3.75*1.62</f>
        <v>6.0750000000000002</v>
      </c>
      <c r="X21" s="663">
        <f>3.75*1.62</f>
        <v>6.0750000000000002</v>
      </c>
      <c r="Y21" s="661">
        <f>1.6*6</f>
        <v>9.6000000000000014</v>
      </c>
      <c r="Z21" s="661">
        <f>1.28*3.58</f>
        <v>4.5823999999999998</v>
      </c>
      <c r="AA21" s="662">
        <f>1.28*3.58</f>
        <v>4.5823999999999998</v>
      </c>
    </row>
    <row r="22" spans="1:27" ht="12.75">
      <c r="A22" s="775" t="s">
        <v>764</v>
      </c>
      <c r="B22" s="667" t="s">
        <v>763</v>
      </c>
      <c r="C22" s="667" t="s">
        <v>763</v>
      </c>
      <c r="D22" s="667" t="s">
        <v>763</v>
      </c>
      <c r="E22" s="667" t="s">
        <v>763</v>
      </c>
      <c r="F22" s="667" t="s">
        <v>763</v>
      </c>
      <c r="G22" s="667" t="s">
        <v>763</v>
      </c>
      <c r="H22" s="667" t="s">
        <v>763</v>
      </c>
      <c r="I22" s="667" t="s">
        <v>763</v>
      </c>
      <c r="J22" s="667" t="s">
        <v>763</v>
      </c>
      <c r="K22" s="667" t="s">
        <v>763</v>
      </c>
      <c r="L22" s="667" t="s">
        <v>763</v>
      </c>
      <c r="M22" s="667" t="s">
        <v>763</v>
      </c>
      <c r="N22" s="667" t="s">
        <v>763</v>
      </c>
      <c r="O22" s="667" t="s">
        <v>763</v>
      </c>
      <c r="P22" s="667" t="s">
        <v>763</v>
      </c>
      <c r="Q22" s="667" t="s">
        <v>763</v>
      </c>
      <c r="R22" s="667" t="s">
        <v>763</v>
      </c>
      <c r="S22" s="667" t="s">
        <v>763</v>
      </c>
      <c r="T22" s="667" t="s">
        <v>763</v>
      </c>
      <c r="U22" s="667" t="s">
        <v>763</v>
      </c>
      <c r="V22" s="667" t="s">
        <v>763</v>
      </c>
      <c r="W22" s="667" t="s">
        <v>763</v>
      </c>
      <c r="X22" s="667" t="s">
        <v>763</v>
      </c>
      <c r="Y22" s="667" t="s">
        <v>763</v>
      </c>
      <c r="Z22" s="667" t="s">
        <v>763</v>
      </c>
      <c r="AA22" s="667" t="s">
        <v>763</v>
      </c>
    </row>
    <row r="23" spans="1:27" ht="12.75">
      <c r="A23" s="776" t="s">
        <v>762</v>
      </c>
      <c r="B23" s="704">
        <v>39.659999999999997</v>
      </c>
      <c r="C23" s="704">
        <v>38.956000000000003</v>
      </c>
      <c r="D23" s="704">
        <v>38.956000000000003</v>
      </c>
      <c r="E23" s="704">
        <v>38.956000000000003</v>
      </c>
      <c r="F23" s="704">
        <v>38.956000000000003</v>
      </c>
      <c r="G23" s="666">
        <v>58.08</v>
      </c>
      <c r="H23" s="704">
        <v>56</v>
      </c>
      <c r="I23" s="704">
        <v>58.08</v>
      </c>
      <c r="J23" s="704">
        <v>58.08</v>
      </c>
      <c r="K23" s="704">
        <v>60</v>
      </c>
      <c r="L23" s="704">
        <v>60.4</v>
      </c>
      <c r="M23" s="704">
        <v>60</v>
      </c>
      <c r="N23" s="704">
        <v>60</v>
      </c>
      <c r="O23" s="666">
        <v>64.400000000000006</v>
      </c>
      <c r="P23" s="666">
        <v>64.400000000000006</v>
      </c>
      <c r="Q23" s="666">
        <v>64.857142857100001</v>
      </c>
      <c r="R23" s="666">
        <v>64.857142857100001</v>
      </c>
      <c r="S23" s="666">
        <v>64.857142857100001</v>
      </c>
      <c r="T23" s="666">
        <v>64.857142857100001</v>
      </c>
      <c r="U23" s="666">
        <v>28</v>
      </c>
      <c r="V23" s="666">
        <v>28</v>
      </c>
      <c r="W23" s="666">
        <v>50.375</v>
      </c>
      <c r="X23" s="666">
        <v>50.375</v>
      </c>
      <c r="Y23" s="704">
        <v>61.6</v>
      </c>
      <c r="Z23" s="704">
        <v>38.956000000000003</v>
      </c>
      <c r="AA23" s="704">
        <v>38.956000000000003</v>
      </c>
    </row>
    <row r="24" spans="1:27" ht="12.75">
      <c r="A24" s="661" t="s">
        <v>581</v>
      </c>
      <c r="B24" s="667" t="s">
        <v>328</v>
      </c>
      <c r="C24" s="667" t="s">
        <v>328</v>
      </c>
      <c r="D24" s="668" t="s">
        <v>328</v>
      </c>
      <c r="E24" s="668" t="s">
        <v>328</v>
      </c>
      <c r="F24" s="668" t="s">
        <v>328</v>
      </c>
      <c r="G24" s="669" t="s">
        <v>328</v>
      </c>
      <c r="H24" s="667" t="s">
        <v>328</v>
      </c>
      <c r="I24" s="667" t="s">
        <v>328</v>
      </c>
      <c r="J24" s="602" t="s">
        <v>328</v>
      </c>
      <c r="K24" s="667" t="s">
        <v>328</v>
      </c>
      <c r="L24" s="667" t="s">
        <v>328</v>
      </c>
      <c r="M24" s="667" t="s">
        <v>328</v>
      </c>
      <c r="N24" s="667" t="s">
        <v>328</v>
      </c>
      <c r="O24" s="669" t="s">
        <v>328</v>
      </c>
      <c r="P24" s="669" t="s">
        <v>328</v>
      </c>
      <c r="Q24" s="669" t="s">
        <v>328</v>
      </c>
      <c r="R24" s="668" t="s">
        <v>328</v>
      </c>
      <c r="S24" s="669" t="s">
        <v>328</v>
      </c>
      <c r="T24" s="670" t="s">
        <v>328</v>
      </c>
      <c r="U24" s="669" t="s">
        <v>328</v>
      </c>
      <c r="V24" s="669" t="s">
        <v>328</v>
      </c>
      <c r="W24" s="669" t="s">
        <v>328</v>
      </c>
      <c r="X24" s="669" t="s">
        <v>328</v>
      </c>
      <c r="Y24" s="667" t="s">
        <v>328</v>
      </c>
      <c r="Z24" s="667" t="s">
        <v>328</v>
      </c>
      <c r="AA24" s="668" t="s">
        <v>328</v>
      </c>
    </row>
    <row r="25" spans="1:27" ht="12.75">
      <c r="A25" s="661" t="s">
        <v>582</v>
      </c>
      <c r="B25" s="661">
        <v>6</v>
      </c>
      <c r="C25" s="661">
        <v>5</v>
      </c>
      <c r="D25" s="662">
        <v>5</v>
      </c>
      <c r="E25" s="662">
        <v>5</v>
      </c>
      <c r="F25" s="662">
        <v>5</v>
      </c>
      <c r="G25" s="666">
        <v>5</v>
      </c>
      <c r="H25" s="661">
        <v>6</v>
      </c>
      <c r="I25" s="661">
        <v>9</v>
      </c>
      <c r="J25" s="665">
        <v>7</v>
      </c>
      <c r="K25" s="661">
        <v>7</v>
      </c>
      <c r="L25" s="661">
        <v>7</v>
      </c>
      <c r="M25" s="661">
        <v>7</v>
      </c>
      <c r="N25" s="661">
        <v>7</v>
      </c>
      <c r="O25" s="663">
        <v>10</v>
      </c>
      <c r="P25" s="663">
        <v>10</v>
      </c>
      <c r="Q25" s="663">
        <v>8</v>
      </c>
      <c r="R25" s="662">
        <v>8</v>
      </c>
      <c r="S25" s="663">
        <v>8</v>
      </c>
      <c r="T25" s="664">
        <v>8</v>
      </c>
      <c r="U25" s="663">
        <v>3</v>
      </c>
      <c r="V25" s="663">
        <v>3</v>
      </c>
      <c r="W25" s="663">
        <v>6</v>
      </c>
      <c r="X25" s="663">
        <v>6</v>
      </c>
      <c r="Y25" s="661">
        <v>8</v>
      </c>
      <c r="Z25" s="661">
        <v>5</v>
      </c>
      <c r="AA25" s="662">
        <v>5</v>
      </c>
    </row>
    <row r="26" spans="1:27" ht="12.75">
      <c r="A26" s="775" t="s">
        <v>583</v>
      </c>
      <c r="B26" s="667" t="s">
        <v>328</v>
      </c>
      <c r="C26" s="667" t="s">
        <v>328</v>
      </c>
      <c r="D26" s="668" t="s">
        <v>328</v>
      </c>
      <c r="E26" s="668" t="s">
        <v>328</v>
      </c>
      <c r="F26" s="668" t="s">
        <v>328</v>
      </c>
      <c r="G26" s="669" t="s">
        <v>328</v>
      </c>
      <c r="H26" s="667" t="s">
        <v>328</v>
      </c>
      <c r="I26" s="669" t="s">
        <v>328</v>
      </c>
      <c r="J26" s="602" t="s">
        <v>328</v>
      </c>
      <c r="K26" s="667" t="s">
        <v>328</v>
      </c>
      <c r="L26" s="667" t="s">
        <v>328</v>
      </c>
      <c r="M26" s="667" t="s">
        <v>328</v>
      </c>
      <c r="N26" s="667" t="s">
        <v>328</v>
      </c>
      <c r="O26" s="669" t="s">
        <v>328</v>
      </c>
      <c r="P26" s="669" t="s">
        <v>328</v>
      </c>
      <c r="Q26" s="669" t="s">
        <v>328</v>
      </c>
      <c r="R26" s="668" t="s">
        <v>328</v>
      </c>
      <c r="S26" s="669" t="s">
        <v>328</v>
      </c>
      <c r="T26" s="670" t="s">
        <v>328</v>
      </c>
      <c r="U26" s="669" t="s">
        <v>328</v>
      </c>
      <c r="V26" s="669" t="s">
        <v>328</v>
      </c>
      <c r="W26" s="669" t="s">
        <v>328</v>
      </c>
      <c r="X26" s="669" t="s">
        <v>328</v>
      </c>
      <c r="Y26" s="667" t="s">
        <v>328</v>
      </c>
      <c r="Z26" s="667" t="s">
        <v>328</v>
      </c>
      <c r="AA26" s="668" t="s">
        <v>328</v>
      </c>
    </row>
    <row r="27" spans="1:27" ht="12.75">
      <c r="A27" s="661" t="s">
        <v>584</v>
      </c>
      <c r="B27" s="666">
        <v>1.5</v>
      </c>
      <c r="C27" s="666">
        <v>1.8</v>
      </c>
      <c r="D27" s="666">
        <v>1.8</v>
      </c>
      <c r="E27" s="666">
        <v>1.8</v>
      </c>
      <c r="F27" s="666">
        <v>1.8</v>
      </c>
      <c r="G27" s="666">
        <v>0.5</v>
      </c>
      <c r="H27" s="666">
        <v>0.5</v>
      </c>
      <c r="I27" s="666">
        <v>0.5</v>
      </c>
      <c r="J27" s="665">
        <v>0.5</v>
      </c>
      <c r="K27" s="666">
        <v>0.5</v>
      </c>
      <c r="L27" s="666">
        <v>0.5</v>
      </c>
      <c r="M27" s="666">
        <v>0.5</v>
      </c>
      <c r="N27" s="666">
        <v>0.5</v>
      </c>
      <c r="O27" s="663">
        <v>1</v>
      </c>
      <c r="P27" s="663">
        <v>1</v>
      </c>
      <c r="Q27" s="663">
        <v>2</v>
      </c>
      <c r="R27" s="662">
        <v>2</v>
      </c>
      <c r="S27" s="663">
        <v>2</v>
      </c>
      <c r="T27" s="664">
        <v>2</v>
      </c>
      <c r="U27" s="666">
        <v>0.5</v>
      </c>
      <c r="V27" s="666">
        <v>0.5</v>
      </c>
      <c r="W27" s="666">
        <v>0.5</v>
      </c>
      <c r="X27" s="666">
        <v>0.5</v>
      </c>
      <c r="Y27" s="661">
        <v>1.8</v>
      </c>
      <c r="Z27" s="666">
        <v>1.8</v>
      </c>
      <c r="AA27" s="666">
        <v>1.8</v>
      </c>
    </row>
    <row r="28" spans="1:27" ht="12.75">
      <c r="A28" s="661" t="s">
        <v>761</v>
      </c>
      <c r="B28" s="666">
        <v>0.1</v>
      </c>
      <c r="C28" s="666">
        <v>0.1</v>
      </c>
      <c r="D28" s="666">
        <v>0.1</v>
      </c>
      <c r="E28" s="666">
        <v>0.1</v>
      </c>
      <c r="F28" s="666">
        <v>0.1</v>
      </c>
      <c r="G28" s="666">
        <v>0.1</v>
      </c>
      <c r="H28" s="666">
        <v>0.1</v>
      </c>
      <c r="I28" s="666">
        <v>0.1</v>
      </c>
      <c r="J28" s="666">
        <v>0.1</v>
      </c>
      <c r="K28" s="666">
        <v>0.1</v>
      </c>
      <c r="L28" s="666">
        <v>0.1</v>
      </c>
      <c r="M28" s="666">
        <v>0.1</v>
      </c>
      <c r="N28" s="666">
        <v>0.1</v>
      </c>
      <c r="O28" s="666">
        <v>0.1</v>
      </c>
      <c r="P28" s="666">
        <v>0.1</v>
      </c>
      <c r="Q28" s="666">
        <v>0.1</v>
      </c>
      <c r="R28" s="666">
        <v>0.1</v>
      </c>
      <c r="S28" s="666">
        <v>0.1</v>
      </c>
      <c r="T28" s="666">
        <v>0.1</v>
      </c>
      <c r="U28" s="666">
        <v>0.1</v>
      </c>
      <c r="V28" s="666">
        <v>0.1</v>
      </c>
      <c r="W28" s="666">
        <v>0.1</v>
      </c>
      <c r="X28" s="666">
        <v>0.1</v>
      </c>
      <c r="Y28" s="666">
        <v>0.1</v>
      </c>
      <c r="Z28" s="666">
        <v>0.1</v>
      </c>
      <c r="AA28" s="666">
        <v>0.1</v>
      </c>
    </row>
    <row r="29" spans="1:27" ht="12.75">
      <c r="A29" s="661" t="s">
        <v>760</v>
      </c>
      <c r="B29" s="666">
        <v>1</v>
      </c>
      <c r="C29" s="666">
        <v>1</v>
      </c>
      <c r="D29" s="666">
        <v>1</v>
      </c>
      <c r="E29" s="666">
        <v>1</v>
      </c>
      <c r="F29" s="666">
        <v>1</v>
      </c>
      <c r="G29" s="666">
        <v>1</v>
      </c>
      <c r="H29" s="666">
        <v>1</v>
      </c>
      <c r="I29" s="666">
        <v>1</v>
      </c>
      <c r="J29" s="666">
        <v>1</v>
      </c>
      <c r="K29" s="666">
        <v>1</v>
      </c>
      <c r="L29" s="666">
        <v>1</v>
      </c>
      <c r="M29" s="666">
        <v>1</v>
      </c>
      <c r="N29" s="666">
        <v>1</v>
      </c>
      <c r="O29" s="666">
        <v>1</v>
      </c>
      <c r="P29" s="666">
        <v>1</v>
      </c>
      <c r="Q29" s="666">
        <v>1</v>
      </c>
      <c r="R29" s="666">
        <v>1</v>
      </c>
      <c r="S29" s="666">
        <v>1</v>
      </c>
      <c r="T29" s="666">
        <v>1</v>
      </c>
      <c r="U29" s="666">
        <v>1</v>
      </c>
      <c r="V29" s="666">
        <v>1</v>
      </c>
      <c r="W29" s="666">
        <v>1</v>
      </c>
      <c r="X29" s="666">
        <v>1</v>
      </c>
      <c r="Y29" s="666">
        <v>1</v>
      </c>
      <c r="Z29" s="666">
        <v>1</v>
      </c>
      <c r="AA29" s="666">
        <v>1</v>
      </c>
    </row>
    <row r="30" spans="1:27" ht="18">
      <c r="A30" s="700" t="s">
        <v>585</v>
      </c>
      <c r="B30" s="701"/>
      <c r="C30" s="701"/>
      <c r="D30" s="702"/>
      <c r="E30" s="702"/>
      <c r="F30" s="702"/>
      <c r="G30" s="701"/>
      <c r="H30" s="701"/>
      <c r="I30" s="701"/>
      <c r="J30" s="703"/>
      <c r="K30" s="701"/>
      <c r="L30" s="701"/>
      <c r="M30" s="701"/>
      <c r="N30" s="701"/>
      <c r="O30" s="701"/>
      <c r="P30" s="701"/>
      <c r="Q30" s="701"/>
      <c r="R30" s="702"/>
      <c r="S30" s="701"/>
      <c r="T30" s="702"/>
      <c r="U30" s="701"/>
      <c r="V30" s="701"/>
      <c r="W30" s="701"/>
      <c r="X30" s="701"/>
      <c r="Y30" s="701"/>
      <c r="Z30" s="701"/>
      <c r="AA30" s="702"/>
    </row>
    <row r="31" spans="1:27" ht="12.75">
      <c r="A31" s="661" t="s">
        <v>586</v>
      </c>
      <c r="B31" s="667" t="s">
        <v>323</v>
      </c>
      <c r="C31" s="667" t="s">
        <v>323</v>
      </c>
      <c r="D31" s="668" t="s">
        <v>323</v>
      </c>
      <c r="E31" s="668" t="s">
        <v>323</v>
      </c>
      <c r="F31" s="668" t="s">
        <v>323</v>
      </c>
      <c r="G31" s="669" t="s">
        <v>323</v>
      </c>
      <c r="H31" s="667" t="s">
        <v>323</v>
      </c>
      <c r="I31" s="667" t="s">
        <v>323</v>
      </c>
      <c r="J31" s="602" t="s">
        <v>323</v>
      </c>
      <c r="K31" s="667" t="s">
        <v>323</v>
      </c>
      <c r="L31" s="667" t="s">
        <v>323</v>
      </c>
      <c r="M31" s="667" t="s">
        <v>323</v>
      </c>
      <c r="N31" s="667" t="s">
        <v>323</v>
      </c>
      <c r="O31" s="669" t="s">
        <v>323</v>
      </c>
      <c r="P31" s="669" t="s">
        <v>323</v>
      </c>
      <c r="Q31" s="669" t="s">
        <v>323</v>
      </c>
      <c r="R31" s="668" t="s">
        <v>323</v>
      </c>
      <c r="S31" s="669" t="s">
        <v>323</v>
      </c>
      <c r="T31" s="670" t="s">
        <v>323</v>
      </c>
      <c r="U31" s="669" t="s">
        <v>323</v>
      </c>
      <c r="V31" s="669" t="s">
        <v>323</v>
      </c>
      <c r="W31" s="669" t="s">
        <v>323</v>
      </c>
      <c r="X31" s="669" t="s">
        <v>323</v>
      </c>
      <c r="Y31" s="667" t="s">
        <v>323</v>
      </c>
      <c r="Z31" s="667" t="s">
        <v>323</v>
      </c>
      <c r="AA31" s="668" t="s">
        <v>323</v>
      </c>
    </row>
    <row r="32" spans="1:27" ht="12.75">
      <c r="A32" s="661" t="s">
        <v>587</v>
      </c>
      <c r="B32" s="704">
        <v>0.4</v>
      </c>
      <c r="C32" s="704">
        <v>0.4</v>
      </c>
      <c r="D32" s="662">
        <v>0.4</v>
      </c>
      <c r="E32" s="662">
        <v>0.4</v>
      </c>
      <c r="F32" s="662">
        <v>0.4</v>
      </c>
      <c r="G32" s="662">
        <v>0.5</v>
      </c>
      <c r="H32" s="704">
        <v>0.5</v>
      </c>
      <c r="I32" s="704">
        <v>0.5</v>
      </c>
      <c r="J32" s="665">
        <v>0.5</v>
      </c>
      <c r="K32" s="704">
        <v>0.5</v>
      </c>
      <c r="L32" s="704">
        <v>0.5</v>
      </c>
      <c r="M32" s="704">
        <v>0.5</v>
      </c>
      <c r="N32" s="704">
        <v>0.2</v>
      </c>
      <c r="O32" s="663">
        <v>0.5</v>
      </c>
      <c r="P32" s="704">
        <v>0.5</v>
      </c>
      <c r="Q32" s="661">
        <v>0.35</v>
      </c>
      <c r="R32" s="662">
        <v>0.35</v>
      </c>
      <c r="S32" s="661">
        <v>0.35</v>
      </c>
      <c r="T32" s="661">
        <v>0.35</v>
      </c>
      <c r="U32" s="704">
        <v>0.35</v>
      </c>
      <c r="V32" s="704">
        <v>0.35</v>
      </c>
      <c r="W32" s="704">
        <v>0.15</v>
      </c>
      <c r="X32" s="704">
        <v>0.15</v>
      </c>
      <c r="Y32" s="704">
        <v>0.25</v>
      </c>
      <c r="Z32" s="704">
        <v>0.4</v>
      </c>
      <c r="AA32" s="662">
        <v>0.4</v>
      </c>
    </row>
    <row r="33" spans="1:27" ht="12.75">
      <c r="A33" s="661" t="s">
        <v>588</v>
      </c>
      <c r="B33" s="661">
        <v>45</v>
      </c>
      <c r="C33" s="661">
        <v>60</v>
      </c>
      <c r="D33" s="662">
        <v>60</v>
      </c>
      <c r="E33" s="662">
        <v>60</v>
      </c>
      <c r="F33" s="662">
        <v>60</v>
      </c>
      <c r="G33" s="662">
        <v>40</v>
      </c>
      <c r="H33" s="661">
        <v>40</v>
      </c>
      <c r="I33" s="661">
        <v>23</v>
      </c>
      <c r="J33" s="665">
        <v>23</v>
      </c>
      <c r="K33" s="661">
        <v>20</v>
      </c>
      <c r="L33" s="661">
        <v>30</v>
      </c>
      <c r="M33" s="661">
        <v>20</v>
      </c>
      <c r="N33" s="661">
        <v>20</v>
      </c>
      <c r="O33" s="663">
        <v>35</v>
      </c>
      <c r="P33" s="663">
        <v>45</v>
      </c>
      <c r="Q33" s="663">
        <v>60</v>
      </c>
      <c r="R33" s="662">
        <v>60</v>
      </c>
      <c r="S33" s="663">
        <v>60</v>
      </c>
      <c r="T33" s="664">
        <v>60</v>
      </c>
      <c r="U33" s="663">
        <v>25</v>
      </c>
      <c r="V33" s="663">
        <v>25</v>
      </c>
      <c r="W33" s="663">
        <v>20</v>
      </c>
      <c r="X33" s="663">
        <v>20</v>
      </c>
      <c r="Y33" s="661">
        <v>25</v>
      </c>
      <c r="Z33" s="661">
        <v>60</v>
      </c>
      <c r="AA33" s="662">
        <v>60</v>
      </c>
    </row>
    <row r="34" spans="1:27" ht="12.75">
      <c r="A34" s="661" t="s">
        <v>589</v>
      </c>
      <c r="B34" s="661">
        <v>1</v>
      </c>
      <c r="C34" s="661">
        <v>1</v>
      </c>
      <c r="D34" s="662">
        <v>1</v>
      </c>
      <c r="E34" s="662">
        <v>1</v>
      </c>
      <c r="F34" s="662">
        <v>1</v>
      </c>
      <c r="G34" s="662">
        <v>1</v>
      </c>
      <c r="H34" s="661">
        <v>1</v>
      </c>
      <c r="I34" s="661">
        <v>1</v>
      </c>
      <c r="J34" s="665">
        <v>1</v>
      </c>
      <c r="K34" s="661">
        <v>1</v>
      </c>
      <c r="L34" s="661">
        <v>1</v>
      </c>
      <c r="M34" s="661">
        <v>1</v>
      </c>
      <c r="N34" s="661">
        <v>1</v>
      </c>
      <c r="O34" s="663">
        <v>1</v>
      </c>
      <c r="P34" s="663">
        <v>1</v>
      </c>
      <c r="Q34" s="663">
        <v>1</v>
      </c>
      <c r="R34" s="662">
        <v>1</v>
      </c>
      <c r="S34" s="663">
        <v>1</v>
      </c>
      <c r="T34" s="664">
        <v>1</v>
      </c>
      <c r="U34" s="663">
        <v>1</v>
      </c>
      <c r="V34" s="663">
        <v>1</v>
      </c>
      <c r="W34" s="663">
        <v>1</v>
      </c>
      <c r="X34" s="663">
        <v>1</v>
      </c>
      <c r="Y34" s="661">
        <v>1</v>
      </c>
      <c r="Z34" s="661">
        <v>1</v>
      </c>
      <c r="AA34" s="662">
        <v>1</v>
      </c>
    </row>
    <row r="35" spans="1:27" ht="12.75">
      <c r="A35" s="661" t="s">
        <v>590</v>
      </c>
      <c r="B35" s="661">
        <v>20</v>
      </c>
      <c r="C35" s="661">
        <v>20</v>
      </c>
      <c r="D35" s="662">
        <v>20</v>
      </c>
      <c r="E35" s="662">
        <v>20</v>
      </c>
      <c r="F35" s="662">
        <v>20</v>
      </c>
      <c r="G35" s="662">
        <v>20</v>
      </c>
      <c r="H35" s="661">
        <v>20</v>
      </c>
      <c r="I35" s="661">
        <v>20</v>
      </c>
      <c r="J35" s="665">
        <v>20</v>
      </c>
      <c r="K35" s="661">
        <v>20</v>
      </c>
      <c r="L35" s="661">
        <v>20</v>
      </c>
      <c r="M35" s="661">
        <v>20</v>
      </c>
      <c r="N35" s="661">
        <v>20</v>
      </c>
      <c r="O35" s="663">
        <v>20</v>
      </c>
      <c r="P35" s="663">
        <v>20</v>
      </c>
      <c r="Q35" s="663">
        <v>20</v>
      </c>
      <c r="R35" s="662">
        <v>20</v>
      </c>
      <c r="S35" s="663">
        <v>20</v>
      </c>
      <c r="T35" s="664">
        <v>20</v>
      </c>
      <c r="U35" s="663">
        <v>20</v>
      </c>
      <c r="V35" s="663">
        <v>20</v>
      </c>
      <c r="W35" s="663">
        <v>20</v>
      </c>
      <c r="X35" s="663">
        <v>20</v>
      </c>
      <c r="Y35" s="661">
        <v>20</v>
      </c>
      <c r="Z35" s="661">
        <v>20</v>
      </c>
      <c r="AA35" s="662">
        <v>20</v>
      </c>
    </row>
    <row r="36" spans="1:27" ht="12.75">
      <c r="A36" s="661" t="s">
        <v>591</v>
      </c>
      <c r="B36" s="661">
        <v>3.6</v>
      </c>
      <c r="C36" s="661">
        <v>3.6</v>
      </c>
      <c r="D36" s="662">
        <v>3.6</v>
      </c>
      <c r="E36" s="662">
        <v>3.6</v>
      </c>
      <c r="F36" s="662">
        <v>3.6</v>
      </c>
      <c r="G36" s="662">
        <v>3.6</v>
      </c>
      <c r="H36" s="661">
        <v>3.6</v>
      </c>
      <c r="I36" s="661">
        <v>4</v>
      </c>
      <c r="J36" s="665">
        <v>3.6</v>
      </c>
      <c r="K36" s="661">
        <v>3.6</v>
      </c>
      <c r="L36" s="661">
        <v>3</v>
      </c>
      <c r="M36" s="661">
        <v>3.6</v>
      </c>
      <c r="N36" s="661">
        <v>3.6</v>
      </c>
      <c r="O36" s="663">
        <v>2.6</v>
      </c>
      <c r="P36" s="663">
        <v>2.6</v>
      </c>
      <c r="Q36" s="663">
        <v>2</v>
      </c>
      <c r="R36" s="662">
        <v>2</v>
      </c>
      <c r="S36" s="663">
        <v>2</v>
      </c>
      <c r="T36" s="664">
        <v>2</v>
      </c>
      <c r="U36" s="663">
        <v>5</v>
      </c>
      <c r="V36" s="663">
        <v>5</v>
      </c>
      <c r="W36" s="663">
        <v>4.5</v>
      </c>
      <c r="X36" s="663">
        <v>4.5</v>
      </c>
      <c r="Y36" s="661">
        <v>2.4</v>
      </c>
      <c r="Z36" s="661">
        <v>3.6</v>
      </c>
      <c r="AA36" s="662">
        <v>3.6</v>
      </c>
    </row>
    <row r="37" spans="1:27" ht="12.75">
      <c r="A37" s="661" t="s">
        <v>592</v>
      </c>
      <c r="B37" s="661">
        <v>60</v>
      </c>
      <c r="C37" s="661">
        <v>45</v>
      </c>
      <c r="D37" s="662">
        <v>45</v>
      </c>
      <c r="E37" s="662">
        <v>45</v>
      </c>
      <c r="F37" s="662">
        <v>45</v>
      </c>
      <c r="G37" s="662">
        <v>45</v>
      </c>
      <c r="H37" s="661">
        <v>40</v>
      </c>
      <c r="I37" s="661">
        <v>40</v>
      </c>
      <c r="J37" s="665">
        <v>40</v>
      </c>
      <c r="K37" s="661">
        <v>40</v>
      </c>
      <c r="L37" s="661">
        <v>40</v>
      </c>
      <c r="M37" s="661">
        <v>40</v>
      </c>
      <c r="N37" s="661">
        <v>90</v>
      </c>
      <c r="O37" s="663">
        <v>60</v>
      </c>
      <c r="P37" s="663">
        <v>55</v>
      </c>
      <c r="Q37" s="663">
        <v>60</v>
      </c>
      <c r="R37" s="662">
        <v>60</v>
      </c>
      <c r="S37" s="663">
        <v>60</v>
      </c>
      <c r="T37" s="663">
        <v>60</v>
      </c>
      <c r="U37" s="663">
        <v>45</v>
      </c>
      <c r="V37" s="663">
        <v>45</v>
      </c>
      <c r="W37" s="663">
        <v>75</v>
      </c>
      <c r="X37" s="663">
        <v>75</v>
      </c>
      <c r="Y37" s="661">
        <v>45</v>
      </c>
      <c r="Z37" s="661">
        <v>45</v>
      </c>
      <c r="AA37" s="662">
        <v>45</v>
      </c>
    </row>
    <row r="38" spans="1:27" ht="12.75">
      <c r="A38" s="661" t="s">
        <v>593</v>
      </c>
      <c r="B38" s="661">
        <v>30</v>
      </c>
      <c r="C38" s="661">
        <v>22</v>
      </c>
      <c r="D38" s="662">
        <v>22</v>
      </c>
      <c r="E38" s="662">
        <v>22</v>
      </c>
      <c r="F38" s="662">
        <v>22</v>
      </c>
      <c r="G38" s="662">
        <v>22</v>
      </c>
      <c r="H38" s="661">
        <v>50</v>
      </c>
      <c r="I38" s="661">
        <v>20</v>
      </c>
      <c r="J38" s="665">
        <v>60</v>
      </c>
      <c r="K38" s="661">
        <v>20</v>
      </c>
      <c r="L38" s="661">
        <v>20</v>
      </c>
      <c r="M38" s="661">
        <v>20</v>
      </c>
      <c r="N38" s="661">
        <v>45</v>
      </c>
      <c r="O38" s="663">
        <v>12</v>
      </c>
      <c r="P38" s="663">
        <v>20</v>
      </c>
      <c r="Q38" s="663">
        <v>30</v>
      </c>
      <c r="R38" s="662">
        <v>30</v>
      </c>
      <c r="S38" s="663">
        <v>30</v>
      </c>
      <c r="T38" s="664">
        <v>30</v>
      </c>
      <c r="U38" s="663">
        <v>30</v>
      </c>
      <c r="V38" s="663">
        <v>30</v>
      </c>
      <c r="W38" s="663">
        <v>60</v>
      </c>
      <c r="X38" s="663">
        <v>60</v>
      </c>
      <c r="Y38" s="661">
        <v>60</v>
      </c>
      <c r="Z38" s="661">
        <v>22</v>
      </c>
      <c r="AA38" s="662">
        <v>22</v>
      </c>
    </row>
    <row r="39" spans="1:27" ht="17.25" customHeight="1">
      <c r="A39" s="661" t="s">
        <v>594</v>
      </c>
      <c r="B39" s="667" t="s">
        <v>328</v>
      </c>
      <c r="C39" s="667" t="s">
        <v>328</v>
      </c>
      <c r="D39" s="668" t="s">
        <v>328</v>
      </c>
      <c r="E39" s="668" t="s">
        <v>328</v>
      </c>
      <c r="F39" s="668" t="s">
        <v>328</v>
      </c>
      <c r="G39" s="668" t="s">
        <v>328</v>
      </c>
      <c r="H39" s="667" t="s">
        <v>328</v>
      </c>
      <c r="I39" s="667" t="s">
        <v>328</v>
      </c>
      <c r="J39" s="602" t="s">
        <v>328</v>
      </c>
      <c r="K39" s="667" t="s">
        <v>328</v>
      </c>
      <c r="L39" s="667" t="s">
        <v>328</v>
      </c>
      <c r="M39" s="667" t="s">
        <v>328</v>
      </c>
      <c r="N39" s="667" t="s">
        <v>328</v>
      </c>
      <c r="O39" s="669" t="s">
        <v>328</v>
      </c>
      <c r="P39" s="669" t="s">
        <v>328</v>
      </c>
      <c r="Q39" s="669" t="s">
        <v>328</v>
      </c>
      <c r="R39" s="668" t="s">
        <v>328</v>
      </c>
      <c r="S39" s="669" t="s">
        <v>328</v>
      </c>
      <c r="T39" s="670" t="s">
        <v>328</v>
      </c>
      <c r="U39" s="669" t="s">
        <v>328</v>
      </c>
      <c r="V39" s="669" t="s">
        <v>328</v>
      </c>
      <c r="W39" s="669" t="s">
        <v>328</v>
      </c>
      <c r="X39" s="669" t="s">
        <v>328</v>
      </c>
      <c r="Y39" s="667" t="s">
        <v>328</v>
      </c>
      <c r="Z39" s="667" t="s">
        <v>328</v>
      </c>
      <c r="AA39" s="668" t="s">
        <v>328</v>
      </c>
    </row>
    <row r="40" spans="1:27" ht="17.25" customHeight="1">
      <c r="A40" s="661" t="s">
        <v>595</v>
      </c>
      <c r="B40" s="661">
        <v>40</v>
      </c>
      <c r="C40" s="661">
        <v>40</v>
      </c>
      <c r="D40" s="662">
        <v>40</v>
      </c>
      <c r="E40" s="662">
        <v>40</v>
      </c>
      <c r="F40" s="662">
        <v>40</v>
      </c>
      <c r="G40" s="662">
        <v>40</v>
      </c>
      <c r="H40" s="661">
        <v>30</v>
      </c>
      <c r="I40" s="704">
        <v>25</v>
      </c>
      <c r="J40" s="665">
        <v>30</v>
      </c>
      <c r="K40" s="704">
        <v>30</v>
      </c>
      <c r="L40" s="704">
        <v>30</v>
      </c>
      <c r="M40" s="704">
        <v>30</v>
      </c>
      <c r="N40" s="704">
        <v>60</v>
      </c>
      <c r="O40" s="663">
        <v>60</v>
      </c>
      <c r="P40" s="663">
        <v>55</v>
      </c>
      <c r="Q40" s="663">
        <v>45</v>
      </c>
      <c r="R40" s="662">
        <v>45</v>
      </c>
      <c r="S40" s="663">
        <v>45</v>
      </c>
      <c r="T40" s="663">
        <v>45</v>
      </c>
      <c r="U40" s="663">
        <v>20</v>
      </c>
      <c r="V40" s="663">
        <v>20</v>
      </c>
      <c r="W40" s="663">
        <v>45</v>
      </c>
      <c r="X40" s="663">
        <v>45</v>
      </c>
      <c r="Y40" s="661">
        <v>45</v>
      </c>
      <c r="Z40" s="661">
        <v>40</v>
      </c>
      <c r="AA40" s="662">
        <v>40</v>
      </c>
    </row>
    <row r="41" spans="1:27" ht="30.75" customHeight="1">
      <c r="A41" s="682" t="s">
        <v>596</v>
      </c>
      <c r="B41" s="661">
        <v>10</v>
      </c>
      <c r="C41" s="661">
        <v>10</v>
      </c>
      <c r="D41" s="662">
        <v>10</v>
      </c>
      <c r="E41" s="662">
        <v>10</v>
      </c>
      <c r="F41" s="662">
        <v>10</v>
      </c>
      <c r="G41" s="662">
        <v>10</v>
      </c>
      <c r="H41" s="661">
        <v>12</v>
      </c>
      <c r="I41" s="661">
        <v>17</v>
      </c>
      <c r="J41" s="664">
        <v>17</v>
      </c>
      <c r="K41" s="661">
        <v>12</v>
      </c>
      <c r="L41" s="661">
        <v>12</v>
      </c>
      <c r="M41" s="661">
        <v>12</v>
      </c>
      <c r="N41" s="661">
        <v>15</v>
      </c>
      <c r="O41" s="663">
        <v>7</v>
      </c>
      <c r="P41" s="663">
        <v>7</v>
      </c>
      <c r="Q41" s="663">
        <v>5</v>
      </c>
      <c r="R41" s="662">
        <v>5</v>
      </c>
      <c r="S41" s="663">
        <v>5</v>
      </c>
      <c r="T41" s="664">
        <v>5</v>
      </c>
      <c r="U41" s="663">
        <v>7</v>
      </c>
      <c r="V41" s="663">
        <v>7</v>
      </c>
      <c r="W41" s="663">
        <v>15</v>
      </c>
      <c r="X41" s="663">
        <v>15</v>
      </c>
      <c r="Y41" s="661">
        <v>10</v>
      </c>
      <c r="Z41" s="661">
        <v>10</v>
      </c>
      <c r="AA41" s="662">
        <v>10</v>
      </c>
    </row>
    <row r="42" spans="1:27" ht="12.75">
      <c r="A42" s="661" t="s">
        <v>597</v>
      </c>
      <c r="B42" s="661">
        <v>11</v>
      </c>
      <c r="C42" s="661">
        <v>11</v>
      </c>
      <c r="D42" s="662">
        <v>11</v>
      </c>
      <c r="E42" s="662">
        <v>11</v>
      </c>
      <c r="F42" s="662">
        <v>11</v>
      </c>
      <c r="G42" s="662">
        <v>11</v>
      </c>
      <c r="H42" s="661">
        <v>11</v>
      </c>
      <c r="I42" s="663">
        <v>11</v>
      </c>
      <c r="J42" s="665">
        <v>11</v>
      </c>
      <c r="K42" s="666">
        <v>11</v>
      </c>
      <c r="L42" s="666">
        <v>11</v>
      </c>
      <c r="M42" s="666">
        <v>11</v>
      </c>
      <c r="N42" s="666">
        <v>11</v>
      </c>
      <c r="O42" s="663">
        <v>12</v>
      </c>
      <c r="P42" s="663">
        <v>16</v>
      </c>
      <c r="Q42" s="663">
        <v>18</v>
      </c>
      <c r="R42" s="662">
        <v>18</v>
      </c>
      <c r="S42" s="663">
        <v>18</v>
      </c>
      <c r="T42" s="664">
        <v>18</v>
      </c>
      <c r="U42" s="663">
        <v>7.4</v>
      </c>
      <c r="V42" s="663">
        <v>7.4</v>
      </c>
      <c r="W42" s="663">
        <v>11</v>
      </c>
      <c r="X42" s="663">
        <v>11</v>
      </c>
      <c r="Y42" s="661">
        <v>11</v>
      </c>
      <c r="Z42" s="661">
        <v>11</v>
      </c>
      <c r="AA42" s="662">
        <v>11</v>
      </c>
    </row>
    <row r="43" spans="1:27" ht="12.75">
      <c r="A43" s="661" t="s">
        <v>598</v>
      </c>
      <c r="B43" s="661">
        <v>3</v>
      </c>
      <c r="C43" s="661">
        <v>3</v>
      </c>
      <c r="D43" s="662">
        <v>3</v>
      </c>
      <c r="E43" s="662">
        <v>3</v>
      </c>
      <c r="F43" s="662">
        <v>3</v>
      </c>
      <c r="G43" s="662">
        <v>3</v>
      </c>
      <c r="H43" s="661">
        <v>3</v>
      </c>
      <c r="I43" s="666">
        <v>2.5</v>
      </c>
      <c r="J43" s="665">
        <v>3.4</v>
      </c>
      <c r="K43" s="704">
        <v>3</v>
      </c>
      <c r="L43" s="704">
        <v>3</v>
      </c>
      <c r="M43" s="704">
        <v>3</v>
      </c>
      <c r="N43" s="704">
        <v>3.8</v>
      </c>
      <c r="O43" s="666">
        <v>2.2999999999999998</v>
      </c>
      <c r="P43" s="666">
        <v>4.3</v>
      </c>
      <c r="Q43" s="666">
        <v>4.8</v>
      </c>
      <c r="R43" s="662">
        <v>4.8</v>
      </c>
      <c r="S43" s="666">
        <v>4.8</v>
      </c>
      <c r="T43" s="664">
        <v>4.8</v>
      </c>
      <c r="U43" s="666">
        <v>2</v>
      </c>
      <c r="V43" s="666">
        <v>2</v>
      </c>
      <c r="W43" s="666">
        <v>3.4</v>
      </c>
      <c r="X43" s="666">
        <v>3.4</v>
      </c>
      <c r="Y43" s="666">
        <v>3.4</v>
      </c>
      <c r="Z43" s="661">
        <v>3</v>
      </c>
      <c r="AA43" s="662">
        <v>3</v>
      </c>
    </row>
    <row r="44" spans="1:27" ht="12.75">
      <c r="A44" s="661" t="s">
        <v>599</v>
      </c>
      <c r="B44" s="661">
        <v>11</v>
      </c>
      <c r="C44" s="661">
        <v>11</v>
      </c>
      <c r="D44" s="662">
        <v>11</v>
      </c>
      <c r="E44" s="662">
        <v>11</v>
      </c>
      <c r="F44" s="662">
        <v>11</v>
      </c>
      <c r="G44" s="662">
        <v>11</v>
      </c>
      <c r="H44" s="661">
        <v>11</v>
      </c>
      <c r="I44" s="663">
        <v>11</v>
      </c>
      <c r="J44" s="661">
        <v>10</v>
      </c>
      <c r="K44" s="661">
        <v>11</v>
      </c>
      <c r="L44" s="661">
        <v>11</v>
      </c>
      <c r="M44" s="661">
        <v>11</v>
      </c>
      <c r="N44" s="661">
        <v>11</v>
      </c>
      <c r="O44" s="663">
        <v>12</v>
      </c>
      <c r="P44" s="663">
        <v>15</v>
      </c>
      <c r="Q44" s="663">
        <v>15</v>
      </c>
      <c r="R44" s="662">
        <v>15</v>
      </c>
      <c r="S44" s="663">
        <v>15</v>
      </c>
      <c r="T44" s="663">
        <v>15</v>
      </c>
      <c r="U44" s="663">
        <v>7.4</v>
      </c>
      <c r="V44" s="663">
        <v>7.4</v>
      </c>
      <c r="W44" s="663">
        <v>10</v>
      </c>
      <c r="X44" s="663">
        <v>10</v>
      </c>
      <c r="Y44" s="661">
        <v>10</v>
      </c>
      <c r="Z44" s="661">
        <v>11</v>
      </c>
      <c r="AA44" s="662">
        <v>11</v>
      </c>
    </row>
    <row r="45" spans="1:27" ht="12.75">
      <c r="A45" s="661" t="s">
        <v>600</v>
      </c>
      <c r="B45" s="661">
        <v>11</v>
      </c>
      <c r="C45" s="661">
        <v>11</v>
      </c>
      <c r="D45" s="662">
        <v>11</v>
      </c>
      <c r="E45" s="662">
        <v>11</v>
      </c>
      <c r="F45" s="662">
        <v>11</v>
      </c>
      <c r="G45" s="662">
        <v>11</v>
      </c>
      <c r="H45" s="661">
        <v>11</v>
      </c>
      <c r="I45" s="666">
        <v>11</v>
      </c>
      <c r="J45" s="669" t="s">
        <v>293</v>
      </c>
      <c r="K45" s="661">
        <v>11</v>
      </c>
      <c r="L45" s="661">
        <v>11</v>
      </c>
      <c r="M45" s="661">
        <v>11</v>
      </c>
      <c r="N45" s="667" t="s">
        <v>293</v>
      </c>
      <c r="O45" s="663">
        <v>12</v>
      </c>
      <c r="P45" s="663">
        <v>15</v>
      </c>
      <c r="Q45" s="663">
        <v>15</v>
      </c>
      <c r="R45" s="662">
        <v>15</v>
      </c>
      <c r="S45" s="663">
        <v>15</v>
      </c>
      <c r="T45" s="663">
        <v>15</v>
      </c>
      <c r="U45" s="663">
        <v>7.4</v>
      </c>
      <c r="V45" s="663">
        <v>7.4</v>
      </c>
      <c r="W45" s="669" t="s">
        <v>293</v>
      </c>
      <c r="X45" s="669" t="s">
        <v>293</v>
      </c>
      <c r="Y45" s="669" t="s">
        <v>293</v>
      </c>
      <c r="Z45" s="661">
        <v>11</v>
      </c>
      <c r="AA45" s="662">
        <v>11</v>
      </c>
    </row>
    <row r="46" spans="1:27" ht="12.75">
      <c r="A46" s="661" t="s">
        <v>286</v>
      </c>
      <c r="B46" s="667" t="s">
        <v>293</v>
      </c>
      <c r="C46" s="667" t="s">
        <v>293</v>
      </c>
      <c r="D46" s="668" t="s">
        <v>293</v>
      </c>
      <c r="E46" s="668" t="s">
        <v>293</v>
      </c>
      <c r="F46" s="668" t="s">
        <v>293</v>
      </c>
      <c r="G46" s="668" t="s">
        <v>293</v>
      </c>
      <c r="H46" s="667" t="s">
        <v>293</v>
      </c>
      <c r="I46" s="667" t="s">
        <v>293</v>
      </c>
      <c r="J46" s="666">
        <v>1</v>
      </c>
      <c r="K46" s="667" t="s">
        <v>293</v>
      </c>
      <c r="L46" s="667" t="s">
        <v>293</v>
      </c>
      <c r="M46" s="667" t="s">
        <v>293</v>
      </c>
      <c r="N46" s="704">
        <v>1</v>
      </c>
      <c r="O46" s="669" t="s">
        <v>293</v>
      </c>
      <c r="P46" s="669" t="s">
        <v>293</v>
      </c>
      <c r="Q46" s="669" t="s">
        <v>293</v>
      </c>
      <c r="R46" s="668" t="s">
        <v>293</v>
      </c>
      <c r="S46" s="669" t="s">
        <v>293</v>
      </c>
      <c r="T46" s="669" t="s">
        <v>293</v>
      </c>
      <c r="U46" s="669" t="s">
        <v>293</v>
      </c>
      <c r="V46" s="669" t="s">
        <v>293</v>
      </c>
      <c r="W46" s="666">
        <v>1</v>
      </c>
      <c r="X46" s="666">
        <v>1</v>
      </c>
      <c r="Y46" s="666">
        <v>1</v>
      </c>
      <c r="Z46" s="667" t="s">
        <v>293</v>
      </c>
      <c r="AA46" s="668" t="s">
        <v>293</v>
      </c>
    </row>
    <row r="47" spans="1:27" ht="12.75">
      <c r="A47" s="705" t="s">
        <v>287</v>
      </c>
      <c r="B47" s="704">
        <v>6</v>
      </c>
      <c r="C47" s="704">
        <v>6</v>
      </c>
      <c r="D47" s="662">
        <v>6</v>
      </c>
      <c r="E47" s="662">
        <v>6</v>
      </c>
      <c r="F47" s="662">
        <v>6</v>
      </c>
      <c r="G47" s="662">
        <v>6</v>
      </c>
      <c r="H47" s="704">
        <v>6</v>
      </c>
      <c r="I47" s="666">
        <v>6</v>
      </c>
      <c r="J47" s="665">
        <v>6</v>
      </c>
      <c r="K47" s="704">
        <v>6</v>
      </c>
      <c r="L47" s="704">
        <v>6</v>
      </c>
      <c r="M47" s="704">
        <v>6</v>
      </c>
      <c r="N47" s="704">
        <v>6</v>
      </c>
      <c r="O47" s="666">
        <v>4</v>
      </c>
      <c r="P47" s="666">
        <v>8</v>
      </c>
      <c r="Q47" s="666">
        <v>9</v>
      </c>
      <c r="R47" s="662">
        <v>9</v>
      </c>
      <c r="S47" s="666">
        <v>9</v>
      </c>
      <c r="T47" s="666">
        <v>9</v>
      </c>
      <c r="U47" s="666">
        <v>3</v>
      </c>
      <c r="V47" s="666">
        <v>3</v>
      </c>
      <c r="W47" s="666">
        <v>6</v>
      </c>
      <c r="X47" s="666">
        <v>6</v>
      </c>
      <c r="Y47" s="704">
        <v>6</v>
      </c>
      <c r="Z47" s="704">
        <v>6</v>
      </c>
      <c r="AA47" s="662">
        <v>6</v>
      </c>
    </row>
    <row r="48" spans="1:27" ht="12.75">
      <c r="A48" s="661" t="s">
        <v>601</v>
      </c>
      <c r="B48" s="667" t="s">
        <v>328</v>
      </c>
      <c r="C48" s="667" t="s">
        <v>324</v>
      </c>
      <c r="D48" s="668" t="s">
        <v>328</v>
      </c>
      <c r="E48" s="668" t="s">
        <v>328</v>
      </c>
      <c r="F48" s="668" t="s">
        <v>328</v>
      </c>
      <c r="G48" s="667" t="s">
        <v>324</v>
      </c>
      <c r="H48" s="667" t="s">
        <v>324</v>
      </c>
      <c r="I48" s="669" t="s">
        <v>324</v>
      </c>
      <c r="J48" s="669" t="s">
        <v>328</v>
      </c>
      <c r="K48" s="667" t="s">
        <v>324</v>
      </c>
      <c r="L48" s="667" t="s">
        <v>324</v>
      </c>
      <c r="M48" s="667" t="s">
        <v>324</v>
      </c>
      <c r="N48" s="667" t="s">
        <v>328</v>
      </c>
      <c r="O48" s="667" t="s">
        <v>324</v>
      </c>
      <c r="P48" s="667" t="s">
        <v>324</v>
      </c>
      <c r="Q48" s="669" t="s">
        <v>328</v>
      </c>
      <c r="R48" s="668" t="s">
        <v>328</v>
      </c>
      <c r="S48" s="669" t="s">
        <v>328</v>
      </c>
      <c r="T48" s="670" t="s">
        <v>328</v>
      </c>
      <c r="U48" s="667" t="s">
        <v>324</v>
      </c>
      <c r="V48" s="667" t="s">
        <v>324</v>
      </c>
      <c r="W48" s="669" t="s">
        <v>328</v>
      </c>
      <c r="X48" s="669" t="s">
        <v>328</v>
      </c>
      <c r="Y48" s="667" t="s">
        <v>328</v>
      </c>
      <c r="Z48" s="667" t="s">
        <v>324</v>
      </c>
      <c r="AA48" s="668" t="s">
        <v>328</v>
      </c>
    </row>
    <row r="49" spans="1:27" ht="27" customHeight="1">
      <c r="A49" s="661" t="s">
        <v>602</v>
      </c>
      <c r="B49" s="667" t="s">
        <v>348</v>
      </c>
      <c r="C49" s="667" t="s">
        <v>293</v>
      </c>
      <c r="D49" s="668" t="s">
        <v>348</v>
      </c>
      <c r="E49" s="668" t="s">
        <v>348</v>
      </c>
      <c r="F49" s="668" t="s">
        <v>348</v>
      </c>
      <c r="G49" s="667" t="s">
        <v>293</v>
      </c>
      <c r="H49" s="667" t="s">
        <v>293</v>
      </c>
      <c r="I49" s="667" t="s">
        <v>293</v>
      </c>
      <c r="J49" s="669" t="s">
        <v>354</v>
      </c>
      <c r="K49" s="667" t="s">
        <v>293</v>
      </c>
      <c r="L49" s="667" t="s">
        <v>293</v>
      </c>
      <c r="M49" s="667" t="s">
        <v>293</v>
      </c>
      <c r="N49" s="706" t="s">
        <v>367</v>
      </c>
      <c r="O49" s="667" t="s">
        <v>293</v>
      </c>
      <c r="P49" s="667" t="s">
        <v>293</v>
      </c>
      <c r="Q49" s="669" t="s">
        <v>354</v>
      </c>
      <c r="R49" s="668" t="s">
        <v>354</v>
      </c>
      <c r="S49" s="669" t="s">
        <v>354</v>
      </c>
      <c r="T49" s="669" t="s">
        <v>354</v>
      </c>
      <c r="U49" s="667" t="s">
        <v>293</v>
      </c>
      <c r="V49" s="667" t="s">
        <v>293</v>
      </c>
      <c r="W49" s="669" t="s">
        <v>354</v>
      </c>
      <c r="X49" s="669" t="s">
        <v>354</v>
      </c>
      <c r="Y49" s="667" t="s">
        <v>354</v>
      </c>
      <c r="Z49" s="667" t="s">
        <v>293</v>
      </c>
      <c r="AA49" s="668" t="s">
        <v>348</v>
      </c>
    </row>
    <row r="50" spans="1:27" ht="12.75">
      <c r="A50" s="661" t="s">
        <v>603</v>
      </c>
      <c r="B50" s="667" t="s">
        <v>293</v>
      </c>
      <c r="C50" s="667" t="s">
        <v>293</v>
      </c>
      <c r="D50" s="668" t="s">
        <v>293</v>
      </c>
      <c r="E50" s="668" t="s">
        <v>293</v>
      </c>
      <c r="F50" s="668" t="s">
        <v>293</v>
      </c>
      <c r="G50" s="667" t="s">
        <v>293</v>
      </c>
      <c r="H50" s="667" t="s">
        <v>293</v>
      </c>
      <c r="I50" s="667" t="s">
        <v>293</v>
      </c>
      <c r="J50" s="663">
        <v>0.75</v>
      </c>
      <c r="K50" s="667" t="s">
        <v>293</v>
      </c>
      <c r="L50" s="667" t="s">
        <v>293</v>
      </c>
      <c r="M50" s="667" t="s">
        <v>293</v>
      </c>
      <c r="N50" s="704">
        <v>1.2</v>
      </c>
      <c r="O50" s="667" t="s">
        <v>293</v>
      </c>
      <c r="P50" s="667" t="s">
        <v>293</v>
      </c>
      <c r="Q50" s="663">
        <v>1.33</v>
      </c>
      <c r="R50" s="662">
        <v>1.33</v>
      </c>
      <c r="S50" s="663">
        <v>1.33</v>
      </c>
      <c r="T50" s="663">
        <v>1.33</v>
      </c>
      <c r="U50" s="667" t="s">
        <v>293</v>
      </c>
      <c r="V50" s="667" t="s">
        <v>293</v>
      </c>
      <c r="W50" s="663">
        <v>0.75</v>
      </c>
      <c r="X50" s="663">
        <v>0.75</v>
      </c>
      <c r="Y50" s="663">
        <v>0.75</v>
      </c>
      <c r="Z50" s="667" t="s">
        <v>293</v>
      </c>
      <c r="AA50" s="668" t="s">
        <v>293</v>
      </c>
    </row>
    <row r="51" spans="1:27" ht="15" customHeight="1">
      <c r="A51" s="661" t="s">
        <v>604</v>
      </c>
      <c r="B51" s="667" t="s">
        <v>293</v>
      </c>
      <c r="C51" s="667" t="s">
        <v>293</v>
      </c>
      <c r="D51" s="662">
        <v>0.1</v>
      </c>
      <c r="E51" s="662">
        <v>0.1</v>
      </c>
      <c r="F51" s="662">
        <v>0.1</v>
      </c>
      <c r="G51" s="667" t="s">
        <v>293</v>
      </c>
      <c r="H51" s="667" t="s">
        <v>293</v>
      </c>
      <c r="I51" s="667" t="s">
        <v>293</v>
      </c>
      <c r="J51" s="667" t="s">
        <v>293</v>
      </c>
      <c r="K51" s="667" t="s">
        <v>293</v>
      </c>
      <c r="L51" s="667" t="s">
        <v>293</v>
      </c>
      <c r="M51" s="667" t="s">
        <v>293</v>
      </c>
      <c r="N51" s="667" t="s">
        <v>293</v>
      </c>
      <c r="O51" s="667" t="s">
        <v>293</v>
      </c>
      <c r="P51" s="667" t="s">
        <v>293</v>
      </c>
      <c r="Q51" s="667" t="s">
        <v>293</v>
      </c>
      <c r="R51" s="668" t="s">
        <v>293</v>
      </c>
      <c r="S51" s="667" t="s">
        <v>293</v>
      </c>
      <c r="T51" s="667" t="s">
        <v>293</v>
      </c>
      <c r="U51" s="667" t="s">
        <v>293</v>
      </c>
      <c r="V51" s="667" t="s">
        <v>293</v>
      </c>
      <c r="W51" s="667" t="s">
        <v>293</v>
      </c>
      <c r="X51" s="667" t="s">
        <v>293</v>
      </c>
      <c r="Y51" s="667" t="s">
        <v>293</v>
      </c>
      <c r="Z51" s="667" t="s">
        <v>293</v>
      </c>
      <c r="AA51" s="662">
        <v>0.1</v>
      </c>
    </row>
    <row r="52" spans="1:27" ht="16.5" customHeight="1">
      <c r="A52" s="661" t="s">
        <v>605</v>
      </c>
      <c r="B52" s="667" t="s">
        <v>293</v>
      </c>
      <c r="C52" s="667" t="s">
        <v>293</v>
      </c>
      <c r="D52" s="662">
        <v>0.02</v>
      </c>
      <c r="E52" s="662">
        <v>0.02</v>
      </c>
      <c r="F52" s="662">
        <v>0.02</v>
      </c>
      <c r="G52" s="667" t="s">
        <v>293</v>
      </c>
      <c r="H52" s="667" t="s">
        <v>293</v>
      </c>
      <c r="I52" s="667" t="s">
        <v>293</v>
      </c>
      <c r="J52" s="667" t="s">
        <v>293</v>
      </c>
      <c r="K52" s="667" t="s">
        <v>293</v>
      </c>
      <c r="L52" s="667" t="s">
        <v>293</v>
      </c>
      <c r="M52" s="667" t="s">
        <v>293</v>
      </c>
      <c r="N52" s="667" t="s">
        <v>293</v>
      </c>
      <c r="O52" s="667" t="s">
        <v>293</v>
      </c>
      <c r="P52" s="667" t="s">
        <v>293</v>
      </c>
      <c r="Q52" s="667" t="s">
        <v>293</v>
      </c>
      <c r="R52" s="668" t="s">
        <v>293</v>
      </c>
      <c r="S52" s="667" t="s">
        <v>293</v>
      </c>
      <c r="T52" s="667" t="s">
        <v>293</v>
      </c>
      <c r="U52" s="667" t="s">
        <v>293</v>
      </c>
      <c r="V52" s="667" t="s">
        <v>293</v>
      </c>
      <c r="W52" s="667" t="s">
        <v>293</v>
      </c>
      <c r="X52" s="667" t="s">
        <v>293</v>
      </c>
      <c r="Y52" s="667" t="s">
        <v>293</v>
      </c>
      <c r="Z52" s="667" t="s">
        <v>293</v>
      </c>
      <c r="AA52" s="662">
        <v>0.02</v>
      </c>
    </row>
    <row r="53" spans="1:27" ht="12.75">
      <c r="A53" s="661" t="s">
        <v>606</v>
      </c>
      <c r="B53" s="704">
        <v>3</v>
      </c>
      <c r="C53" s="704">
        <v>3</v>
      </c>
      <c r="D53" s="662">
        <v>3</v>
      </c>
      <c r="E53" s="662">
        <v>3</v>
      </c>
      <c r="F53" s="662">
        <v>3</v>
      </c>
      <c r="G53" s="704">
        <v>3</v>
      </c>
      <c r="H53" s="704">
        <v>3</v>
      </c>
      <c r="I53" s="666">
        <v>3</v>
      </c>
      <c r="J53" s="665">
        <v>3</v>
      </c>
      <c r="K53" s="704">
        <v>3</v>
      </c>
      <c r="L53" s="704">
        <v>3</v>
      </c>
      <c r="M53" s="704">
        <v>3</v>
      </c>
      <c r="N53" s="704">
        <v>3</v>
      </c>
      <c r="O53" s="666">
        <v>3</v>
      </c>
      <c r="P53" s="666">
        <v>3</v>
      </c>
      <c r="Q53" s="666">
        <v>3</v>
      </c>
      <c r="R53" s="662">
        <v>3</v>
      </c>
      <c r="S53" s="666">
        <v>3</v>
      </c>
      <c r="T53" s="664">
        <v>3</v>
      </c>
      <c r="U53" s="666">
        <v>3</v>
      </c>
      <c r="V53" s="666">
        <v>3</v>
      </c>
      <c r="W53" s="666">
        <v>3</v>
      </c>
      <c r="X53" s="666">
        <v>3</v>
      </c>
      <c r="Y53" s="704">
        <v>3</v>
      </c>
      <c r="Z53" s="704">
        <v>3</v>
      </c>
      <c r="AA53" s="662">
        <v>3</v>
      </c>
    </row>
    <row r="54" spans="1:27" ht="12.75">
      <c r="A54" s="661" t="s">
        <v>289</v>
      </c>
      <c r="B54" s="667" t="s">
        <v>328</v>
      </c>
      <c r="C54" s="667" t="s">
        <v>328</v>
      </c>
      <c r="D54" s="668" t="s">
        <v>328</v>
      </c>
      <c r="E54" s="668" t="s">
        <v>328</v>
      </c>
      <c r="F54" s="668" t="s">
        <v>328</v>
      </c>
      <c r="G54" s="667" t="s">
        <v>328</v>
      </c>
      <c r="H54" s="667" t="s">
        <v>328</v>
      </c>
      <c r="I54" s="669" t="s">
        <v>328</v>
      </c>
      <c r="J54" s="602" t="s">
        <v>328</v>
      </c>
      <c r="K54" s="667" t="s">
        <v>328</v>
      </c>
      <c r="L54" s="667" t="s">
        <v>328</v>
      </c>
      <c r="M54" s="667" t="s">
        <v>328</v>
      </c>
      <c r="N54" s="667" t="s">
        <v>328</v>
      </c>
      <c r="O54" s="669" t="s">
        <v>328</v>
      </c>
      <c r="P54" s="669" t="s">
        <v>328</v>
      </c>
      <c r="Q54" s="669" t="s">
        <v>328</v>
      </c>
      <c r="R54" s="668" t="s">
        <v>328</v>
      </c>
      <c r="S54" s="667" t="s">
        <v>328</v>
      </c>
      <c r="T54" s="670" t="s">
        <v>328</v>
      </c>
      <c r="U54" s="669" t="s">
        <v>328</v>
      </c>
      <c r="V54" s="669" t="s">
        <v>328</v>
      </c>
      <c r="W54" s="669" t="s">
        <v>328</v>
      </c>
      <c r="X54" s="669" t="s">
        <v>328</v>
      </c>
      <c r="Y54" s="667" t="s">
        <v>328</v>
      </c>
      <c r="Z54" s="667" t="s">
        <v>328</v>
      </c>
      <c r="AA54" s="668" t="s">
        <v>328</v>
      </c>
    </row>
    <row r="55" spans="1:27" ht="28.5" customHeight="1">
      <c r="A55" s="682" t="s">
        <v>607</v>
      </c>
      <c r="B55" s="666">
        <v>4</v>
      </c>
      <c r="C55" s="666">
        <v>4</v>
      </c>
      <c r="D55" s="662">
        <v>4</v>
      </c>
      <c r="E55" s="662">
        <v>4</v>
      </c>
      <c r="F55" s="662">
        <v>4</v>
      </c>
      <c r="G55" s="666">
        <v>4</v>
      </c>
      <c r="H55" s="666">
        <v>4</v>
      </c>
      <c r="I55" s="666">
        <v>4</v>
      </c>
      <c r="J55" s="665">
        <v>4</v>
      </c>
      <c r="K55" s="666">
        <v>4</v>
      </c>
      <c r="L55" s="666">
        <v>4</v>
      </c>
      <c r="M55" s="666">
        <v>4</v>
      </c>
      <c r="N55" s="666">
        <v>4</v>
      </c>
      <c r="O55" s="704">
        <v>4</v>
      </c>
      <c r="P55" s="704">
        <v>4</v>
      </c>
      <c r="Q55" s="704">
        <v>4</v>
      </c>
      <c r="R55" s="662">
        <v>4</v>
      </c>
      <c r="S55" s="704">
        <v>4</v>
      </c>
      <c r="T55" s="664">
        <v>4</v>
      </c>
      <c r="U55" s="666">
        <v>4</v>
      </c>
      <c r="V55" s="666">
        <v>4</v>
      </c>
      <c r="W55" s="666">
        <v>4</v>
      </c>
      <c r="X55" s="666">
        <v>4</v>
      </c>
      <c r="Y55" s="666">
        <v>4</v>
      </c>
      <c r="Z55" s="666">
        <v>4</v>
      </c>
      <c r="AA55" s="662">
        <v>4</v>
      </c>
    </row>
    <row r="56" spans="1:27" ht="12.75">
      <c r="A56" s="682" t="s">
        <v>608</v>
      </c>
      <c r="B56" s="666">
        <v>1800</v>
      </c>
      <c r="C56" s="666">
        <v>1800</v>
      </c>
      <c r="D56" s="662">
        <v>1800</v>
      </c>
      <c r="E56" s="662">
        <v>1800</v>
      </c>
      <c r="F56" s="662">
        <v>1800</v>
      </c>
      <c r="G56" s="666">
        <v>1800</v>
      </c>
      <c r="H56" s="666">
        <v>1800</v>
      </c>
      <c r="I56" s="666">
        <v>1800</v>
      </c>
      <c r="J56" s="665">
        <v>1800</v>
      </c>
      <c r="K56" s="666">
        <v>1800</v>
      </c>
      <c r="L56" s="666">
        <v>1800</v>
      </c>
      <c r="M56" s="666">
        <v>1800</v>
      </c>
      <c r="N56" s="666">
        <v>1800</v>
      </c>
      <c r="O56" s="704">
        <v>1800</v>
      </c>
      <c r="P56" s="704">
        <v>1800</v>
      </c>
      <c r="Q56" s="704">
        <v>1800</v>
      </c>
      <c r="R56" s="662">
        <v>1800</v>
      </c>
      <c r="S56" s="704">
        <v>1800</v>
      </c>
      <c r="T56" s="664">
        <v>1800</v>
      </c>
      <c r="U56" s="666">
        <v>1800</v>
      </c>
      <c r="V56" s="666">
        <v>1800</v>
      </c>
      <c r="W56" s="666">
        <v>1800</v>
      </c>
      <c r="X56" s="666">
        <v>1800</v>
      </c>
      <c r="Y56" s="666">
        <v>1800</v>
      </c>
      <c r="Z56" s="666">
        <v>1800</v>
      </c>
      <c r="AA56" s="662">
        <v>1800</v>
      </c>
    </row>
    <row r="57" spans="1:27" ht="12.75">
      <c r="A57" s="661" t="s">
        <v>609</v>
      </c>
      <c r="B57" s="666">
        <v>2.0999999999999999E-3</v>
      </c>
      <c r="C57" s="666">
        <v>2E-3</v>
      </c>
      <c r="D57" s="662">
        <v>2E-3</v>
      </c>
      <c r="E57" s="662">
        <v>2E-3</v>
      </c>
      <c r="F57" s="662">
        <v>2E-3</v>
      </c>
      <c r="G57" s="666">
        <v>2.5000000000000001E-3</v>
      </c>
      <c r="H57" s="666">
        <v>1.6000000000000001E-3</v>
      </c>
      <c r="I57" s="666">
        <v>4.4999999999999997E-3</v>
      </c>
      <c r="J57" s="665">
        <v>2.0999999999999999E-3</v>
      </c>
      <c r="K57" s="666">
        <v>3.5000000000000001E-3</v>
      </c>
      <c r="L57" s="666">
        <v>2.0999999999999999E-3</v>
      </c>
      <c r="M57" s="666">
        <v>3.5000000000000001E-3</v>
      </c>
      <c r="N57" s="666">
        <v>3.5999999999999999E-3</v>
      </c>
      <c r="O57" s="704">
        <v>3.5000000000000001E-3</v>
      </c>
      <c r="P57" s="704">
        <v>2.5000000000000001E-3</v>
      </c>
      <c r="Q57" s="704">
        <v>4.0000000000000001E-3</v>
      </c>
      <c r="R57" s="662">
        <v>4.0000000000000001E-3</v>
      </c>
      <c r="S57" s="704">
        <v>6.0000000000000001E-3</v>
      </c>
      <c r="T57" s="664">
        <v>6.0000000000000001E-3</v>
      </c>
      <c r="U57" s="666">
        <v>1.5E-3</v>
      </c>
      <c r="V57" s="666">
        <v>1.5E-3</v>
      </c>
      <c r="W57" s="666" t="s">
        <v>610</v>
      </c>
      <c r="X57" s="666" t="s">
        <v>610</v>
      </c>
      <c r="Y57" s="666">
        <v>1.6000000000000001E-3</v>
      </c>
      <c r="Z57" s="666">
        <v>2E-3</v>
      </c>
      <c r="AA57" s="662">
        <v>2E-3</v>
      </c>
    </row>
    <row r="58" spans="1:27" ht="12.75">
      <c r="A58" s="661" t="s">
        <v>611</v>
      </c>
      <c r="B58" s="666">
        <v>4.0099999999999997E-2</v>
      </c>
      <c r="C58" s="666">
        <v>3.61E-2</v>
      </c>
      <c r="D58" s="662">
        <v>3.61E-2</v>
      </c>
      <c r="E58" s="662">
        <v>3.61E-2</v>
      </c>
      <c r="F58" s="662">
        <v>3.61E-2</v>
      </c>
      <c r="G58" s="666">
        <v>4.0599999999999997E-2</v>
      </c>
      <c r="H58" s="666">
        <v>3.0099999999999998E-2</v>
      </c>
      <c r="I58" s="666">
        <v>4.6600000000000003E-2</v>
      </c>
      <c r="J58" s="665">
        <v>3.3599999999999998E-2</v>
      </c>
      <c r="K58" s="666">
        <v>3.4599999999999999E-2</v>
      </c>
      <c r="L58" s="666">
        <v>3.7600000000000001E-2</v>
      </c>
      <c r="M58" s="666">
        <v>3.4599999999999999E-2</v>
      </c>
      <c r="N58" s="666">
        <v>3.4099999999999998E-2</v>
      </c>
      <c r="O58" s="666">
        <v>3.4599999999999999E-2</v>
      </c>
      <c r="P58" s="704">
        <v>2.3599999999999999E-2</v>
      </c>
      <c r="Q58" s="704">
        <v>3.0099999999999998E-2</v>
      </c>
      <c r="R58" s="662">
        <v>3.0099999999999998E-2</v>
      </c>
      <c r="S58" s="704">
        <v>3.1099999999999999E-2</v>
      </c>
      <c r="T58" s="664">
        <v>3.1099999999999999E-2</v>
      </c>
      <c r="U58" s="666">
        <v>4.9599999999999998E-2</v>
      </c>
      <c r="V58" s="666">
        <v>4.9599999999999998E-2</v>
      </c>
      <c r="W58" s="666" t="s">
        <v>612</v>
      </c>
      <c r="X58" s="666" t="s">
        <v>612</v>
      </c>
      <c r="Y58" s="666">
        <v>3.4099999999999998E-2</v>
      </c>
      <c r="Z58" s="666">
        <v>3.61E-2</v>
      </c>
      <c r="AA58" s="662">
        <v>3.61E-2</v>
      </c>
    </row>
    <row r="59" spans="1:27" ht="12.75">
      <c r="A59" s="661" t="s">
        <v>613</v>
      </c>
      <c r="B59" s="666">
        <v>1</v>
      </c>
      <c r="C59" s="666">
        <v>1</v>
      </c>
      <c r="D59" s="662">
        <v>1</v>
      </c>
      <c r="E59" s="662">
        <v>1</v>
      </c>
      <c r="F59" s="662">
        <v>1</v>
      </c>
      <c r="G59" s="666">
        <v>1</v>
      </c>
      <c r="H59" s="666">
        <v>1</v>
      </c>
      <c r="I59" s="666">
        <v>1</v>
      </c>
      <c r="J59" s="665">
        <v>1</v>
      </c>
      <c r="K59" s="666">
        <v>1</v>
      </c>
      <c r="L59" s="666">
        <v>1</v>
      </c>
      <c r="M59" s="666">
        <v>1</v>
      </c>
      <c r="N59" s="666">
        <v>1</v>
      </c>
      <c r="O59" s="666">
        <v>1</v>
      </c>
      <c r="P59" s="666">
        <v>1</v>
      </c>
      <c r="Q59" s="666">
        <v>1</v>
      </c>
      <c r="R59" s="662">
        <v>1</v>
      </c>
      <c r="S59" s="666">
        <v>1</v>
      </c>
      <c r="T59" s="664">
        <v>1</v>
      </c>
      <c r="U59" s="666">
        <v>1</v>
      </c>
      <c r="V59" s="666">
        <v>1</v>
      </c>
      <c r="W59" s="666" t="s">
        <v>614</v>
      </c>
      <c r="X59" s="666" t="s">
        <v>614</v>
      </c>
      <c r="Y59" s="666">
        <v>1</v>
      </c>
      <c r="Z59" s="666">
        <v>1</v>
      </c>
      <c r="AA59" s="662">
        <v>1</v>
      </c>
    </row>
    <row r="60" spans="1:27" ht="12.75">
      <c r="A60" s="661" t="s">
        <v>615</v>
      </c>
      <c r="B60" s="666">
        <v>8.0000000000000004E-4</v>
      </c>
      <c r="C60" s="666">
        <v>5.9999999999999995E-4</v>
      </c>
      <c r="D60" s="662">
        <v>5.9999999999999995E-4</v>
      </c>
      <c r="E60" s="662">
        <v>5.9999999999999995E-4</v>
      </c>
      <c r="F60" s="662">
        <v>5.9999999999999995E-4</v>
      </c>
      <c r="G60" s="666">
        <v>5.9999999999999995E-4</v>
      </c>
      <c r="H60" s="666">
        <v>5.0000000000000001E-4</v>
      </c>
      <c r="I60" s="666">
        <v>8.9999999999999998E-4</v>
      </c>
      <c r="J60" s="665">
        <v>5.0000000000000001E-4</v>
      </c>
      <c r="K60" s="666">
        <v>6.9999999999999999E-4</v>
      </c>
      <c r="L60" s="666">
        <v>5.9999999999999995E-4</v>
      </c>
      <c r="M60" s="666">
        <v>6.9999999999999999E-4</v>
      </c>
      <c r="N60" s="666">
        <v>6.9999999999999999E-4</v>
      </c>
      <c r="O60" s="704">
        <v>1E-3</v>
      </c>
      <c r="P60" s="666">
        <v>5.9999999999999995E-4</v>
      </c>
      <c r="Q60" s="666">
        <v>1.1999999999999999E-3</v>
      </c>
      <c r="R60" s="662">
        <v>1.1999999999999999E-3</v>
      </c>
      <c r="S60" s="666">
        <v>1.2999999999999999E-3</v>
      </c>
      <c r="T60" s="664">
        <v>1.2999999999999999E-3</v>
      </c>
      <c r="U60" s="666">
        <v>5.0000000000000001E-4</v>
      </c>
      <c r="V60" s="666">
        <v>5.0000000000000001E-4</v>
      </c>
      <c r="W60" s="666" t="s">
        <v>616</v>
      </c>
      <c r="X60" s="666" t="s">
        <v>616</v>
      </c>
      <c r="Y60" s="666">
        <v>5.0000000000000001E-4</v>
      </c>
      <c r="Z60" s="666">
        <v>5.9999999999999995E-4</v>
      </c>
      <c r="AA60" s="662">
        <v>5.9999999999999995E-4</v>
      </c>
    </row>
    <row r="61" spans="1:27" ht="24" customHeight="1">
      <c r="A61" s="707" t="s">
        <v>617</v>
      </c>
      <c r="B61" s="708"/>
      <c r="C61" s="708"/>
      <c r="D61" s="709"/>
      <c r="E61" s="709"/>
      <c r="F61" s="709"/>
      <c r="G61" s="708"/>
      <c r="H61" s="708"/>
      <c r="I61" s="708"/>
      <c r="J61" s="710"/>
      <c r="K61" s="708"/>
      <c r="L61" s="708"/>
      <c r="M61" s="708"/>
      <c r="N61" s="708"/>
      <c r="O61" s="708"/>
      <c r="P61" s="708"/>
      <c r="Q61" s="708"/>
      <c r="R61" s="709"/>
      <c r="S61" s="708"/>
      <c r="T61" s="709"/>
      <c r="U61" s="708"/>
      <c r="V61" s="708"/>
      <c r="W61" s="708"/>
      <c r="X61" s="708"/>
      <c r="Y61" s="708"/>
      <c r="Z61" s="708"/>
      <c r="AA61" s="709"/>
    </row>
    <row r="62" spans="1:27" ht="12.75">
      <c r="A62" s="661" t="s">
        <v>618</v>
      </c>
      <c r="B62" s="666">
        <f>90*0.278762</f>
        <v>25.08858</v>
      </c>
      <c r="C62" s="666">
        <f>90*0.25</f>
        <v>22.5</v>
      </c>
      <c r="D62" s="662">
        <f>90*0.25</f>
        <v>22.5</v>
      </c>
      <c r="E62" s="662">
        <f>90*0.25</f>
        <v>22.5</v>
      </c>
      <c r="F62" s="662">
        <f>90*0.25</f>
        <v>22.5</v>
      </c>
      <c r="G62" s="666">
        <f>90*0.18</f>
        <v>16.2</v>
      </c>
      <c r="H62" s="666">
        <f>90*0.265188</f>
        <v>23.866919999999997</v>
      </c>
      <c r="I62" s="704">
        <f>90*0.17</f>
        <v>15.3</v>
      </c>
      <c r="J62" s="665">
        <f>90*0.22</f>
        <v>19.8</v>
      </c>
      <c r="K62" s="704">
        <f>90*0.22</f>
        <v>19.8</v>
      </c>
      <c r="L62" s="704">
        <f>90*0.248</f>
        <v>22.32</v>
      </c>
      <c r="M62" s="704">
        <f>90*0.22</f>
        <v>19.8</v>
      </c>
      <c r="N62" s="704">
        <f>90*0.22</f>
        <v>19.8</v>
      </c>
      <c r="O62" s="666">
        <f>90*0.21</f>
        <v>18.899999999999999</v>
      </c>
      <c r="P62" s="666">
        <f>90*0.28</f>
        <v>25.200000000000003</v>
      </c>
      <c r="Q62" s="666">
        <f>0.32*90</f>
        <v>28.8</v>
      </c>
      <c r="R62" s="662">
        <f>0.32*90</f>
        <v>28.8</v>
      </c>
      <c r="S62" s="661">
        <f>0.32*90</f>
        <v>28.8</v>
      </c>
      <c r="T62" s="661">
        <f>0.32*90</f>
        <v>28.8</v>
      </c>
      <c r="U62" s="666">
        <f>90*0.18</f>
        <v>16.2</v>
      </c>
      <c r="V62" s="666">
        <f>90*0.18</f>
        <v>16.2</v>
      </c>
      <c r="W62" s="666">
        <f>0.25*90</f>
        <v>22.5</v>
      </c>
      <c r="X62" s="666">
        <f>0.25*90</f>
        <v>22.5</v>
      </c>
      <c r="Y62" s="704">
        <f>90*0.356</f>
        <v>32.04</v>
      </c>
      <c r="Z62" s="666">
        <f>90*0.25</f>
        <v>22.5</v>
      </c>
      <c r="AA62" s="662">
        <f>90*0.25</f>
        <v>22.5</v>
      </c>
    </row>
    <row r="63" spans="1:27" ht="12.75">
      <c r="A63" s="661" t="s">
        <v>619</v>
      </c>
      <c r="B63" s="666">
        <v>37.198900000000002</v>
      </c>
      <c r="C63" s="666">
        <v>37.5</v>
      </c>
      <c r="D63" s="662">
        <v>37.5</v>
      </c>
      <c r="E63" s="662">
        <v>37.5</v>
      </c>
      <c r="F63" s="662">
        <v>37.5</v>
      </c>
      <c r="G63" s="666">
        <v>17.600000000000001</v>
      </c>
      <c r="H63" s="666">
        <v>43.057499999999997</v>
      </c>
      <c r="I63" s="704">
        <v>31</v>
      </c>
      <c r="J63" s="665">
        <v>31</v>
      </c>
      <c r="K63" s="704">
        <v>31.2</v>
      </c>
      <c r="L63" s="704">
        <v>37.205199999999998</v>
      </c>
      <c r="M63" s="704">
        <v>31.2</v>
      </c>
      <c r="N63" s="704">
        <v>60</v>
      </c>
      <c r="O63" s="666">
        <v>15.9</v>
      </c>
      <c r="P63" s="666">
        <v>21.9</v>
      </c>
      <c r="Q63" s="666">
        <v>36.96</v>
      </c>
      <c r="R63" s="662">
        <v>36.96</v>
      </c>
      <c r="S63" s="661">
        <v>36.96</v>
      </c>
      <c r="T63" s="661">
        <v>36.96</v>
      </c>
      <c r="U63" s="666">
        <v>29.1</v>
      </c>
      <c r="V63" s="666">
        <v>29.1</v>
      </c>
      <c r="W63" s="666">
        <v>45</v>
      </c>
      <c r="X63" s="666">
        <v>45</v>
      </c>
      <c r="Y63" s="704">
        <v>27.354299999999999</v>
      </c>
      <c r="Z63" s="666">
        <v>37.5</v>
      </c>
      <c r="AA63" s="662">
        <v>37.5</v>
      </c>
    </row>
    <row r="64" spans="1:27" ht="12.75">
      <c r="A64" s="661" t="s">
        <v>620</v>
      </c>
      <c r="B64" s="670" t="s">
        <v>293</v>
      </c>
      <c r="C64" s="670" t="s">
        <v>293</v>
      </c>
      <c r="D64" s="670" t="s">
        <v>293</v>
      </c>
      <c r="E64" s="670" t="s">
        <v>293</v>
      </c>
      <c r="F64" s="670" t="s">
        <v>293</v>
      </c>
      <c r="G64" s="670" t="s">
        <v>293</v>
      </c>
      <c r="H64" s="670" t="s">
        <v>293</v>
      </c>
      <c r="I64" s="670" t="s">
        <v>293</v>
      </c>
      <c r="J64" s="670" t="s">
        <v>293</v>
      </c>
      <c r="K64" s="670" t="s">
        <v>293</v>
      </c>
      <c r="L64" s="670" t="s">
        <v>293</v>
      </c>
      <c r="M64" s="670" t="s">
        <v>293</v>
      </c>
      <c r="N64" s="670" t="s">
        <v>293</v>
      </c>
      <c r="O64" s="670" t="s">
        <v>293</v>
      </c>
      <c r="P64" s="670" t="s">
        <v>293</v>
      </c>
      <c r="Q64" s="670" t="s">
        <v>293</v>
      </c>
      <c r="R64" s="670" t="s">
        <v>293</v>
      </c>
      <c r="S64" s="670" t="s">
        <v>293</v>
      </c>
      <c r="T64" s="670" t="s">
        <v>293</v>
      </c>
      <c r="U64" s="670" t="s">
        <v>293</v>
      </c>
      <c r="V64" s="670" t="s">
        <v>293</v>
      </c>
      <c r="W64" s="666">
        <v>40</v>
      </c>
      <c r="X64" s="666">
        <v>40</v>
      </c>
      <c r="Y64" s="670" t="s">
        <v>293</v>
      </c>
      <c r="Z64" s="670" t="s">
        <v>293</v>
      </c>
      <c r="AA64" s="670" t="s">
        <v>293</v>
      </c>
    </row>
    <row r="65" spans="1:27" ht="12.75">
      <c r="A65" s="661" t="s">
        <v>621</v>
      </c>
      <c r="B65" s="666">
        <v>1.3</v>
      </c>
      <c r="C65" s="666">
        <v>1.4</v>
      </c>
      <c r="D65" s="662">
        <v>1.4</v>
      </c>
      <c r="E65" s="662">
        <v>1.4</v>
      </c>
      <c r="F65" s="662">
        <v>1.4</v>
      </c>
      <c r="G65" s="666">
        <v>1.4</v>
      </c>
      <c r="H65" s="666">
        <v>1.4</v>
      </c>
      <c r="I65" s="704">
        <v>1.4</v>
      </c>
      <c r="J65" s="665">
        <v>1.4</v>
      </c>
      <c r="K65" s="704">
        <v>1.4</v>
      </c>
      <c r="L65" s="704">
        <v>1.4</v>
      </c>
      <c r="M65" s="704">
        <v>1.4</v>
      </c>
      <c r="N65" s="704">
        <v>1.45</v>
      </c>
      <c r="O65" s="666">
        <v>1.35</v>
      </c>
      <c r="P65" s="666">
        <v>1.35</v>
      </c>
      <c r="Q65" s="666">
        <v>1.4</v>
      </c>
      <c r="R65" s="662">
        <v>1.4</v>
      </c>
      <c r="S65" s="666">
        <v>1.4</v>
      </c>
      <c r="T65" s="664">
        <v>1.4</v>
      </c>
      <c r="U65" s="666">
        <v>1.25</v>
      </c>
      <c r="V65" s="666">
        <v>1.25</v>
      </c>
      <c r="W65" s="666">
        <v>1.4</v>
      </c>
      <c r="X65" s="666">
        <v>1.4</v>
      </c>
      <c r="Y65" s="704">
        <v>1.45</v>
      </c>
      <c r="Z65" s="666">
        <v>1.4</v>
      </c>
      <c r="AA65" s="662">
        <v>1.4</v>
      </c>
    </row>
    <row r="66" spans="1:27" ht="12.75">
      <c r="A66" s="661" t="s">
        <v>622</v>
      </c>
      <c r="B66" s="669" t="s">
        <v>293</v>
      </c>
      <c r="C66" s="669" t="s">
        <v>293</v>
      </c>
      <c r="D66" s="668" t="s">
        <v>293</v>
      </c>
      <c r="E66" s="668" t="s">
        <v>293</v>
      </c>
      <c r="F66" s="668" t="s">
        <v>293</v>
      </c>
      <c r="G66" s="669" t="s">
        <v>293</v>
      </c>
      <c r="H66" s="669" t="s">
        <v>293</v>
      </c>
      <c r="I66" s="669" t="s">
        <v>293</v>
      </c>
      <c r="J66" s="602" t="s">
        <v>293</v>
      </c>
      <c r="K66" s="669" t="s">
        <v>293</v>
      </c>
      <c r="L66" s="669" t="s">
        <v>293</v>
      </c>
      <c r="M66" s="669" t="s">
        <v>293</v>
      </c>
      <c r="N66" s="669" t="s">
        <v>293</v>
      </c>
      <c r="O66" s="669" t="s">
        <v>293</v>
      </c>
      <c r="P66" s="669" t="s">
        <v>293</v>
      </c>
      <c r="Q66" s="669" t="s">
        <v>293</v>
      </c>
      <c r="R66" s="668" t="s">
        <v>293</v>
      </c>
      <c r="S66" s="669" t="s">
        <v>293</v>
      </c>
      <c r="T66" s="670" t="s">
        <v>293</v>
      </c>
      <c r="U66" s="669" t="s">
        <v>293</v>
      </c>
      <c r="V66" s="669" t="s">
        <v>293</v>
      </c>
      <c r="W66" s="669" t="s">
        <v>293</v>
      </c>
      <c r="X66" s="669" t="s">
        <v>293</v>
      </c>
      <c r="Y66" s="669" t="s">
        <v>293</v>
      </c>
      <c r="Z66" s="669" t="s">
        <v>293</v>
      </c>
      <c r="AA66" s="668" t="s">
        <v>293</v>
      </c>
    </row>
    <row r="67" spans="1:27" ht="12.75">
      <c r="A67" s="661" t="s">
        <v>623</v>
      </c>
      <c r="B67" s="663">
        <v>1000</v>
      </c>
      <c r="C67" s="663">
        <v>1000</v>
      </c>
      <c r="D67" s="662">
        <v>1000</v>
      </c>
      <c r="E67" s="662">
        <v>1000</v>
      </c>
      <c r="F67" s="662">
        <v>1000</v>
      </c>
      <c r="G67" s="663">
        <v>1000</v>
      </c>
      <c r="H67" s="663">
        <v>1000</v>
      </c>
      <c r="I67" s="661">
        <v>1000</v>
      </c>
      <c r="J67" s="665">
        <v>1000</v>
      </c>
      <c r="K67" s="661">
        <v>1000</v>
      </c>
      <c r="L67" s="661">
        <v>1500</v>
      </c>
      <c r="M67" s="661">
        <v>1000</v>
      </c>
      <c r="N67" s="661">
        <v>1000</v>
      </c>
      <c r="O67" s="663">
        <v>1000</v>
      </c>
      <c r="P67" s="663">
        <v>1500</v>
      </c>
      <c r="Q67" s="663">
        <v>1750</v>
      </c>
      <c r="R67" s="662">
        <v>1750</v>
      </c>
      <c r="S67" s="663">
        <v>1500</v>
      </c>
      <c r="T67" s="664">
        <v>1500</v>
      </c>
      <c r="U67" s="667" t="s">
        <v>293</v>
      </c>
      <c r="V67" s="667" t="s">
        <v>293</v>
      </c>
      <c r="W67" s="667" t="s">
        <v>293</v>
      </c>
      <c r="X67" s="667" t="s">
        <v>293</v>
      </c>
      <c r="Y67" s="667" t="s">
        <v>293</v>
      </c>
      <c r="Z67" s="663">
        <v>1000</v>
      </c>
      <c r="AA67" s="662">
        <v>1000</v>
      </c>
    </row>
    <row r="68" spans="1:27" ht="12.75">
      <c r="A68" s="661" t="s">
        <v>624</v>
      </c>
      <c r="B68" s="661">
        <v>2.5</v>
      </c>
      <c r="C68" s="661">
        <v>2.5</v>
      </c>
      <c r="D68" s="662">
        <v>2.5</v>
      </c>
      <c r="E68" s="662">
        <v>2.5</v>
      </c>
      <c r="F68" s="662">
        <v>2.5</v>
      </c>
      <c r="G68" s="661">
        <v>2.5</v>
      </c>
      <c r="H68" s="661">
        <v>3.5</v>
      </c>
      <c r="I68" s="661">
        <v>2.5</v>
      </c>
      <c r="J68" s="665">
        <v>3</v>
      </c>
      <c r="K68" s="661">
        <v>3.5</v>
      </c>
      <c r="L68" s="661">
        <v>3.5</v>
      </c>
      <c r="M68" s="661">
        <v>3.5</v>
      </c>
      <c r="N68" s="661">
        <v>4</v>
      </c>
      <c r="O68" s="663">
        <v>3</v>
      </c>
      <c r="P68" s="663">
        <v>3.5</v>
      </c>
      <c r="Q68" s="663">
        <v>5.75</v>
      </c>
      <c r="R68" s="662">
        <v>5.75</v>
      </c>
      <c r="S68" s="663">
        <v>3.5</v>
      </c>
      <c r="T68" s="664">
        <v>3.5</v>
      </c>
      <c r="U68" s="663">
        <v>2.5</v>
      </c>
      <c r="V68" s="663">
        <v>2.5</v>
      </c>
      <c r="W68" s="663">
        <v>2.5</v>
      </c>
      <c r="X68" s="663">
        <v>2.5</v>
      </c>
      <c r="Y68" s="661">
        <v>3</v>
      </c>
      <c r="Z68" s="661">
        <v>2.5</v>
      </c>
      <c r="AA68" s="662">
        <v>2.5</v>
      </c>
    </row>
    <row r="69" spans="1:27" ht="12.75">
      <c r="A69" s="661" t="s">
        <v>625</v>
      </c>
      <c r="B69" s="661">
        <v>18</v>
      </c>
      <c r="C69" s="661">
        <v>18</v>
      </c>
      <c r="D69" s="662">
        <v>18</v>
      </c>
      <c r="E69" s="662">
        <v>18</v>
      </c>
      <c r="F69" s="662">
        <v>18</v>
      </c>
      <c r="G69" s="661">
        <v>18</v>
      </c>
      <c r="H69" s="661">
        <v>18</v>
      </c>
      <c r="I69" s="661">
        <v>16</v>
      </c>
      <c r="J69" s="665">
        <v>16</v>
      </c>
      <c r="K69" s="661">
        <v>18</v>
      </c>
      <c r="L69" s="661">
        <v>28</v>
      </c>
      <c r="M69" s="661">
        <v>18</v>
      </c>
      <c r="N69" s="661">
        <v>30</v>
      </c>
      <c r="O69" s="663">
        <v>27</v>
      </c>
      <c r="P69" s="663">
        <v>50</v>
      </c>
      <c r="Q69" s="663">
        <v>100</v>
      </c>
      <c r="R69" s="662">
        <v>100</v>
      </c>
      <c r="S69" s="663">
        <v>50</v>
      </c>
      <c r="T69" s="664">
        <v>50</v>
      </c>
      <c r="U69" s="663">
        <v>10</v>
      </c>
      <c r="V69" s="663">
        <v>10</v>
      </c>
      <c r="W69" s="663">
        <v>30</v>
      </c>
      <c r="X69" s="663">
        <v>30</v>
      </c>
      <c r="Y69" s="661">
        <v>10</v>
      </c>
      <c r="Z69" s="661">
        <v>18</v>
      </c>
      <c r="AA69" s="662">
        <v>18</v>
      </c>
    </row>
    <row r="70" spans="1:27" ht="12.75">
      <c r="A70" s="661" t="s">
        <v>629</v>
      </c>
      <c r="B70" s="661">
        <v>30</v>
      </c>
      <c r="C70" s="661">
        <v>30</v>
      </c>
      <c r="D70" s="662">
        <v>30</v>
      </c>
      <c r="E70" s="662">
        <v>30</v>
      </c>
      <c r="F70" s="662">
        <v>30</v>
      </c>
      <c r="G70" s="661">
        <v>30</v>
      </c>
      <c r="H70" s="661">
        <v>30</v>
      </c>
      <c r="I70" s="661">
        <v>30</v>
      </c>
      <c r="J70" s="665">
        <v>30</v>
      </c>
      <c r="K70" s="661">
        <v>30</v>
      </c>
      <c r="L70" s="661">
        <v>30</v>
      </c>
      <c r="M70" s="661">
        <v>30</v>
      </c>
      <c r="N70" s="661">
        <v>30</v>
      </c>
      <c r="O70" s="661">
        <v>30</v>
      </c>
      <c r="P70" s="661">
        <v>30</v>
      </c>
      <c r="Q70" s="661">
        <v>30</v>
      </c>
      <c r="R70" s="662">
        <v>30</v>
      </c>
      <c r="S70" s="661">
        <v>20</v>
      </c>
      <c r="T70" s="664">
        <v>30</v>
      </c>
      <c r="U70" s="661">
        <v>30</v>
      </c>
      <c r="V70" s="661">
        <v>30</v>
      </c>
      <c r="W70" s="661">
        <v>30</v>
      </c>
      <c r="X70" s="661">
        <v>30</v>
      </c>
      <c r="Y70" s="661">
        <v>30</v>
      </c>
      <c r="Z70" s="661">
        <v>30</v>
      </c>
      <c r="AA70" s="662">
        <v>30</v>
      </c>
    </row>
    <row r="71" spans="1:27" ht="12.75">
      <c r="A71" s="661" t="s">
        <v>759</v>
      </c>
      <c r="B71" s="661">
        <v>18</v>
      </c>
      <c r="C71" s="661">
        <v>18</v>
      </c>
      <c r="D71" s="662">
        <v>18</v>
      </c>
      <c r="E71" s="662">
        <v>18</v>
      </c>
      <c r="F71" s="662">
        <v>18</v>
      </c>
      <c r="G71" s="661">
        <v>18</v>
      </c>
      <c r="H71" s="661">
        <v>18</v>
      </c>
      <c r="I71" s="661">
        <v>18</v>
      </c>
      <c r="J71" s="665">
        <v>18</v>
      </c>
      <c r="K71" s="661">
        <v>18</v>
      </c>
      <c r="L71" s="661">
        <v>28</v>
      </c>
      <c r="M71" s="661">
        <v>18</v>
      </c>
      <c r="N71" s="661">
        <v>30</v>
      </c>
      <c r="O71" s="663">
        <v>27</v>
      </c>
      <c r="P71" s="663">
        <v>45</v>
      </c>
      <c r="Q71" s="663">
        <v>67.5</v>
      </c>
      <c r="R71" s="662">
        <v>67.5</v>
      </c>
      <c r="S71" s="663">
        <v>50</v>
      </c>
      <c r="T71" s="664">
        <v>50</v>
      </c>
      <c r="U71" s="663">
        <v>15</v>
      </c>
      <c r="V71" s="663">
        <v>15</v>
      </c>
      <c r="W71" s="663">
        <v>25</v>
      </c>
      <c r="X71" s="663">
        <v>25</v>
      </c>
      <c r="Y71" s="661">
        <v>18</v>
      </c>
      <c r="Z71" s="661">
        <v>18</v>
      </c>
      <c r="AA71" s="662">
        <v>18</v>
      </c>
    </row>
    <row r="72" spans="1:27" ht="12.75">
      <c r="A72" s="661" t="s">
        <v>631</v>
      </c>
      <c r="B72" s="661">
        <v>40</v>
      </c>
      <c r="C72" s="661">
        <v>30</v>
      </c>
      <c r="D72" s="662">
        <v>30</v>
      </c>
      <c r="E72" s="662">
        <v>30</v>
      </c>
      <c r="F72" s="662">
        <v>30</v>
      </c>
      <c r="G72" s="661">
        <v>20</v>
      </c>
      <c r="H72" s="661">
        <v>45</v>
      </c>
      <c r="I72" s="661">
        <v>30</v>
      </c>
      <c r="J72" s="665">
        <v>35</v>
      </c>
      <c r="K72" s="661">
        <v>40</v>
      </c>
      <c r="L72" s="661">
        <v>35</v>
      </c>
      <c r="M72" s="661">
        <v>40</v>
      </c>
      <c r="N72" s="661">
        <v>50</v>
      </c>
      <c r="O72" s="663">
        <v>20</v>
      </c>
      <c r="P72" s="663">
        <v>24</v>
      </c>
      <c r="Q72" s="663">
        <v>35</v>
      </c>
      <c r="R72" s="662">
        <v>35</v>
      </c>
      <c r="S72" s="663">
        <v>35</v>
      </c>
      <c r="T72" s="664">
        <v>35</v>
      </c>
      <c r="U72" s="663">
        <v>30</v>
      </c>
      <c r="V72" s="663">
        <v>30</v>
      </c>
      <c r="W72" s="663">
        <v>40</v>
      </c>
      <c r="X72" s="663">
        <v>40</v>
      </c>
      <c r="Y72" s="661">
        <v>35</v>
      </c>
      <c r="Z72" s="661">
        <v>30</v>
      </c>
      <c r="AA72" s="662">
        <v>30</v>
      </c>
    </row>
    <row r="73" spans="1:27" ht="12.75">
      <c r="A73" s="661" t="s">
        <v>632</v>
      </c>
      <c r="B73" s="661">
        <v>40</v>
      </c>
      <c r="C73" s="661">
        <v>30</v>
      </c>
      <c r="D73" s="662">
        <v>30</v>
      </c>
      <c r="E73" s="662">
        <v>30</v>
      </c>
      <c r="F73" s="662">
        <v>30</v>
      </c>
      <c r="G73" s="661">
        <v>20</v>
      </c>
      <c r="H73" s="661">
        <v>45</v>
      </c>
      <c r="I73" s="661">
        <v>30</v>
      </c>
      <c r="J73" s="665">
        <v>35</v>
      </c>
      <c r="K73" s="661">
        <v>40</v>
      </c>
      <c r="L73" s="661">
        <v>35</v>
      </c>
      <c r="M73" s="661">
        <v>40</v>
      </c>
      <c r="N73" s="661">
        <v>50</v>
      </c>
      <c r="O73" s="663">
        <v>20</v>
      </c>
      <c r="P73" s="663">
        <v>24</v>
      </c>
      <c r="Q73" s="663">
        <v>35</v>
      </c>
      <c r="R73" s="662">
        <v>35</v>
      </c>
      <c r="S73" s="663">
        <v>35</v>
      </c>
      <c r="T73" s="664">
        <v>35</v>
      </c>
      <c r="U73" s="663">
        <v>30</v>
      </c>
      <c r="V73" s="663">
        <v>30</v>
      </c>
      <c r="W73" s="663">
        <v>40</v>
      </c>
      <c r="X73" s="663">
        <v>40</v>
      </c>
      <c r="Y73" s="661">
        <v>35</v>
      </c>
      <c r="Z73" s="661">
        <v>30</v>
      </c>
      <c r="AA73" s="662">
        <v>30</v>
      </c>
    </row>
    <row r="74" spans="1:27" ht="12.75">
      <c r="A74" s="661" t="s">
        <v>756</v>
      </c>
      <c r="B74" s="667" t="s">
        <v>293</v>
      </c>
      <c r="C74" s="667" t="s">
        <v>293</v>
      </c>
      <c r="D74" s="668" t="s">
        <v>293</v>
      </c>
      <c r="E74" s="668" t="s">
        <v>293</v>
      </c>
      <c r="F74" s="668" t="s">
        <v>293</v>
      </c>
      <c r="G74" s="667" t="s">
        <v>293</v>
      </c>
      <c r="H74" s="667" t="s">
        <v>293</v>
      </c>
      <c r="I74" s="667" t="s">
        <v>293</v>
      </c>
      <c r="J74" s="602" t="s">
        <v>293</v>
      </c>
      <c r="K74" s="667" t="s">
        <v>293</v>
      </c>
      <c r="L74" s="667" t="s">
        <v>293</v>
      </c>
      <c r="M74" s="667" t="s">
        <v>293</v>
      </c>
      <c r="N74" s="667" t="s">
        <v>293</v>
      </c>
      <c r="O74" s="704" t="s">
        <v>758</v>
      </c>
      <c r="P74" s="704" t="s">
        <v>758</v>
      </c>
      <c r="Q74" s="704" t="s">
        <v>782</v>
      </c>
      <c r="R74" s="704" t="s">
        <v>782</v>
      </c>
      <c r="S74" s="704" t="s">
        <v>782</v>
      </c>
      <c r="T74" s="704" t="s">
        <v>782</v>
      </c>
      <c r="U74" s="667" t="s">
        <v>293</v>
      </c>
      <c r="V74" s="667" t="s">
        <v>293</v>
      </c>
      <c r="W74" s="667" t="s">
        <v>293</v>
      </c>
      <c r="X74" s="667" t="s">
        <v>293</v>
      </c>
      <c r="Y74" s="667" t="s">
        <v>293</v>
      </c>
      <c r="Z74" s="667" t="s">
        <v>293</v>
      </c>
      <c r="AA74" s="668" t="s">
        <v>293</v>
      </c>
    </row>
    <row r="75" spans="1:27" ht="12.75">
      <c r="A75" s="661" t="s">
        <v>756</v>
      </c>
      <c r="B75" s="667" t="s">
        <v>293</v>
      </c>
      <c r="C75" s="667" t="s">
        <v>293</v>
      </c>
      <c r="D75" s="668" t="s">
        <v>293</v>
      </c>
      <c r="E75" s="668" t="s">
        <v>293</v>
      </c>
      <c r="F75" s="668" t="s">
        <v>293</v>
      </c>
      <c r="G75" s="667" t="s">
        <v>293</v>
      </c>
      <c r="H75" s="667" t="s">
        <v>293</v>
      </c>
      <c r="I75" s="667" t="s">
        <v>293</v>
      </c>
      <c r="J75" s="602" t="s">
        <v>293</v>
      </c>
      <c r="K75" s="667" t="s">
        <v>293</v>
      </c>
      <c r="L75" s="667" t="s">
        <v>293</v>
      </c>
      <c r="M75" s="667" t="s">
        <v>293</v>
      </c>
      <c r="N75" s="667" t="s">
        <v>293</v>
      </c>
      <c r="O75" s="704" t="s">
        <v>755</v>
      </c>
      <c r="P75" s="704" t="s">
        <v>781</v>
      </c>
      <c r="Q75" s="704" t="s">
        <v>780</v>
      </c>
      <c r="R75" s="704" t="s">
        <v>780</v>
      </c>
      <c r="S75" s="704" t="s">
        <v>780</v>
      </c>
      <c r="T75" s="704" t="s">
        <v>780</v>
      </c>
      <c r="U75" s="667" t="s">
        <v>293</v>
      </c>
      <c r="V75" s="667" t="s">
        <v>293</v>
      </c>
      <c r="W75" s="667" t="s">
        <v>293</v>
      </c>
      <c r="X75" s="667" t="s">
        <v>293</v>
      </c>
      <c r="Y75" s="667" t="s">
        <v>293</v>
      </c>
      <c r="Z75" s="667" t="s">
        <v>293</v>
      </c>
      <c r="AA75" s="668" t="s">
        <v>293</v>
      </c>
    </row>
    <row r="76" spans="1:27" ht="12.75">
      <c r="A76" s="661" t="s">
        <v>633</v>
      </c>
      <c r="B76" s="667" t="s">
        <v>324</v>
      </c>
      <c r="C76" s="667" t="s">
        <v>324</v>
      </c>
      <c r="D76" s="668" t="s">
        <v>324</v>
      </c>
      <c r="E76" s="668" t="s">
        <v>324</v>
      </c>
      <c r="F76" s="668" t="s">
        <v>324</v>
      </c>
      <c r="G76" s="667" t="s">
        <v>324</v>
      </c>
      <c r="H76" s="667" t="s">
        <v>324</v>
      </c>
      <c r="I76" s="667" t="s">
        <v>324</v>
      </c>
      <c r="J76" s="602" t="s">
        <v>324</v>
      </c>
      <c r="K76" s="667" t="s">
        <v>324</v>
      </c>
      <c r="L76" s="667" t="s">
        <v>324</v>
      </c>
      <c r="M76" s="667" t="s">
        <v>324</v>
      </c>
      <c r="N76" s="667" t="s">
        <v>324</v>
      </c>
      <c r="O76" s="669" t="s">
        <v>324</v>
      </c>
      <c r="P76" s="669" t="s">
        <v>324</v>
      </c>
      <c r="Q76" s="669" t="s">
        <v>324</v>
      </c>
      <c r="R76" s="668" t="s">
        <v>324</v>
      </c>
      <c r="S76" s="669" t="s">
        <v>324</v>
      </c>
      <c r="T76" s="670" t="s">
        <v>324</v>
      </c>
      <c r="U76" s="669" t="s">
        <v>324</v>
      </c>
      <c r="V76" s="669" t="s">
        <v>324</v>
      </c>
      <c r="W76" s="669" t="s">
        <v>328</v>
      </c>
      <c r="X76" s="669" t="s">
        <v>328</v>
      </c>
      <c r="Y76" s="667" t="s">
        <v>324</v>
      </c>
      <c r="Z76" s="667" t="s">
        <v>324</v>
      </c>
      <c r="AA76" s="668" t="s">
        <v>324</v>
      </c>
    </row>
    <row r="77" spans="1:27" ht="12.75">
      <c r="A77" s="661" t="s">
        <v>634</v>
      </c>
      <c r="B77" s="667" t="s">
        <v>293</v>
      </c>
      <c r="C77" s="667" t="s">
        <v>293</v>
      </c>
      <c r="D77" s="668" t="s">
        <v>293</v>
      </c>
      <c r="E77" s="668" t="s">
        <v>293</v>
      </c>
      <c r="F77" s="668" t="s">
        <v>293</v>
      </c>
      <c r="G77" s="667" t="s">
        <v>293</v>
      </c>
      <c r="H77" s="667" t="s">
        <v>293</v>
      </c>
      <c r="I77" s="721" t="s">
        <v>293</v>
      </c>
      <c r="J77" s="601" t="s">
        <v>293</v>
      </c>
      <c r="K77" s="721" t="s">
        <v>293</v>
      </c>
      <c r="L77" s="721" t="s">
        <v>293</v>
      </c>
      <c r="M77" s="721" t="s">
        <v>293</v>
      </c>
      <c r="N77" s="721" t="s">
        <v>293</v>
      </c>
      <c r="O77" s="717" t="s">
        <v>293</v>
      </c>
      <c r="P77" s="717" t="s">
        <v>293</v>
      </c>
      <c r="Q77" s="717" t="s">
        <v>293</v>
      </c>
      <c r="R77" s="719" t="s">
        <v>293</v>
      </c>
      <c r="S77" s="717" t="s">
        <v>293</v>
      </c>
      <c r="T77" s="718" t="s">
        <v>293</v>
      </c>
      <c r="U77" s="717" t="s">
        <v>293</v>
      </c>
      <c r="V77" s="717" t="s">
        <v>293</v>
      </c>
      <c r="W77" s="778">
        <f>0.045*90</f>
        <v>4.05</v>
      </c>
      <c r="X77" s="778">
        <f>0.045*90</f>
        <v>4.05</v>
      </c>
      <c r="Y77" s="721" t="s">
        <v>293</v>
      </c>
      <c r="Z77" s="667" t="s">
        <v>293</v>
      </c>
      <c r="AA77" s="668" t="s">
        <v>293</v>
      </c>
    </row>
    <row r="78" spans="1:27" ht="163.5" customHeight="1">
      <c r="A78" s="722" t="s">
        <v>635</v>
      </c>
      <c r="B78" s="773" t="s">
        <v>642</v>
      </c>
      <c r="C78" s="773"/>
      <c r="D78" s="724" t="s">
        <v>636</v>
      </c>
      <c r="E78" s="724" t="s">
        <v>636</v>
      </c>
      <c r="F78" s="724" t="s">
        <v>637</v>
      </c>
      <c r="G78" s="773"/>
      <c r="H78" s="773"/>
      <c r="I78" s="773"/>
      <c r="J78" s="726"/>
      <c r="K78" s="682" t="s">
        <v>643</v>
      </c>
      <c r="L78" s="682"/>
      <c r="M78" s="661"/>
      <c r="N78" s="661"/>
      <c r="O78" s="773"/>
      <c r="P78" s="773"/>
      <c r="Q78" s="773"/>
      <c r="R78" s="725" t="s">
        <v>639</v>
      </c>
      <c r="S78" s="773"/>
      <c r="T78" s="725" t="s">
        <v>638</v>
      </c>
      <c r="U78" s="773"/>
      <c r="V78" s="773" t="s">
        <v>640</v>
      </c>
      <c r="W78" s="773"/>
      <c r="X78" s="773" t="s">
        <v>641</v>
      </c>
      <c r="Y78" s="661"/>
      <c r="Z78" s="773"/>
      <c r="AA78" s="724" t="s">
        <v>779</v>
      </c>
    </row>
    <row r="79" spans="1:27" ht="33.75" customHeight="1">
      <c r="A79" s="727"/>
      <c r="B79" s="661"/>
      <c r="C79" s="661"/>
      <c r="D79" s="711"/>
      <c r="E79" s="711"/>
      <c r="F79" s="711"/>
      <c r="G79" s="661"/>
      <c r="H79" s="661"/>
      <c r="I79" s="663"/>
      <c r="J79" s="712"/>
      <c r="K79" s="661"/>
      <c r="L79" s="661"/>
      <c r="M79" s="661"/>
      <c r="N79" s="661"/>
      <c r="O79" s="663"/>
      <c r="P79" s="663"/>
      <c r="Q79" s="663"/>
      <c r="R79" s="711"/>
      <c r="S79" s="663"/>
      <c r="T79" s="728"/>
      <c r="U79" s="663"/>
      <c r="V79" s="663"/>
      <c r="W79" s="663"/>
      <c r="X79" s="663"/>
      <c r="Y79" s="661"/>
      <c r="Z79" s="661"/>
      <c r="AA79" s="711"/>
    </row>
    <row r="80" spans="1:27" ht="36" customHeight="1">
      <c r="A80" s="729"/>
      <c r="B80" s="661"/>
      <c r="C80" s="661"/>
      <c r="D80" s="711"/>
      <c r="E80" s="711"/>
      <c r="F80" s="711"/>
      <c r="G80" s="661"/>
      <c r="H80" s="661"/>
      <c r="I80" s="663"/>
      <c r="J80" s="712"/>
      <c r="K80" s="661"/>
      <c r="L80" s="661"/>
      <c r="M80" s="661"/>
      <c r="N80" s="661"/>
      <c r="O80" s="663"/>
      <c r="P80" s="663"/>
      <c r="Q80" s="663"/>
      <c r="R80" s="711"/>
      <c r="S80" s="663"/>
      <c r="T80" s="728"/>
      <c r="U80" s="663"/>
      <c r="V80" s="663"/>
      <c r="W80" s="663"/>
      <c r="X80" s="663"/>
      <c r="Y80" s="661"/>
      <c r="Z80" s="661"/>
      <c r="AA80" s="711"/>
    </row>
    <row r="81" spans="1:27" ht="53.25" customHeight="1">
      <c r="A81" s="682"/>
      <c r="B81" s="661"/>
      <c r="C81" s="661"/>
      <c r="D81" s="711"/>
      <c r="E81" s="711"/>
      <c r="F81" s="711"/>
      <c r="G81" s="661"/>
      <c r="H81" s="661"/>
      <c r="I81" s="663"/>
      <c r="J81" s="712"/>
      <c r="K81" s="661"/>
      <c r="L81" s="661"/>
      <c r="M81" s="661"/>
      <c r="N81" s="661"/>
      <c r="O81" s="663"/>
      <c r="P81" s="663"/>
      <c r="Q81" s="663"/>
      <c r="R81" s="711"/>
      <c r="S81" s="663"/>
      <c r="T81" s="728"/>
      <c r="U81" s="663"/>
      <c r="V81" s="663"/>
      <c r="W81" s="663"/>
      <c r="X81" s="663"/>
      <c r="Y81" s="661"/>
      <c r="Z81" s="661"/>
      <c r="AA81" s="711"/>
    </row>
    <row r="82" spans="1:27" ht="67.5" customHeight="1">
      <c r="A82" s="730"/>
      <c r="B82" s="661"/>
      <c r="C82" s="661"/>
      <c r="D82" s="711"/>
      <c r="E82" s="711"/>
      <c r="F82" s="711"/>
      <c r="G82" s="661"/>
      <c r="H82" s="661"/>
      <c r="I82" s="663"/>
      <c r="J82" s="712"/>
      <c r="K82" s="661"/>
      <c r="L82" s="661"/>
      <c r="M82" s="661"/>
      <c r="N82" s="661"/>
      <c r="O82" s="663"/>
      <c r="P82" s="663"/>
      <c r="Q82" s="663"/>
      <c r="R82" s="711"/>
      <c r="S82" s="663"/>
      <c r="T82" s="728"/>
      <c r="U82" s="663"/>
      <c r="V82" s="663"/>
      <c r="W82" s="663"/>
      <c r="X82" s="663"/>
      <c r="Y82" s="661"/>
      <c r="Z82" s="661"/>
      <c r="AA82" s="711"/>
    </row>
    <row r="83" spans="1:27" ht="15" customHeight="1">
      <c r="A83" s="661"/>
      <c r="B83" s="661"/>
      <c r="C83" s="661"/>
      <c r="D83" s="711"/>
      <c r="E83" s="711"/>
      <c r="F83" s="711"/>
      <c r="G83" s="661"/>
      <c r="H83" s="661"/>
      <c r="I83" s="663"/>
      <c r="J83" s="712"/>
      <c r="K83" s="661"/>
      <c r="L83" s="661"/>
      <c r="M83" s="661"/>
      <c r="N83" s="661"/>
      <c r="O83" s="663"/>
      <c r="P83" s="663"/>
      <c r="Q83" s="663"/>
      <c r="R83" s="711"/>
      <c r="S83" s="663"/>
      <c r="T83" s="728"/>
      <c r="U83" s="663"/>
      <c r="V83" s="663"/>
      <c r="W83" s="663"/>
      <c r="X83" s="663"/>
      <c r="Y83" s="661"/>
      <c r="Z83" s="661"/>
      <c r="AA83" s="711"/>
    </row>
    <row r="84" spans="1:27" ht="12.75">
      <c r="A84" s="661"/>
      <c r="B84" s="661"/>
      <c r="C84" s="661"/>
      <c r="D84" s="711"/>
      <c r="E84" s="711"/>
      <c r="F84" s="711"/>
      <c r="G84" s="661"/>
      <c r="H84" s="661"/>
      <c r="I84" s="663"/>
      <c r="J84" s="712"/>
      <c r="K84" s="661"/>
      <c r="L84" s="661"/>
      <c r="M84" s="661"/>
      <c r="N84" s="661"/>
      <c r="O84" s="663"/>
      <c r="P84" s="663"/>
      <c r="Q84" s="663"/>
      <c r="R84" s="711"/>
      <c r="S84" s="663"/>
      <c r="T84" s="728"/>
      <c r="U84" s="663"/>
      <c r="V84" s="663"/>
      <c r="W84" s="663"/>
      <c r="X84" s="663"/>
      <c r="Y84" s="661"/>
      <c r="Z84" s="661"/>
      <c r="AA84" s="711"/>
    </row>
    <row r="85" spans="1:27" ht="12.75">
      <c r="A85" s="661"/>
      <c r="B85" s="661"/>
      <c r="C85" s="661"/>
      <c r="D85" s="711"/>
      <c r="E85" s="711"/>
      <c r="F85" s="711"/>
      <c r="G85" s="661"/>
      <c r="H85" s="661"/>
      <c r="I85" s="663"/>
      <c r="J85" s="712"/>
      <c r="K85" s="661"/>
      <c r="L85" s="661"/>
      <c r="M85" s="661"/>
      <c r="N85" s="661"/>
      <c r="O85" s="663"/>
      <c r="P85" s="663"/>
      <c r="Q85" s="663"/>
      <c r="R85" s="711"/>
      <c r="S85" s="663"/>
      <c r="T85" s="728"/>
      <c r="U85" s="663"/>
      <c r="V85" s="663"/>
      <c r="W85" s="663"/>
      <c r="X85" s="663"/>
      <c r="Y85" s="661"/>
      <c r="Z85" s="661"/>
      <c r="AA85" s="711"/>
    </row>
    <row r="86" spans="1:27" ht="12.75">
      <c r="A86" s="661"/>
      <c r="B86" s="661"/>
      <c r="C86" s="661"/>
      <c r="D86" s="711"/>
      <c r="E86" s="711"/>
      <c r="F86" s="711"/>
      <c r="G86" s="661"/>
      <c r="H86" s="661"/>
      <c r="I86" s="663"/>
      <c r="J86" s="712"/>
      <c r="K86" s="661"/>
      <c r="L86" s="661"/>
      <c r="M86" s="661"/>
      <c r="N86" s="661"/>
      <c r="O86" s="663"/>
      <c r="P86" s="663"/>
      <c r="Q86" s="663"/>
      <c r="R86" s="711"/>
      <c r="S86" s="663"/>
      <c r="T86" s="728"/>
      <c r="U86" s="663"/>
      <c r="V86" s="663"/>
      <c r="W86" s="663"/>
      <c r="X86" s="663"/>
      <c r="Y86" s="661"/>
      <c r="Z86" s="661"/>
      <c r="AA86" s="711"/>
    </row>
    <row r="87" spans="1:27" ht="12.75">
      <c r="A87" s="661"/>
      <c r="B87" s="661"/>
      <c r="C87" s="661"/>
      <c r="D87" s="711"/>
      <c r="E87" s="711"/>
      <c r="F87" s="711"/>
      <c r="G87" s="661"/>
      <c r="H87" s="661"/>
      <c r="I87" s="663"/>
      <c r="J87" s="712"/>
      <c r="K87" s="661"/>
      <c r="L87" s="661"/>
      <c r="M87" s="661"/>
      <c r="N87" s="661"/>
      <c r="O87" s="663"/>
      <c r="P87" s="663"/>
      <c r="Q87" s="663"/>
      <c r="R87" s="711"/>
      <c r="S87" s="663"/>
      <c r="T87" s="728"/>
      <c r="U87" s="663"/>
      <c r="V87" s="663"/>
      <c r="W87" s="663"/>
      <c r="X87" s="663"/>
      <c r="Y87" s="661"/>
      <c r="Z87" s="661"/>
      <c r="AA87" s="711"/>
    </row>
    <row r="88" spans="1:27" ht="12.75">
      <c r="A88" s="661"/>
      <c r="B88" s="661"/>
      <c r="C88" s="661"/>
      <c r="D88" s="711"/>
      <c r="E88" s="711"/>
      <c r="F88" s="711"/>
      <c r="G88" s="661"/>
      <c r="H88" s="661"/>
      <c r="I88" s="663"/>
      <c r="J88" s="712"/>
      <c r="K88" s="663"/>
      <c r="L88" s="663"/>
      <c r="M88" s="663"/>
      <c r="N88" s="663"/>
      <c r="O88" s="663"/>
      <c r="P88" s="663"/>
      <c r="Q88" s="663"/>
      <c r="R88" s="711"/>
      <c r="S88" s="663"/>
      <c r="T88" s="728"/>
      <c r="U88" s="663"/>
      <c r="V88" s="663"/>
      <c r="W88" s="663"/>
      <c r="X88" s="663"/>
      <c r="Y88" s="663"/>
      <c r="Z88" s="661"/>
      <c r="AA88" s="711"/>
    </row>
  </sheetData>
  <conditionalFormatting sqref="A1:AA1 A3:AA7 A9:AA19 A21:AA29 A31:AA60 A62:AA88">
    <cfRule type="expression" dxfId="68" priority="1">
      <formula>ISODD(COLUMN())</formula>
    </cfRule>
    <cfRule type="expression" dxfId="67" priority="2">
      <formula>ISEVEN(COLUMN())</formula>
    </cfRule>
  </conditionalFormatting>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15619-78DB-420B-AD9F-802DF7D3D49E}">
  <sheetPr>
    <tabColor rgb="FF980000"/>
    <outlinePr summaryBelow="0" summaryRight="0"/>
  </sheetPr>
  <dimension ref="A1:G83"/>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2.28515625" customWidth="1"/>
    <col min="2" max="7" width="16.7109375" customWidth="1"/>
  </cols>
  <sheetData>
    <row r="1" spans="1:7" ht="35.25" customHeight="1">
      <c r="A1" s="651" t="s">
        <v>551</v>
      </c>
      <c r="B1" s="652" t="s">
        <v>798</v>
      </c>
      <c r="C1" s="652" t="s">
        <v>797</v>
      </c>
      <c r="D1" s="652" t="s">
        <v>796</v>
      </c>
      <c r="E1" s="654" t="s">
        <v>795</v>
      </c>
      <c r="F1" s="654" t="s">
        <v>794</v>
      </c>
      <c r="G1" s="652" t="s">
        <v>793</v>
      </c>
    </row>
    <row r="2" spans="1:7" ht="81" customHeight="1">
      <c r="A2" s="656" t="s">
        <v>562</v>
      </c>
      <c r="B2" s="658"/>
      <c r="C2" s="658"/>
      <c r="D2" s="658"/>
      <c r="E2" s="658"/>
      <c r="F2" s="657"/>
      <c r="G2" s="658"/>
    </row>
    <row r="3" spans="1:7" ht="12.75">
      <c r="A3" s="661" t="s">
        <v>563</v>
      </c>
      <c r="B3" s="661">
        <v>10.6</v>
      </c>
      <c r="C3" s="661">
        <v>11.7</v>
      </c>
      <c r="D3" s="661">
        <v>11.7</v>
      </c>
      <c r="E3" s="663">
        <v>10.1</v>
      </c>
      <c r="F3" s="711">
        <v>18.7</v>
      </c>
      <c r="G3" s="661">
        <v>24</v>
      </c>
    </row>
    <row r="4" spans="1:7" ht="12.75">
      <c r="A4" s="661" t="s">
        <v>564</v>
      </c>
      <c r="B4" s="704">
        <v>7.69</v>
      </c>
      <c r="C4" s="704">
        <v>8.8000000000000007</v>
      </c>
      <c r="D4" s="704">
        <v>8.8000000000000007</v>
      </c>
      <c r="E4" s="666">
        <v>7.4450000000000003</v>
      </c>
      <c r="F4" s="662">
        <v>17.100000000000001</v>
      </c>
      <c r="G4" s="704">
        <v>16.100000000000001</v>
      </c>
    </row>
    <row r="5" spans="1:7" ht="12.75">
      <c r="A5" s="661" t="s">
        <v>565</v>
      </c>
      <c r="B5" s="704">
        <v>5.59</v>
      </c>
      <c r="C5" s="704">
        <v>6.6</v>
      </c>
      <c r="D5" s="704">
        <v>6.6</v>
      </c>
      <c r="E5" s="666">
        <v>5.5</v>
      </c>
      <c r="F5" s="662">
        <v>11.5</v>
      </c>
      <c r="G5" s="704">
        <v>13.3</v>
      </c>
    </row>
    <row r="6" spans="1:7" ht="12.75">
      <c r="A6" s="661" t="s">
        <v>566</v>
      </c>
      <c r="B6" s="661">
        <v>72.2</v>
      </c>
      <c r="C6" s="661">
        <v>72.2</v>
      </c>
      <c r="D6" s="661">
        <v>72.2</v>
      </c>
      <c r="E6" s="663">
        <v>70</v>
      </c>
      <c r="F6" s="711">
        <v>90</v>
      </c>
      <c r="G6" s="661">
        <v>90</v>
      </c>
    </row>
    <row r="7" spans="1:7" ht="12.75">
      <c r="A7" s="661" t="s">
        <v>567</v>
      </c>
      <c r="B7" s="661">
        <v>1.68</v>
      </c>
      <c r="C7" s="661">
        <v>1.635</v>
      </c>
      <c r="D7" s="661">
        <v>1.635</v>
      </c>
      <c r="E7" s="663">
        <v>1.52</v>
      </c>
      <c r="F7" s="711">
        <v>1.86</v>
      </c>
      <c r="G7" s="661">
        <v>1.8620000000000001</v>
      </c>
    </row>
    <row r="8" spans="1:7" ht="20.25" customHeight="1">
      <c r="A8" s="671" t="s">
        <v>568</v>
      </c>
      <c r="B8" s="672"/>
      <c r="C8" s="672"/>
      <c r="D8" s="672"/>
      <c r="E8" s="672"/>
      <c r="F8" s="672"/>
      <c r="G8" s="672"/>
    </row>
    <row r="9" spans="1:7" ht="12.75">
      <c r="A9" s="661" t="s">
        <v>569</v>
      </c>
      <c r="B9" s="661">
        <v>2975</v>
      </c>
      <c r="C9" s="661">
        <v>3130</v>
      </c>
      <c r="D9" s="661">
        <v>3130</v>
      </c>
      <c r="E9" s="663">
        <v>4340</v>
      </c>
      <c r="F9" s="711">
        <v>0</v>
      </c>
      <c r="G9" s="661">
        <v>4641.25</v>
      </c>
    </row>
    <row r="10" spans="1:7" ht="16.5" customHeight="1">
      <c r="A10" s="661" t="s">
        <v>570</v>
      </c>
      <c r="B10" s="661">
        <v>1.9</v>
      </c>
      <c r="C10" s="661">
        <v>1.9</v>
      </c>
      <c r="D10" s="661">
        <v>1.9</v>
      </c>
      <c r="E10" s="663">
        <v>1.4</v>
      </c>
      <c r="F10" s="711">
        <v>0</v>
      </c>
      <c r="G10" s="661">
        <v>4</v>
      </c>
    </row>
    <row r="11" spans="1:7" ht="12.75">
      <c r="A11" s="661" t="str">
        <f>"Raw acceleration at ignition: [m/s"&amp;CHAR(178)&amp;"]"</f>
        <v>Raw acceleration at ignition: [m/s²]</v>
      </c>
      <c r="B11" s="675">
        <f t="shared" ref="B11:G11" si="0">B9/B3</f>
        <v>280.66037735849056</v>
      </c>
      <c r="C11" s="675">
        <f t="shared" si="0"/>
        <v>267.52136752136755</v>
      </c>
      <c r="D11" s="675">
        <f t="shared" si="0"/>
        <v>267.52136752136755</v>
      </c>
      <c r="E11" s="678">
        <f t="shared" si="0"/>
        <v>429.70297029702971</v>
      </c>
      <c r="F11" s="782">
        <f t="shared" si="0"/>
        <v>0</v>
      </c>
      <c r="G11" s="675">
        <f t="shared" si="0"/>
        <v>193.38541666666666</v>
      </c>
    </row>
    <row r="12" spans="1:7" ht="12.75">
      <c r="A12" s="661" t="s">
        <v>571</v>
      </c>
      <c r="B12" s="675">
        <f t="shared" ref="B12:G12" si="1">B10*B9/(9.81*(B3-B4))</f>
        <v>198.00610219601995</v>
      </c>
      <c r="C12" s="678">
        <f t="shared" si="1"/>
        <v>209.0407395690535</v>
      </c>
      <c r="D12" s="678">
        <f t="shared" si="1"/>
        <v>209.0407395690535</v>
      </c>
      <c r="E12" s="678">
        <f t="shared" si="1"/>
        <v>233.28361274766712</v>
      </c>
      <c r="F12" s="781">
        <f t="shared" si="1"/>
        <v>0</v>
      </c>
      <c r="G12" s="678">
        <f t="shared" si="1"/>
        <v>239.55147808358819</v>
      </c>
    </row>
    <row r="13" spans="1:7" ht="12.75">
      <c r="A13" s="661" t="s">
        <v>572</v>
      </c>
      <c r="B13" s="678">
        <f t="shared" ref="B13:G13" si="2">B12*9.81*LN(B3/B4)</f>
        <v>623.39347508132312</v>
      </c>
      <c r="C13" s="678">
        <f t="shared" si="2"/>
        <v>584.11253604840056</v>
      </c>
      <c r="D13" s="678">
        <f t="shared" si="2"/>
        <v>584.11253604840056</v>
      </c>
      <c r="E13" s="678">
        <f t="shared" si="2"/>
        <v>697.97965945518001</v>
      </c>
      <c r="F13" s="678">
        <f t="shared" si="2"/>
        <v>0</v>
      </c>
      <c r="G13" s="678">
        <f t="shared" si="2"/>
        <v>938.20121214019161</v>
      </c>
    </row>
    <row r="14" spans="1:7" ht="18" customHeight="1">
      <c r="A14" s="728" t="s">
        <v>573</v>
      </c>
      <c r="B14" s="663">
        <v>0.4</v>
      </c>
      <c r="C14" s="663">
        <v>0.4</v>
      </c>
      <c r="D14" s="663">
        <v>0.4</v>
      </c>
      <c r="E14" s="663">
        <v>0.25</v>
      </c>
      <c r="F14" s="663">
        <v>0</v>
      </c>
      <c r="G14" s="663">
        <v>0</v>
      </c>
    </row>
    <row r="15" spans="1:7" ht="16.5" customHeight="1">
      <c r="A15" s="682" t="s">
        <v>574</v>
      </c>
      <c r="B15" s="737">
        <v>705</v>
      </c>
      <c r="C15" s="737">
        <v>705</v>
      </c>
      <c r="D15" s="737">
        <v>705</v>
      </c>
      <c r="E15" s="687">
        <v>675</v>
      </c>
      <c r="F15" s="711">
        <v>5925</v>
      </c>
      <c r="G15" s="737">
        <v>980</v>
      </c>
    </row>
    <row r="16" spans="1:7" ht="18" customHeight="1">
      <c r="A16" s="682" t="s">
        <v>575</v>
      </c>
      <c r="B16" s="739">
        <v>6.6</v>
      </c>
      <c r="C16" s="739">
        <v>6.6</v>
      </c>
      <c r="D16" s="739">
        <v>6.6</v>
      </c>
      <c r="E16" s="663">
        <v>5.6</v>
      </c>
      <c r="F16" s="780">
        <v>2.2000000000000002</v>
      </c>
      <c r="G16" s="704">
        <v>6</v>
      </c>
    </row>
    <row r="17" spans="1:7" ht="18" customHeight="1">
      <c r="A17" s="728" t="s">
        <v>576</v>
      </c>
      <c r="B17" s="777">
        <f t="shared" ref="B17:G17" si="3">B16*B15/(9.81*(B4-B5))</f>
        <v>225.86282219309734</v>
      </c>
      <c r="C17" s="777">
        <f t="shared" si="3"/>
        <v>215.59633027522923</v>
      </c>
      <c r="D17" s="777">
        <f t="shared" si="3"/>
        <v>215.59633027522923</v>
      </c>
      <c r="E17" s="777">
        <f t="shared" si="3"/>
        <v>198.10853517605713</v>
      </c>
      <c r="F17" s="777">
        <f t="shared" si="3"/>
        <v>237.27610310179114</v>
      </c>
      <c r="G17" s="777">
        <f t="shared" si="3"/>
        <v>214.06727828746173</v>
      </c>
    </row>
    <row r="18" spans="1:7" ht="18" customHeight="1">
      <c r="A18" s="728" t="s">
        <v>577</v>
      </c>
      <c r="B18" s="777">
        <f t="shared" ref="B18:G18" si="4">B17*9.81*LN(B4/B5)</f>
        <v>706.68322977099263</v>
      </c>
      <c r="C18" s="777">
        <f t="shared" si="4"/>
        <v>608.44758323551662</v>
      </c>
      <c r="D18" s="777">
        <f t="shared" si="4"/>
        <v>608.44758323551662</v>
      </c>
      <c r="E18" s="777">
        <f t="shared" si="4"/>
        <v>588.46451893713527</v>
      </c>
      <c r="F18" s="777">
        <f t="shared" si="4"/>
        <v>923.46324389235826</v>
      </c>
      <c r="G18" s="777">
        <f t="shared" si="4"/>
        <v>401.21599720168928</v>
      </c>
    </row>
    <row r="19" spans="1:7" ht="18" customHeight="1">
      <c r="A19" s="728" t="s">
        <v>578</v>
      </c>
      <c r="B19" s="692">
        <f t="shared" ref="B19:G19" si="5">IF(ISNUMBER(B18),B13+B18,B13)</f>
        <v>1330.0767048523157</v>
      </c>
      <c r="C19" s="692">
        <f t="shared" si="5"/>
        <v>1192.5601192839172</v>
      </c>
      <c r="D19" s="692">
        <f t="shared" si="5"/>
        <v>1192.5601192839172</v>
      </c>
      <c r="E19" s="692">
        <f t="shared" si="5"/>
        <v>1286.4441783923153</v>
      </c>
      <c r="F19" s="692">
        <f t="shared" si="5"/>
        <v>923.46324389235826</v>
      </c>
      <c r="G19" s="692">
        <f t="shared" si="5"/>
        <v>1339.4172093418808</v>
      </c>
    </row>
    <row r="20" spans="1:7" ht="18">
      <c r="A20" s="695" t="s">
        <v>579</v>
      </c>
      <c r="B20" s="696"/>
      <c r="C20" s="696"/>
      <c r="D20" s="696"/>
      <c r="E20" s="696"/>
      <c r="F20" s="696"/>
      <c r="G20" s="696"/>
    </row>
    <row r="21" spans="1:7" ht="12.75">
      <c r="A21" s="661" t="s">
        <v>580</v>
      </c>
      <c r="B21" s="661">
        <f>1.325*0.4</f>
        <v>0.53</v>
      </c>
      <c r="C21" s="661">
        <f>1.62*0.57</f>
        <v>0.9234</v>
      </c>
      <c r="D21" s="661">
        <f>1.62*0.57</f>
        <v>0.9234</v>
      </c>
      <c r="E21" s="663">
        <f>1.2*0.45</f>
        <v>0.54</v>
      </c>
      <c r="F21" s="663">
        <f>1.6*1.11</f>
        <v>1.7760000000000002</v>
      </c>
      <c r="G21" s="661">
        <f>1.25*1.2</f>
        <v>1.5</v>
      </c>
    </row>
    <row r="22" spans="1:7" ht="12.75">
      <c r="A22" s="775" t="s">
        <v>764</v>
      </c>
      <c r="B22" s="667" t="s">
        <v>763</v>
      </c>
      <c r="C22" s="667" t="s">
        <v>763</v>
      </c>
      <c r="D22" s="667" t="s">
        <v>763</v>
      </c>
      <c r="E22" s="667" t="s">
        <v>763</v>
      </c>
      <c r="F22" s="667" t="s">
        <v>763</v>
      </c>
      <c r="G22" s="667" t="s">
        <v>763</v>
      </c>
    </row>
    <row r="23" spans="1:7" ht="12.75">
      <c r="A23" s="776" t="s">
        <v>762</v>
      </c>
      <c r="B23" s="704">
        <v>28</v>
      </c>
      <c r="C23" s="704">
        <v>28</v>
      </c>
      <c r="D23" s="704">
        <v>28</v>
      </c>
      <c r="E23" s="704">
        <v>28</v>
      </c>
      <c r="F23" s="704">
        <v>28</v>
      </c>
      <c r="G23" s="704">
        <v>28</v>
      </c>
    </row>
    <row r="24" spans="1:7" ht="12.75">
      <c r="A24" s="661" t="s">
        <v>581</v>
      </c>
      <c r="B24" s="667" t="s">
        <v>324</v>
      </c>
      <c r="C24" s="667" t="s">
        <v>328</v>
      </c>
      <c r="D24" s="667" t="s">
        <v>328</v>
      </c>
      <c r="E24" s="669" t="s">
        <v>324</v>
      </c>
      <c r="F24" s="669" t="s">
        <v>328</v>
      </c>
      <c r="G24" s="667" t="s">
        <v>328</v>
      </c>
    </row>
    <row r="25" spans="1:7" ht="12.75">
      <c r="A25" s="661" t="s">
        <v>582</v>
      </c>
      <c r="B25" s="669" t="s">
        <v>293</v>
      </c>
      <c r="C25" s="661">
        <v>1.2</v>
      </c>
      <c r="D25" s="661">
        <v>1.2</v>
      </c>
      <c r="E25" s="669" t="s">
        <v>293</v>
      </c>
      <c r="F25" s="663">
        <v>1.5</v>
      </c>
      <c r="G25" s="661">
        <v>4</v>
      </c>
    </row>
    <row r="26" spans="1:7" ht="12.75">
      <c r="A26" s="775" t="s">
        <v>583</v>
      </c>
      <c r="B26" s="669" t="s">
        <v>293</v>
      </c>
      <c r="C26" s="669" t="s">
        <v>324</v>
      </c>
      <c r="D26" s="669" t="s">
        <v>324</v>
      </c>
      <c r="E26" s="669" t="s">
        <v>293</v>
      </c>
      <c r="F26" s="669" t="s">
        <v>324</v>
      </c>
      <c r="G26" s="669" t="s">
        <v>328</v>
      </c>
    </row>
    <row r="27" spans="1:7" ht="12.75">
      <c r="A27" s="661" t="s">
        <v>584</v>
      </c>
      <c r="B27" s="669" t="s">
        <v>293</v>
      </c>
      <c r="C27" s="661">
        <v>1.25</v>
      </c>
      <c r="D27" s="661">
        <v>1.25</v>
      </c>
      <c r="E27" s="669" t="s">
        <v>293</v>
      </c>
      <c r="F27" s="663">
        <v>2</v>
      </c>
      <c r="G27" s="661">
        <v>0.5</v>
      </c>
    </row>
    <row r="28" spans="1:7" ht="12.75">
      <c r="A28" s="661" t="s">
        <v>761</v>
      </c>
      <c r="B28" s="666">
        <v>0.1</v>
      </c>
      <c r="C28" s="666">
        <v>0.1</v>
      </c>
      <c r="D28" s="666">
        <v>0.1</v>
      </c>
      <c r="E28" s="666">
        <v>0.1</v>
      </c>
      <c r="F28" s="666">
        <v>0.1</v>
      </c>
      <c r="G28" s="666">
        <v>0.1</v>
      </c>
    </row>
    <row r="29" spans="1:7" ht="12.75">
      <c r="A29" s="661" t="s">
        <v>760</v>
      </c>
      <c r="B29" s="666">
        <v>1</v>
      </c>
      <c r="C29" s="666">
        <v>1</v>
      </c>
      <c r="D29" s="666">
        <v>1</v>
      </c>
      <c r="E29" s="666">
        <v>1</v>
      </c>
      <c r="F29" s="666">
        <v>1</v>
      </c>
      <c r="G29" s="666">
        <v>1</v>
      </c>
    </row>
    <row r="30" spans="1:7" ht="18">
      <c r="A30" s="700" t="s">
        <v>585</v>
      </c>
      <c r="B30" s="701"/>
      <c r="C30" s="701"/>
      <c r="D30" s="701"/>
      <c r="E30" s="701"/>
      <c r="F30" s="701"/>
      <c r="G30" s="701"/>
    </row>
    <row r="31" spans="1:7" ht="12.75">
      <c r="A31" s="661" t="s">
        <v>586</v>
      </c>
      <c r="B31" s="667" t="s">
        <v>323</v>
      </c>
      <c r="C31" s="667" t="s">
        <v>323</v>
      </c>
      <c r="D31" s="667" t="s">
        <v>323</v>
      </c>
      <c r="E31" s="669" t="s">
        <v>323</v>
      </c>
      <c r="F31" s="669" t="s">
        <v>323</v>
      </c>
      <c r="G31" s="667" t="s">
        <v>323</v>
      </c>
    </row>
    <row r="32" spans="1:7" ht="12.75">
      <c r="A32" s="661" t="s">
        <v>587</v>
      </c>
      <c r="B32" s="704">
        <v>0.6</v>
      </c>
      <c r="C32" s="704">
        <v>0.6</v>
      </c>
      <c r="D32" s="704">
        <v>0.6</v>
      </c>
      <c r="E32" s="704">
        <v>0.3</v>
      </c>
      <c r="F32" s="704">
        <v>0.1</v>
      </c>
      <c r="G32" s="704">
        <v>0.5</v>
      </c>
    </row>
    <row r="33" spans="1:7" ht="12.75">
      <c r="A33" s="661" t="s">
        <v>588</v>
      </c>
      <c r="B33" s="661">
        <v>14</v>
      </c>
      <c r="C33" s="661">
        <v>13</v>
      </c>
      <c r="D33" s="661">
        <v>13</v>
      </c>
      <c r="E33" s="663">
        <v>17</v>
      </c>
      <c r="F33" s="663">
        <v>14</v>
      </c>
      <c r="G33" s="661">
        <v>12</v>
      </c>
    </row>
    <row r="34" spans="1:7" ht="12.75">
      <c r="A34" s="661" t="s">
        <v>589</v>
      </c>
      <c r="B34" s="661">
        <v>2</v>
      </c>
      <c r="C34" s="661">
        <v>2</v>
      </c>
      <c r="D34" s="661">
        <v>2</v>
      </c>
      <c r="E34" s="663">
        <v>2</v>
      </c>
      <c r="F34" s="663">
        <v>2</v>
      </c>
      <c r="G34" s="661">
        <v>4</v>
      </c>
    </row>
    <row r="35" spans="1:7" ht="12.75">
      <c r="A35" s="661" t="s">
        <v>590</v>
      </c>
      <c r="B35" s="661">
        <v>60</v>
      </c>
      <c r="C35" s="661">
        <v>60</v>
      </c>
      <c r="D35" s="661">
        <v>60</v>
      </c>
      <c r="E35" s="663">
        <v>60</v>
      </c>
      <c r="F35" s="663">
        <v>60</v>
      </c>
      <c r="G35" s="661">
        <v>60</v>
      </c>
    </row>
    <row r="36" spans="1:7" ht="12.75">
      <c r="A36" s="661" t="s">
        <v>591</v>
      </c>
      <c r="B36" s="661">
        <v>2</v>
      </c>
      <c r="C36" s="661">
        <v>2</v>
      </c>
      <c r="D36" s="661">
        <v>2</v>
      </c>
      <c r="E36" s="663">
        <v>3</v>
      </c>
      <c r="F36" s="663">
        <v>3</v>
      </c>
      <c r="G36" s="661">
        <v>3</v>
      </c>
    </row>
    <row r="37" spans="1:7" ht="12.75">
      <c r="A37" s="661" t="s">
        <v>592</v>
      </c>
      <c r="B37" s="661">
        <v>38</v>
      </c>
      <c r="C37" s="661">
        <v>40</v>
      </c>
      <c r="D37" s="661">
        <v>40</v>
      </c>
      <c r="E37" s="663">
        <v>40</v>
      </c>
      <c r="F37" s="663">
        <v>38</v>
      </c>
      <c r="G37" s="661">
        <v>60</v>
      </c>
    </row>
    <row r="38" spans="1:7" ht="12.75">
      <c r="A38" s="661" t="s">
        <v>593</v>
      </c>
      <c r="B38" s="661">
        <v>12</v>
      </c>
      <c r="C38" s="661">
        <v>12</v>
      </c>
      <c r="D38" s="661">
        <v>12</v>
      </c>
      <c r="E38" s="663">
        <v>12</v>
      </c>
      <c r="F38" s="663">
        <v>20</v>
      </c>
      <c r="G38" s="661">
        <v>40</v>
      </c>
    </row>
    <row r="39" spans="1:7" ht="17.25" customHeight="1">
      <c r="A39" s="661" t="s">
        <v>594</v>
      </c>
      <c r="B39" s="667" t="s">
        <v>324</v>
      </c>
      <c r="C39" s="667" t="s">
        <v>324</v>
      </c>
      <c r="D39" s="667" t="s">
        <v>324</v>
      </c>
      <c r="E39" s="669" t="s">
        <v>328</v>
      </c>
      <c r="F39" s="669" t="s">
        <v>328</v>
      </c>
      <c r="G39" s="667" t="s">
        <v>328</v>
      </c>
    </row>
    <row r="40" spans="1:7" ht="17.25" customHeight="1">
      <c r="A40" s="661" t="s">
        <v>595</v>
      </c>
      <c r="B40" s="667" t="s">
        <v>293</v>
      </c>
      <c r="C40" s="667" t="s">
        <v>293</v>
      </c>
      <c r="D40" s="667" t="s">
        <v>293</v>
      </c>
      <c r="E40" s="666">
        <v>15</v>
      </c>
      <c r="F40" s="666">
        <v>25</v>
      </c>
      <c r="G40" s="704">
        <v>20</v>
      </c>
    </row>
    <row r="41" spans="1:7" ht="31.5" customHeight="1">
      <c r="A41" s="682" t="s">
        <v>596</v>
      </c>
      <c r="B41" s="661">
        <v>5</v>
      </c>
      <c r="C41" s="661">
        <v>5</v>
      </c>
      <c r="D41" s="661">
        <v>5</v>
      </c>
      <c r="E41" s="666">
        <v>5</v>
      </c>
      <c r="F41" s="663">
        <v>10</v>
      </c>
      <c r="G41" s="661">
        <v>5</v>
      </c>
    </row>
    <row r="42" spans="1:7" ht="12.75">
      <c r="A42" s="661" t="s">
        <v>597</v>
      </c>
      <c r="B42" s="661">
        <v>11</v>
      </c>
      <c r="C42" s="661">
        <v>11</v>
      </c>
      <c r="D42" s="661">
        <v>11</v>
      </c>
      <c r="E42" s="663">
        <v>11</v>
      </c>
      <c r="F42" s="663">
        <v>11</v>
      </c>
      <c r="G42" s="661">
        <v>11</v>
      </c>
    </row>
    <row r="43" spans="1:7" ht="12.75">
      <c r="A43" s="661" t="s">
        <v>598</v>
      </c>
      <c r="B43" s="704">
        <v>6</v>
      </c>
      <c r="C43" s="704">
        <v>6.5</v>
      </c>
      <c r="D43" s="704">
        <v>6</v>
      </c>
      <c r="E43" s="663">
        <v>6</v>
      </c>
      <c r="F43" s="663">
        <v>6</v>
      </c>
      <c r="G43" s="704">
        <v>6</v>
      </c>
    </row>
    <row r="44" spans="1:7" ht="12.75">
      <c r="A44" s="661" t="s">
        <v>599</v>
      </c>
      <c r="B44" s="661">
        <v>11</v>
      </c>
      <c r="C44" s="661">
        <v>11</v>
      </c>
      <c r="D44" s="661">
        <v>11</v>
      </c>
      <c r="E44" s="663">
        <v>11</v>
      </c>
      <c r="F44" s="663">
        <v>11</v>
      </c>
      <c r="G44" s="661">
        <v>11</v>
      </c>
    </row>
    <row r="45" spans="1:7" ht="12.75">
      <c r="A45" s="661" t="s">
        <v>600</v>
      </c>
      <c r="B45" s="667" t="s">
        <v>293</v>
      </c>
      <c r="C45" s="667" t="s">
        <v>293</v>
      </c>
      <c r="D45" s="667" t="s">
        <v>293</v>
      </c>
      <c r="E45" s="667" t="s">
        <v>293</v>
      </c>
      <c r="F45" s="667" t="s">
        <v>293</v>
      </c>
      <c r="G45" s="667" t="s">
        <v>293</v>
      </c>
    </row>
    <row r="46" spans="1:7" ht="12.75">
      <c r="A46" s="661" t="s">
        <v>286</v>
      </c>
      <c r="B46" s="704">
        <v>1</v>
      </c>
      <c r="C46" s="704">
        <v>1</v>
      </c>
      <c r="D46" s="704">
        <v>1</v>
      </c>
      <c r="E46" s="666">
        <v>1</v>
      </c>
      <c r="F46" s="666">
        <v>1</v>
      </c>
      <c r="G46" s="704">
        <v>1</v>
      </c>
    </row>
    <row r="47" spans="1:7" ht="12.75">
      <c r="A47" s="661" t="s">
        <v>287</v>
      </c>
      <c r="B47" s="704">
        <v>6</v>
      </c>
      <c r="C47" s="704">
        <v>6</v>
      </c>
      <c r="D47" s="704">
        <v>6</v>
      </c>
      <c r="E47" s="666">
        <v>6</v>
      </c>
      <c r="F47" s="666">
        <v>6</v>
      </c>
      <c r="G47" s="704">
        <v>6</v>
      </c>
    </row>
    <row r="48" spans="1:7" ht="12.75">
      <c r="A48" s="661" t="s">
        <v>601</v>
      </c>
      <c r="B48" s="669" t="s">
        <v>328</v>
      </c>
      <c r="C48" s="669" t="s">
        <v>328</v>
      </c>
      <c r="D48" s="669" t="s">
        <v>328</v>
      </c>
      <c r="E48" s="669" t="s">
        <v>328</v>
      </c>
      <c r="F48" s="669" t="s">
        <v>328</v>
      </c>
      <c r="G48" s="669" t="s">
        <v>328</v>
      </c>
    </row>
    <row r="49" spans="1:7" ht="25.5">
      <c r="A49" s="661" t="s">
        <v>602</v>
      </c>
      <c r="B49" s="706" t="s">
        <v>367</v>
      </c>
      <c r="C49" s="706" t="s">
        <v>367</v>
      </c>
      <c r="D49" s="706" t="s">
        <v>367</v>
      </c>
      <c r="E49" s="706" t="s">
        <v>367</v>
      </c>
      <c r="F49" s="706" t="s">
        <v>367</v>
      </c>
      <c r="G49" s="706" t="s">
        <v>367</v>
      </c>
    </row>
    <row r="50" spans="1:7" ht="12.75">
      <c r="A50" s="661" t="s">
        <v>603</v>
      </c>
      <c r="B50" s="661">
        <v>1</v>
      </c>
      <c r="C50" s="661">
        <v>0.5</v>
      </c>
      <c r="D50" s="661">
        <v>1</v>
      </c>
      <c r="E50" s="663">
        <v>1.25</v>
      </c>
      <c r="F50" s="663">
        <v>1.5</v>
      </c>
      <c r="G50" s="661">
        <v>1.25</v>
      </c>
    </row>
    <row r="51" spans="1:7" ht="12.75">
      <c r="A51" s="661" t="s">
        <v>606</v>
      </c>
      <c r="B51" s="704">
        <v>5</v>
      </c>
      <c r="C51" s="704">
        <v>5</v>
      </c>
      <c r="D51" s="704">
        <v>5</v>
      </c>
      <c r="E51" s="666">
        <v>3</v>
      </c>
      <c r="F51" s="666">
        <v>5</v>
      </c>
      <c r="G51" s="704">
        <v>3</v>
      </c>
    </row>
    <row r="52" spans="1:7" ht="12.75">
      <c r="A52" s="661" t="s">
        <v>289</v>
      </c>
      <c r="B52" s="667" t="s">
        <v>324</v>
      </c>
      <c r="C52" s="667" t="s">
        <v>324</v>
      </c>
      <c r="D52" s="667" t="s">
        <v>324</v>
      </c>
      <c r="E52" s="669" t="s">
        <v>324</v>
      </c>
      <c r="F52" s="669" t="s">
        <v>324</v>
      </c>
      <c r="G52" s="667" t="s">
        <v>324</v>
      </c>
    </row>
    <row r="53" spans="1:7" ht="25.5">
      <c r="A53" s="682" t="s">
        <v>607</v>
      </c>
      <c r="B53" s="704">
        <v>4</v>
      </c>
      <c r="C53" s="704">
        <v>4</v>
      </c>
      <c r="D53" s="704">
        <v>4</v>
      </c>
      <c r="E53" s="704">
        <v>4</v>
      </c>
      <c r="F53" s="704">
        <v>4</v>
      </c>
      <c r="G53" s="704">
        <v>4</v>
      </c>
    </row>
    <row r="54" spans="1:7" ht="12.75">
      <c r="A54" s="682" t="s">
        <v>608</v>
      </c>
      <c r="B54" s="704">
        <v>1800</v>
      </c>
      <c r="C54" s="704">
        <v>1800</v>
      </c>
      <c r="D54" s="704">
        <v>1800</v>
      </c>
      <c r="E54" s="704">
        <v>1800</v>
      </c>
      <c r="F54" s="666">
        <v>1800</v>
      </c>
      <c r="G54" s="666">
        <v>1800</v>
      </c>
    </row>
    <row r="55" spans="1:7" ht="12.75">
      <c r="A55" s="661" t="s">
        <v>609</v>
      </c>
      <c r="B55" s="704">
        <v>5.1000000000000004E-3</v>
      </c>
      <c r="C55" s="704">
        <v>5.5999999999999999E-3</v>
      </c>
      <c r="D55" s="704">
        <v>5.5999999999999999E-3</v>
      </c>
      <c r="E55" s="704">
        <v>5.5999999999999999E-3</v>
      </c>
      <c r="F55" s="704">
        <v>1.6000000000000001E-3</v>
      </c>
      <c r="G55" s="704">
        <v>5.0000000000000001E-4</v>
      </c>
    </row>
    <row r="56" spans="1:7" ht="12.75">
      <c r="A56" s="661" t="s">
        <v>611</v>
      </c>
      <c r="B56" s="704">
        <v>7.1599999999999997E-2</v>
      </c>
      <c r="C56" s="704">
        <v>6.2600000000000003E-2</v>
      </c>
      <c r="D56" s="704">
        <v>6.2600000000000003E-2</v>
      </c>
      <c r="E56" s="704">
        <v>8.4100000000000008E-3</v>
      </c>
      <c r="F56" s="704">
        <v>9.2600000000000002E-2</v>
      </c>
      <c r="G56" s="704">
        <v>2.7099999999999999E-2</v>
      </c>
    </row>
    <row r="57" spans="1:7" ht="12.75">
      <c r="A57" s="661" t="s">
        <v>613</v>
      </c>
      <c r="B57" s="704">
        <v>1</v>
      </c>
      <c r="C57" s="704">
        <v>1</v>
      </c>
      <c r="D57" s="704">
        <v>1</v>
      </c>
      <c r="E57" s="704">
        <v>1</v>
      </c>
      <c r="F57" s="704">
        <v>1</v>
      </c>
      <c r="G57" s="704">
        <v>1</v>
      </c>
    </row>
    <row r="58" spans="1:7" ht="12.75">
      <c r="A58" s="661" t="s">
        <v>615</v>
      </c>
      <c r="B58" s="704">
        <v>5.0000000000000001E-4</v>
      </c>
      <c r="C58" s="704">
        <v>4.0000000000000002E-4</v>
      </c>
      <c r="D58" s="704">
        <v>4.0000000000000002E-4</v>
      </c>
      <c r="E58" s="704">
        <v>5.0000000000000001E-4</v>
      </c>
      <c r="F58" s="704">
        <v>4.0000000000000002E-4</v>
      </c>
      <c r="G58" s="704">
        <v>2.0000000000000001E-4</v>
      </c>
    </row>
    <row r="59" spans="1:7" ht="24" customHeight="1">
      <c r="A59" s="707" t="s">
        <v>617</v>
      </c>
      <c r="B59" s="708"/>
      <c r="C59" s="708"/>
      <c r="D59" s="708"/>
      <c r="E59" s="708"/>
      <c r="F59" s="708"/>
      <c r="G59" s="708"/>
    </row>
    <row r="60" spans="1:7" ht="12.75">
      <c r="A60" s="661" t="s">
        <v>618</v>
      </c>
      <c r="B60" s="704">
        <f>90*0.0465</f>
        <v>4.1849999999999996</v>
      </c>
      <c r="C60" s="704">
        <f>90*0.0555</f>
        <v>4.9950000000000001</v>
      </c>
      <c r="D60" s="704">
        <f>90*0.0555</f>
        <v>4.9950000000000001</v>
      </c>
      <c r="E60" s="666">
        <f>90*0.0465</f>
        <v>4.1849999999999996</v>
      </c>
      <c r="F60" s="666">
        <f>90*0.04</f>
        <v>3.6</v>
      </c>
      <c r="G60" s="704">
        <f>90*0.2</f>
        <v>18</v>
      </c>
    </row>
    <row r="61" spans="1:7" ht="12.75">
      <c r="A61" s="661" t="s">
        <v>792</v>
      </c>
      <c r="B61" s="704">
        <v>14.16</v>
      </c>
      <c r="C61" s="704">
        <v>18</v>
      </c>
      <c r="D61" s="704">
        <v>18</v>
      </c>
      <c r="E61" s="669" t="s">
        <v>293</v>
      </c>
      <c r="F61" s="669" t="s">
        <v>293</v>
      </c>
      <c r="G61" s="667" t="s">
        <v>293</v>
      </c>
    </row>
    <row r="62" spans="1:7" ht="12.75">
      <c r="A62" s="661" t="s">
        <v>621</v>
      </c>
      <c r="B62" s="704">
        <v>1.05</v>
      </c>
      <c r="C62" s="704">
        <v>1.05</v>
      </c>
      <c r="D62" s="704">
        <v>1.05</v>
      </c>
      <c r="E62" s="666">
        <v>1.05</v>
      </c>
      <c r="F62" s="704">
        <v>1.05</v>
      </c>
      <c r="G62" s="704">
        <v>1.2</v>
      </c>
    </row>
    <row r="63" spans="1:7" ht="12.75">
      <c r="A63" s="661" t="s">
        <v>622</v>
      </c>
      <c r="B63" s="661">
        <v>30</v>
      </c>
      <c r="C63" s="661">
        <v>30</v>
      </c>
      <c r="D63" s="661">
        <v>30</v>
      </c>
      <c r="E63" s="661">
        <v>30</v>
      </c>
      <c r="F63" s="661">
        <v>35</v>
      </c>
      <c r="G63" s="667" t="s">
        <v>293</v>
      </c>
    </row>
    <row r="64" spans="1:7" ht="12.75">
      <c r="A64" s="661" t="s">
        <v>623</v>
      </c>
      <c r="B64" s="661">
        <v>1000</v>
      </c>
      <c r="C64" s="661">
        <v>1000</v>
      </c>
      <c r="D64" s="661">
        <v>1000</v>
      </c>
      <c r="E64" s="663">
        <v>1000</v>
      </c>
      <c r="F64" s="669" t="s">
        <v>293</v>
      </c>
      <c r="G64" s="661">
        <v>1000</v>
      </c>
    </row>
    <row r="65" spans="1:7" ht="12.75">
      <c r="A65" s="661" t="s">
        <v>624</v>
      </c>
      <c r="B65" s="661">
        <v>1.7</v>
      </c>
      <c r="C65" s="661">
        <v>1.7</v>
      </c>
      <c r="D65" s="661">
        <v>1.7</v>
      </c>
      <c r="E65" s="663">
        <v>2</v>
      </c>
      <c r="F65" s="663">
        <v>2.5</v>
      </c>
      <c r="G65" s="661">
        <v>2.2000000000000002</v>
      </c>
    </row>
    <row r="66" spans="1:7" ht="12.75">
      <c r="A66" s="661" t="s">
        <v>625</v>
      </c>
      <c r="B66" s="661">
        <v>5.2</v>
      </c>
      <c r="C66" s="661">
        <v>6</v>
      </c>
      <c r="D66" s="661">
        <v>6</v>
      </c>
      <c r="E66" s="663">
        <v>5</v>
      </c>
      <c r="F66" s="663">
        <v>6</v>
      </c>
      <c r="G66" s="661">
        <v>6</v>
      </c>
    </row>
    <row r="67" spans="1:7" ht="12.75">
      <c r="A67" s="661" t="s">
        <v>629</v>
      </c>
      <c r="B67" s="661">
        <v>30</v>
      </c>
      <c r="C67" s="661">
        <v>30</v>
      </c>
      <c r="D67" s="661">
        <v>30</v>
      </c>
      <c r="E67" s="661">
        <v>30</v>
      </c>
      <c r="F67" s="661">
        <v>30</v>
      </c>
      <c r="G67" s="661">
        <v>30</v>
      </c>
    </row>
    <row r="68" spans="1:7" ht="12.75">
      <c r="A68" s="661" t="s">
        <v>759</v>
      </c>
      <c r="B68" s="661">
        <v>8</v>
      </c>
      <c r="C68" s="661">
        <v>8</v>
      </c>
      <c r="D68" s="661">
        <v>8</v>
      </c>
      <c r="E68" s="663">
        <v>10</v>
      </c>
      <c r="F68" s="663">
        <v>10</v>
      </c>
      <c r="G68" s="661">
        <v>6</v>
      </c>
    </row>
    <row r="69" spans="1:7" ht="12.75">
      <c r="A69" s="661" t="s">
        <v>631</v>
      </c>
      <c r="B69" s="661">
        <v>10.199999999999999</v>
      </c>
      <c r="C69" s="661">
        <v>12</v>
      </c>
      <c r="D69" s="661">
        <v>12</v>
      </c>
      <c r="E69" s="663">
        <v>13</v>
      </c>
      <c r="F69" s="663">
        <v>16</v>
      </c>
      <c r="G69" s="661">
        <v>20</v>
      </c>
    </row>
    <row r="70" spans="1:7" ht="12.75">
      <c r="A70" s="661" t="s">
        <v>632</v>
      </c>
      <c r="B70" s="661">
        <v>10.199999999999999</v>
      </c>
      <c r="C70" s="661">
        <v>12</v>
      </c>
      <c r="D70" s="661">
        <v>12</v>
      </c>
      <c r="E70" s="663">
        <v>13</v>
      </c>
      <c r="F70" s="663">
        <v>16</v>
      </c>
      <c r="G70" s="661">
        <v>20</v>
      </c>
    </row>
    <row r="71" spans="1:7" ht="12.75">
      <c r="A71" s="661" t="s">
        <v>633</v>
      </c>
      <c r="B71" s="667" t="s">
        <v>324</v>
      </c>
      <c r="C71" s="667" t="s">
        <v>324</v>
      </c>
      <c r="D71" s="667" t="s">
        <v>324</v>
      </c>
      <c r="E71" s="669" t="s">
        <v>324</v>
      </c>
      <c r="F71" s="669" t="s">
        <v>324</v>
      </c>
      <c r="G71" s="667" t="s">
        <v>324</v>
      </c>
    </row>
    <row r="72" spans="1:7" ht="12.75">
      <c r="A72" s="661" t="s">
        <v>634</v>
      </c>
      <c r="B72" s="713" t="s">
        <v>293</v>
      </c>
      <c r="C72" s="713" t="s">
        <v>293</v>
      </c>
      <c r="D72" s="713" t="s">
        <v>293</v>
      </c>
      <c r="E72" s="669" t="s">
        <v>293</v>
      </c>
      <c r="F72" s="717" t="s">
        <v>293</v>
      </c>
      <c r="G72" s="713" t="s">
        <v>293</v>
      </c>
    </row>
    <row r="73" spans="1:7" ht="83.25" customHeight="1">
      <c r="A73" s="722" t="s">
        <v>635</v>
      </c>
      <c r="B73" s="773"/>
      <c r="C73" s="773"/>
      <c r="D73" s="773"/>
      <c r="E73" s="773"/>
      <c r="F73" s="773"/>
      <c r="G73" s="773"/>
    </row>
    <row r="74" spans="1:7" ht="142.5" customHeight="1">
      <c r="A74" s="779" t="s">
        <v>791</v>
      </c>
      <c r="B74" s="661"/>
      <c r="C74" s="661"/>
      <c r="D74" s="661"/>
      <c r="E74" s="663"/>
      <c r="F74" s="663"/>
      <c r="G74" s="661"/>
    </row>
    <row r="75" spans="1:7" ht="36" customHeight="1">
      <c r="A75" s="729"/>
      <c r="B75" s="661"/>
      <c r="C75" s="661"/>
      <c r="D75" s="661"/>
      <c r="E75" s="663"/>
      <c r="F75" s="663"/>
      <c r="G75" s="661"/>
    </row>
    <row r="76" spans="1:7" ht="53.25" customHeight="1">
      <c r="A76" s="682"/>
      <c r="B76" s="661"/>
      <c r="C76" s="661"/>
      <c r="D76" s="661"/>
      <c r="E76" s="663"/>
      <c r="F76" s="663"/>
      <c r="G76" s="661"/>
    </row>
    <row r="77" spans="1:7" ht="67.5" customHeight="1">
      <c r="A77" s="730"/>
      <c r="B77" s="661"/>
      <c r="C77" s="661"/>
      <c r="D77" s="661"/>
      <c r="E77" s="663"/>
      <c r="F77" s="663"/>
      <c r="G77" s="661"/>
    </row>
    <row r="78" spans="1:7" ht="15" customHeight="1">
      <c r="A78" s="661"/>
      <c r="B78" s="661"/>
      <c r="C78" s="661"/>
      <c r="D78" s="661"/>
      <c r="E78" s="663"/>
      <c r="F78" s="663"/>
      <c r="G78" s="661"/>
    </row>
    <row r="79" spans="1:7" ht="12.75">
      <c r="A79" s="661"/>
      <c r="B79" s="661"/>
      <c r="C79" s="661"/>
      <c r="D79" s="661"/>
      <c r="E79" s="663"/>
      <c r="F79" s="663"/>
      <c r="G79" s="661"/>
    </row>
    <row r="80" spans="1:7" ht="12.75">
      <c r="A80" s="661"/>
      <c r="B80" s="661"/>
      <c r="C80" s="661"/>
      <c r="D80" s="661"/>
      <c r="E80" s="663"/>
      <c r="F80" s="663"/>
      <c r="G80" s="661"/>
    </row>
    <row r="81" spans="1:7" ht="12.75">
      <c r="A81" s="661"/>
      <c r="B81" s="661"/>
      <c r="C81" s="661"/>
      <c r="D81" s="661"/>
      <c r="E81" s="663"/>
      <c r="F81" s="663"/>
      <c r="G81" s="661"/>
    </row>
    <row r="82" spans="1:7" ht="12.75">
      <c r="A82" s="661"/>
      <c r="B82" s="661"/>
      <c r="C82" s="661"/>
      <c r="D82" s="661"/>
      <c r="E82" s="663"/>
      <c r="F82" s="663"/>
      <c r="G82" s="661"/>
    </row>
    <row r="83" spans="1:7" ht="12.75">
      <c r="A83" s="661"/>
      <c r="B83" s="661"/>
      <c r="C83" s="661"/>
      <c r="D83" s="661"/>
      <c r="E83" s="663"/>
      <c r="F83" s="663"/>
      <c r="G83" s="661"/>
    </row>
  </sheetData>
  <conditionalFormatting sqref="A1:G1 A3:G7 A9:G19 A21:G29 A31:G58 A60:G83">
    <cfRule type="expression" dxfId="66" priority="1">
      <formula>ISODD(COLUMN())</formula>
    </cfRule>
    <cfRule type="expression" dxfId="65" priority="2">
      <formula>ISEVEN(COLUMN())</formula>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75AED-0839-41E0-BC0E-C7AE9179C510}">
  <sheetPr>
    <tabColor rgb="FF980000"/>
    <outlinePr summaryBelow="0" summaryRight="0"/>
  </sheetPr>
  <dimension ref="A1:AF110"/>
  <sheetViews>
    <sheetView workbookViewId="0">
      <pane xSplit="1" ySplit="1" topLeftCell="T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1.28515625" customWidth="1"/>
    <col min="2" max="32" width="16.7109375" customWidth="1"/>
  </cols>
  <sheetData>
    <row r="1" spans="1:32" ht="35.25" customHeight="1">
      <c r="A1" s="651" t="s">
        <v>551</v>
      </c>
      <c r="B1" s="652" t="s">
        <v>843</v>
      </c>
      <c r="C1" s="654" t="s">
        <v>842</v>
      </c>
      <c r="D1" s="652" t="s">
        <v>841</v>
      </c>
      <c r="E1" s="652" t="s">
        <v>840</v>
      </c>
      <c r="F1" s="652" t="s">
        <v>839</v>
      </c>
      <c r="G1" s="652" t="s">
        <v>839</v>
      </c>
      <c r="H1" s="653" t="s">
        <v>838</v>
      </c>
      <c r="I1" s="653" t="s">
        <v>838</v>
      </c>
      <c r="J1" s="653" t="s">
        <v>838</v>
      </c>
      <c r="K1" s="653" t="s">
        <v>838</v>
      </c>
      <c r="L1" s="654" t="s">
        <v>837</v>
      </c>
      <c r="M1" s="652" t="s">
        <v>647</v>
      </c>
      <c r="N1" s="652" t="s">
        <v>648</v>
      </c>
      <c r="O1" s="654" t="s">
        <v>315</v>
      </c>
      <c r="P1" s="654" t="s">
        <v>316</v>
      </c>
      <c r="Q1" s="654" t="s">
        <v>303</v>
      </c>
      <c r="R1" s="652" t="s">
        <v>304</v>
      </c>
      <c r="S1" s="652" t="s">
        <v>305</v>
      </c>
      <c r="T1" s="652" t="s">
        <v>645</v>
      </c>
      <c r="U1" s="652" t="s">
        <v>646</v>
      </c>
      <c r="V1" s="652" t="s">
        <v>307</v>
      </c>
      <c r="W1" s="652" t="s">
        <v>309</v>
      </c>
      <c r="X1" s="654" t="s">
        <v>836</v>
      </c>
      <c r="Y1" s="653" t="s">
        <v>302</v>
      </c>
      <c r="Z1" s="654" t="s">
        <v>311</v>
      </c>
      <c r="AA1" s="652" t="s">
        <v>835</v>
      </c>
      <c r="AB1" s="652" t="s">
        <v>835</v>
      </c>
      <c r="AC1" s="655" t="s">
        <v>313</v>
      </c>
      <c r="AD1" s="654" t="s">
        <v>318</v>
      </c>
      <c r="AE1" s="654" t="s">
        <v>317</v>
      </c>
      <c r="AF1" s="654" t="s">
        <v>317</v>
      </c>
    </row>
    <row r="2" spans="1:32" ht="141.75" customHeight="1">
      <c r="A2" s="656" t="s">
        <v>562</v>
      </c>
      <c r="B2" s="658"/>
      <c r="C2" s="658"/>
      <c r="D2" s="658"/>
      <c r="E2" s="658"/>
      <c r="F2" s="658"/>
      <c r="G2" s="658"/>
      <c r="H2" s="732"/>
      <c r="I2" s="732"/>
      <c r="J2" s="732"/>
      <c r="K2" s="732"/>
      <c r="L2" s="658"/>
      <c r="M2" s="658"/>
      <c r="N2" s="658"/>
      <c r="O2" s="658"/>
      <c r="P2" s="658"/>
      <c r="Q2" s="658"/>
      <c r="R2" s="658"/>
      <c r="S2" s="658"/>
      <c r="T2" s="658"/>
      <c r="U2" s="658"/>
      <c r="V2" s="658"/>
      <c r="W2" s="658"/>
      <c r="X2" s="658"/>
      <c r="Y2" s="732"/>
      <c r="Z2" s="658"/>
      <c r="AA2" s="658"/>
      <c r="AB2" s="658"/>
      <c r="AC2" s="659"/>
      <c r="AD2" s="658"/>
      <c r="AE2" s="658"/>
      <c r="AF2" s="658"/>
    </row>
    <row r="3" spans="1:32" ht="17.25" customHeight="1">
      <c r="A3" s="661" t="s">
        <v>563</v>
      </c>
      <c r="B3" s="661">
        <v>172</v>
      </c>
      <c r="C3" s="663">
        <v>182.34</v>
      </c>
      <c r="D3" s="661">
        <v>205</v>
      </c>
      <c r="E3" s="661">
        <v>193.7</v>
      </c>
      <c r="F3" s="661">
        <v>231.33</v>
      </c>
      <c r="G3" s="661">
        <v>231.33</v>
      </c>
      <c r="H3" s="662">
        <v>231.33</v>
      </c>
      <c r="I3" s="662">
        <v>231.33</v>
      </c>
      <c r="J3" s="662">
        <v>231.33</v>
      </c>
      <c r="K3" s="662">
        <v>231.33</v>
      </c>
      <c r="L3" s="663">
        <v>95.254400000000004</v>
      </c>
      <c r="M3" s="661">
        <v>230</v>
      </c>
      <c r="N3" s="661">
        <v>230</v>
      </c>
      <c r="O3" s="663">
        <v>172.5</v>
      </c>
      <c r="P3" s="663">
        <v>193.5</v>
      </c>
      <c r="Q3" s="663">
        <v>75.3</v>
      </c>
      <c r="R3" s="661">
        <v>223</v>
      </c>
      <c r="S3" s="661">
        <v>244</v>
      </c>
      <c r="T3" s="661">
        <v>350</v>
      </c>
      <c r="U3" s="661">
        <v>350</v>
      </c>
      <c r="V3" s="661">
        <v>253</v>
      </c>
      <c r="W3" s="661">
        <v>253</v>
      </c>
      <c r="X3" s="663">
        <v>193</v>
      </c>
      <c r="Y3" s="662">
        <v>625</v>
      </c>
      <c r="Z3" s="663">
        <v>193</v>
      </c>
      <c r="AA3" s="661">
        <v>193</v>
      </c>
      <c r="AB3" s="661">
        <v>193</v>
      </c>
      <c r="AC3" s="664">
        <v>208.2</v>
      </c>
      <c r="AD3" s="663">
        <v>270</v>
      </c>
      <c r="AE3" s="663">
        <v>245</v>
      </c>
      <c r="AF3" s="663">
        <v>245</v>
      </c>
    </row>
    <row r="4" spans="1:32" ht="12.75">
      <c r="A4" s="661" t="s">
        <v>564</v>
      </c>
      <c r="B4" s="704">
        <v>144</v>
      </c>
      <c r="C4" s="666">
        <v>144</v>
      </c>
      <c r="D4" s="704">
        <v>146</v>
      </c>
      <c r="E4" s="704">
        <v>146</v>
      </c>
      <c r="F4" s="704">
        <v>193.68</v>
      </c>
      <c r="G4" s="704">
        <v>193.68</v>
      </c>
      <c r="H4" s="662">
        <v>193.68</v>
      </c>
      <c r="I4" s="662">
        <v>193.68</v>
      </c>
      <c r="J4" s="662">
        <v>193.68</v>
      </c>
      <c r="K4" s="662">
        <v>193.68</v>
      </c>
      <c r="L4" s="663">
        <v>67.857420000000005</v>
      </c>
      <c r="M4" s="704">
        <v>173</v>
      </c>
      <c r="N4" s="704">
        <v>173</v>
      </c>
      <c r="O4" s="666">
        <v>148.69999999999999</v>
      </c>
      <c r="P4" s="666">
        <v>160</v>
      </c>
      <c r="Q4" s="663">
        <v>54.8</v>
      </c>
      <c r="R4" s="661">
        <v>190</v>
      </c>
      <c r="S4" s="704">
        <v>169</v>
      </c>
      <c r="T4" s="704">
        <v>286</v>
      </c>
      <c r="U4" s="704">
        <v>286</v>
      </c>
      <c r="V4" s="704">
        <v>186</v>
      </c>
      <c r="W4" s="704">
        <v>186</v>
      </c>
      <c r="X4" s="666">
        <v>146</v>
      </c>
      <c r="Y4" s="662">
        <v>443</v>
      </c>
      <c r="Z4" s="666">
        <v>146</v>
      </c>
      <c r="AA4" s="704">
        <v>146</v>
      </c>
      <c r="AB4" s="704">
        <v>146</v>
      </c>
      <c r="AC4" s="664">
        <v>163</v>
      </c>
      <c r="AD4" s="666">
        <v>234</v>
      </c>
      <c r="AE4" s="666">
        <v>210.45</v>
      </c>
      <c r="AF4" s="666">
        <v>210.45</v>
      </c>
    </row>
    <row r="5" spans="1:32" ht="12.75">
      <c r="A5" s="661" t="s">
        <v>565</v>
      </c>
      <c r="B5" s="667" t="s">
        <v>293</v>
      </c>
      <c r="C5" s="669" t="s">
        <v>293</v>
      </c>
      <c r="D5" s="667" t="s">
        <v>293</v>
      </c>
      <c r="E5" s="667" t="s">
        <v>293</v>
      </c>
      <c r="F5" s="704">
        <v>170.1</v>
      </c>
      <c r="G5" s="704">
        <v>170.1</v>
      </c>
      <c r="H5" s="662">
        <v>170.1</v>
      </c>
      <c r="I5" s="662">
        <v>170.1</v>
      </c>
      <c r="J5" s="662">
        <v>170.1</v>
      </c>
      <c r="K5" s="662">
        <v>170.1</v>
      </c>
      <c r="L5" s="667" t="s">
        <v>293</v>
      </c>
      <c r="M5" s="683" t="s">
        <v>293</v>
      </c>
      <c r="N5" s="683" t="s">
        <v>293</v>
      </c>
      <c r="O5" s="666">
        <v>136.80000000000001</v>
      </c>
      <c r="P5" s="666">
        <v>148</v>
      </c>
      <c r="Q5" s="669" t="s">
        <v>293</v>
      </c>
      <c r="R5" s="667" t="s">
        <v>293</v>
      </c>
      <c r="S5" s="669" t="s">
        <v>293</v>
      </c>
      <c r="T5" s="666">
        <v>211.5</v>
      </c>
      <c r="U5" s="666">
        <v>211.5</v>
      </c>
      <c r="V5" s="669" t="s">
        <v>293</v>
      </c>
      <c r="W5" s="669" t="s">
        <v>293</v>
      </c>
      <c r="X5" s="683" t="s">
        <v>293</v>
      </c>
      <c r="Y5" s="662">
        <v>330</v>
      </c>
      <c r="Z5" s="667" t="s">
        <v>293</v>
      </c>
      <c r="AA5" s="683" t="s">
        <v>293</v>
      </c>
      <c r="AB5" s="683" t="s">
        <v>293</v>
      </c>
      <c r="AC5" s="786">
        <v>146</v>
      </c>
      <c r="AD5" s="666">
        <v>171.5</v>
      </c>
      <c r="AE5" s="666">
        <v>165</v>
      </c>
      <c r="AF5" s="666">
        <v>165</v>
      </c>
    </row>
    <row r="6" spans="1:32" ht="12.75">
      <c r="A6" s="661" t="s">
        <v>566</v>
      </c>
      <c r="B6" s="661">
        <v>200</v>
      </c>
      <c r="C6" s="663">
        <v>200</v>
      </c>
      <c r="D6" s="661">
        <v>200</v>
      </c>
      <c r="E6" s="661">
        <v>200</v>
      </c>
      <c r="F6" s="661">
        <v>200</v>
      </c>
      <c r="G6" s="661">
        <v>200</v>
      </c>
      <c r="H6" s="662">
        <v>203.2</v>
      </c>
      <c r="I6" s="662">
        <v>203.2</v>
      </c>
      <c r="J6" s="662">
        <v>203.2</v>
      </c>
      <c r="K6" s="662">
        <v>203.2</v>
      </c>
      <c r="L6" s="663">
        <v>127</v>
      </c>
      <c r="M6" s="661">
        <v>200</v>
      </c>
      <c r="N6" s="661">
        <v>200</v>
      </c>
      <c r="O6" s="663">
        <v>263</v>
      </c>
      <c r="P6" s="663">
        <v>263</v>
      </c>
      <c r="Q6" s="663">
        <v>127</v>
      </c>
      <c r="R6" s="661">
        <v>200</v>
      </c>
      <c r="S6" s="661">
        <v>200</v>
      </c>
      <c r="T6" s="661">
        <v>260</v>
      </c>
      <c r="U6" s="661">
        <v>260</v>
      </c>
      <c r="V6" s="661">
        <v>230</v>
      </c>
      <c r="W6" s="661">
        <v>230</v>
      </c>
      <c r="X6" s="663">
        <v>200</v>
      </c>
      <c r="Y6" s="662">
        <v>370</v>
      </c>
      <c r="Z6" s="663">
        <v>200</v>
      </c>
      <c r="AA6" s="661">
        <v>200</v>
      </c>
      <c r="AB6" s="661">
        <v>200</v>
      </c>
      <c r="AC6" s="664">
        <v>200</v>
      </c>
      <c r="AD6" s="663">
        <v>263</v>
      </c>
      <c r="AE6" s="663">
        <v>263</v>
      </c>
      <c r="AF6" s="663">
        <v>263</v>
      </c>
    </row>
    <row r="7" spans="1:32" ht="12.75">
      <c r="A7" s="661" t="s">
        <v>567</v>
      </c>
      <c r="B7" s="661">
        <v>3.66</v>
      </c>
      <c r="C7" s="663">
        <v>3.66</v>
      </c>
      <c r="D7" s="661">
        <v>3.66</v>
      </c>
      <c r="E7" s="661">
        <v>3.66</v>
      </c>
      <c r="F7" s="661">
        <v>3.6619999999999999</v>
      </c>
      <c r="G7" s="661">
        <v>3.6619999999999999</v>
      </c>
      <c r="H7" s="662">
        <v>3.6619999999999999</v>
      </c>
      <c r="I7" s="662">
        <v>3.6619999999999999</v>
      </c>
      <c r="J7" s="662">
        <v>3.6619999999999999</v>
      </c>
      <c r="K7" s="662">
        <v>3.6619999999999999</v>
      </c>
      <c r="L7" s="663">
        <v>3.0230000000000001</v>
      </c>
      <c r="M7" s="661">
        <v>3.7</v>
      </c>
      <c r="N7" s="661">
        <v>3.7</v>
      </c>
      <c r="O7" s="663">
        <v>3.28</v>
      </c>
      <c r="P7" s="663">
        <v>3.28</v>
      </c>
      <c r="Q7" s="663">
        <v>2.83</v>
      </c>
      <c r="R7" s="661">
        <v>4.46</v>
      </c>
      <c r="S7" s="661">
        <v>4.4870000000000001</v>
      </c>
      <c r="T7" s="661">
        <v>4.7</v>
      </c>
      <c r="U7" s="661">
        <v>4.7</v>
      </c>
      <c r="V7" s="661">
        <v>4</v>
      </c>
      <c r="W7" s="661">
        <v>4</v>
      </c>
      <c r="X7" s="663">
        <v>3.66</v>
      </c>
      <c r="Y7" s="662">
        <v>5.08</v>
      </c>
      <c r="Z7" s="663">
        <v>3.66</v>
      </c>
      <c r="AA7" s="661">
        <v>3.66</v>
      </c>
      <c r="AB7" s="661">
        <v>3.66</v>
      </c>
      <c r="AC7" s="664">
        <v>3.66</v>
      </c>
      <c r="AD7" s="663">
        <v>3.8</v>
      </c>
      <c r="AE7" s="663">
        <v>3.54</v>
      </c>
      <c r="AF7" s="663">
        <v>3.54</v>
      </c>
    </row>
    <row r="8" spans="1:32" ht="20.25" customHeight="1">
      <c r="A8" s="671" t="s">
        <v>568</v>
      </c>
      <c r="B8" s="672"/>
      <c r="C8" s="672"/>
      <c r="D8" s="672"/>
      <c r="E8" s="672"/>
      <c r="F8" s="672"/>
      <c r="G8" s="672"/>
      <c r="H8" s="673"/>
      <c r="I8" s="673"/>
      <c r="J8" s="673"/>
      <c r="K8" s="673"/>
      <c r="L8" s="672"/>
      <c r="M8" s="672"/>
      <c r="N8" s="672"/>
      <c r="O8" s="672"/>
      <c r="P8" s="672"/>
      <c r="Q8" s="672"/>
      <c r="R8" s="672"/>
      <c r="S8" s="672"/>
      <c r="T8" s="672"/>
      <c r="U8" s="672"/>
      <c r="V8" s="672"/>
      <c r="W8" s="672"/>
      <c r="X8" s="672"/>
      <c r="Y8" s="673"/>
      <c r="Z8" s="672"/>
      <c r="AA8" s="672"/>
      <c r="AB8" s="672"/>
      <c r="AC8" s="673"/>
      <c r="AD8" s="672"/>
      <c r="AE8" s="672"/>
      <c r="AF8" s="672"/>
    </row>
    <row r="9" spans="1:32" ht="12.75">
      <c r="A9" s="661" t="s">
        <v>569</v>
      </c>
      <c r="B9" s="661">
        <v>32200</v>
      </c>
      <c r="C9" s="663">
        <v>41000</v>
      </c>
      <c r="D9" s="661">
        <v>35000</v>
      </c>
      <c r="E9" s="661">
        <v>35000</v>
      </c>
      <c r="F9" s="661">
        <v>26940</v>
      </c>
      <c r="G9" s="661">
        <v>26940</v>
      </c>
      <c r="H9" s="662">
        <v>26940</v>
      </c>
      <c r="I9" s="662">
        <v>26940</v>
      </c>
      <c r="J9" s="662">
        <v>26940</v>
      </c>
      <c r="K9" s="662">
        <v>26940</v>
      </c>
      <c r="L9" s="663">
        <v>11000</v>
      </c>
      <c r="M9" s="661">
        <v>37500</v>
      </c>
      <c r="N9" s="661">
        <v>37500</v>
      </c>
      <c r="O9" s="663">
        <v>15500</v>
      </c>
      <c r="P9" s="663">
        <v>34500</v>
      </c>
      <c r="Q9" s="663">
        <v>17318</v>
      </c>
      <c r="R9" s="661">
        <v>60000</v>
      </c>
      <c r="S9" s="661">
        <v>50000</v>
      </c>
      <c r="T9" s="661">
        <v>55275</v>
      </c>
      <c r="U9" s="661">
        <v>55275</v>
      </c>
      <c r="V9" s="661">
        <v>25125</v>
      </c>
      <c r="W9" s="661">
        <v>25125</v>
      </c>
      <c r="X9" s="663">
        <v>35000</v>
      </c>
      <c r="Y9" s="662">
        <v>83900</v>
      </c>
      <c r="Z9" s="663">
        <v>35000</v>
      </c>
      <c r="AA9" s="661">
        <v>35000</v>
      </c>
      <c r="AB9" s="661">
        <v>35000</v>
      </c>
      <c r="AC9" s="664">
        <v>33900</v>
      </c>
      <c r="AD9" s="663">
        <v>38700</v>
      </c>
      <c r="AE9" s="663">
        <v>38000</v>
      </c>
      <c r="AF9" s="663">
        <v>38000</v>
      </c>
    </row>
    <row r="10" spans="1:32" ht="16.5" customHeight="1">
      <c r="A10" s="661" t="s">
        <v>570</v>
      </c>
      <c r="B10" s="661">
        <v>2.04</v>
      </c>
      <c r="C10" s="663">
        <v>2.1</v>
      </c>
      <c r="D10" s="661">
        <v>2.8</v>
      </c>
      <c r="E10" s="661">
        <v>2.8</v>
      </c>
      <c r="F10" s="661">
        <v>4.5</v>
      </c>
      <c r="G10" s="661">
        <v>4.5</v>
      </c>
      <c r="H10" s="662">
        <v>4.5</v>
      </c>
      <c r="I10" s="662">
        <v>4.5</v>
      </c>
      <c r="J10" s="662">
        <v>4.5</v>
      </c>
      <c r="K10" s="662">
        <v>4.5</v>
      </c>
      <c r="L10" s="663">
        <v>5</v>
      </c>
      <c r="M10" s="661">
        <v>3.5</v>
      </c>
      <c r="N10" s="661">
        <v>3.5</v>
      </c>
      <c r="O10" s="663">
        <v>3</v>
      </c>
      <c r="P10" s="663">
        <v>2.7</v>
      </c>
      <c r="Q10" s="663">
        <v>2.2000000000000002</v>
      </c>
      <c r="R10" s="661">
        <v>1.85</v>
      </c>
      <c r="S10" s="661">
        <v>3</v>
      </c>
      <c r="T10" s="661">
        <v>3.2</v>
      </c>
      <c r="U10" s="661">
        <v>3.2</v>
      </c>
      <c r="V10" s="661">
        <v>6</v>
      </c>
      <c r="W10" s="661">
        <v>6</v>
      </c>
      <c r="X10" s="663">
        <v>2.8</v>
      </c>
      <c r="Y10" s="662">
        <v>5</v>
      </c>
      <c r="Z10" s="663">
        <v>2.8</v>
      </c>
      <c r="AA10" s="661">
        <v>2.8</v>
      </c>
      <c r="AB10" s="661">
        <v>2.8</v>
      </c>
      <c r="AC10" s="664">
        <v>3</v>
      </c>
      <c r="AD10" s="663">
        <v>2</v>
      </c>
      <c r="AE10" s="663">
        <v>2</v>
      </c>
      <c r="AF10" s="663">
        <v>2</v>
      </c>
    </row>
    <row r="11" spans="1:32" ht="12.75">
      <c r="A11" s="661" t="str">
        <f>"Raw acceleration at ignition: [m/s"&amp;CHAR(178)&amp;"]"</f>
        <v>Raw acceleration at ignition: [m/s²]</v>
      </c>
      <c r="B11" s="675">
        <f t="shared" ref="B11:AF11" si="0">B9/B3</f>
        <v>187.2093023255814</v>
      </c>
      <c r="C11" s="678">
        <f t="shared" si="0"/>
        <v>224.85466710540749</v>
      </c>
      <c r="D11" s="675">
        <f t="shared" si="0"/>
        <v>170.73170731707316</v>
      </c>
      <c r="E11" s="675">
        <f t="shared" si="0"/>
        <v>180.69179143004646</v>
      </c>
      <c r="F11" s="675">
        <f t="shared" si="0"/>
        <v>116.45700946699519</v>
      </c>
      <c r="G11" s="675">
        <f t="shared" si="0"/>
        <v>116.45700946699519</v>
      </c>
      <c r="H11" s="676">
        <f t="shared" si="0"/>
        <v>116.45700946699519</v>
      </c>
      <c r="I11" s="676">
        <f t="shared" si="0"/>
        <v>116.45700946699519</v>
      </c>
      <c r="J11" s="676">
        <f t="shared" si="0"/>
        <v>116.45700946699519</v>
      </c>
      <c r="K11" s="676">
        <f t="shared" si="0"/>
        <v>116.45700946699519</v>
      </c>
      <c r="L11" s="678">
        <f t="shared" si="0"/>
        <v>115.48022978466086</v>
      </c>
      <c r="M11" s="675">
        <f t="shared" si="0"/>
        <v>163.04347826086956</v>
      </c>
      <c r="N11" s="675">
        <f t="shared" si="0"/>
        <v>163.04347826086956</v>
      </c>
      <c r="O11" s="678">
        <f t="shared" si="0"/>
        <v>89.85507246376811</v>
      </c>
      <c r="P11" s="678">
        <f t="shared" si="0"/>
        <v>178.29457364341084</v>
      </c>
      <c r="Q11" s="678">
        <f t="shared" si="0"/>
        <v>229.98671978751662</v>
      </c>
      <c r="R11" s="675">
        <f t="shared" si="0"/>
        <v>269.05829596412553</v>
      </c>
      <c r="S11" s="675">
        <f t="shared" si="0"/>
        <v>204.91803278688525</v>
      </c>
      <c r="T11" s="675">
        <f t="shared" si="0"/>
        <v>157.92857142857142</v>
      </c>
      <c r="U11" s="675">
        <f t="shared" si="0"/>
        <v>157.92857142857142</v>
      </c>
      <c r="V11" s="678">
        <f t="shared" si="0"/>
        <v>99.308300395256921</v>
      </c>
      <c r="W11" s="678">
        <f t="shared" si="0"/>
        <v>99.308300395256921</v>
      </c>
      <c r="X11" s="678">
        <f t="shared" si="0"/>
        <v>181.34715025906735</v>
      </c>
      <c r="Y11" s="676">
        <f t="shared" si="0"/>
        <v>134.24</v>
      </c>
      <c r="Z11" s="678">
        <f t="shared" si="0"/>
        <v>181.34715025906735</v>
      </c>
      <c r="AA11" s="675">
        <f t="shared" si="0"/>
        <v>181.34715025906735</v>
      </c>
      <c r="AB11" s="675">
        <f t="shared" si="0"/>
        <v>181.34715025906735</v>
      </c>
      <c r="AC11" s="679">
        <f t="shared" si="0"/>
        <v>162.82420749279541</v>
      </c>
      <c r="AD11" s="678">
        <f t="shared" si="0"/>
        <v>143.33333333333334</v>
      </c>
      <c r="AE11" s="678">
        <f t="shared" si="0"/>
        <v>155.10204081632654</v>
      </c>
      <c r="AF11" s="678">
        <f t="shared" si="0"/>
        <v>155.10204081632654</v>
      </c>
    </row>
    <row r="12" spans="1:32" ht="12.75">
      <c r="A12" s="661" t="s">
        <v>571</v>
      </c>
      <c r="B12" s="678">
        <f t="shared" ref="B12:AF12" si="1">B10*B9/(9.81*(B3-B4))</f>
        <v>239.14373088685014</v>
      </c>
      <c r="C12" s="675">
        <f t="shared" si="1"/>
        <v>228.91910301997734</v>
      </c>
      <c r="D12" s="678">
        <f t="shared" si="1"/>
        <v>169.31875118782284</v>
      </c>
      <c r="E12" s="675">
        <f t="shared" si="1"/>
        <v>209.42990188850214</v>
      </c>
      <c r="F12" s="678">
        <f t="shared" si="1"/>
        <v>328.22837091998974</v>
      </c>
      <c r="G12" s="678">
        <f t="shared" si="1"/>
        <v>328.22837091998974</v>
      </c>
      <c r="H12" s="676">
        <f t="shared" si="1"/>
        <v>328.22837091998974</v>
      </c>
      <c r="I12" s="676">
        <f t="shared" si="1"/>
        <v>328.22837091998974</v>
      </c>
      <c r="J12" s="676">
        <f t="shared" si="1"/>
        <v>328.22837091998974</v>
      </c>
      <c r="K12" s="676">
        <f t="shared" si="1"/>
        <v>328.22837091998974</v>
      </c>
      <c r="L12" s="678">
        <f t="shared" si="1"/>
        <v>204.64021783232343</v>
      </c>
      <c r="M12" s="675">
        <f t="shared" si="1"/>
        <v>234.72289285905893</v>
      </c>
      <c r="N12" s="675">
        <f t="shared" si="1"/>
        <v>234.72289285905893</v>
      </c>
      <c r="O12" s="675">
        <f t="shared" si="1"/>
        <v>199.16223370081968</v>
      </c>
      <c r="P12" s="675">
        <f t="shared" si="1"/>
        <v>283.44515952348348</v>
      </c>
      <c r="Q12" s="675">
        <f t="shared" si="1"/>
        <v>189.45128166878001</v>
      </c>
      <c r="R12" s="678">
        <f t="shared" si="1"/>
        <v>342.87832452970065</v>
      </c>
      <c r="S12" s="675">
        <f t="shared" si="1"/>
        <v>203.87359836901121</v>
      </c>
      <c r="T12" s="675">
        <f t="shared" si="1"/>
        <v>281.72782874617735</v>
      </c>
      <c r="U12" s="675">
        <f t="shared" si="1"/>
        <v>281.72782874617735</v>
      </c>
      <c r="V12" s="678">
        <f t="shared" si="1"/>
        <v>229.35779816513761</v>
      </c>
      <c r="W12" s="678">
        <f t="shared" si="1"/>
        <v>229.35779816513761</v>
      </c>
      <c r="X12" s="678">
        <f t="shared" si="1"/>
        <v>212.54907064003294</v>
      </c>
      <c r="Y12" s="676">
        <f t="shared" si="1"/>
        <v>234.95872119725331</v>
      </c>
      <c r="Z12" s="678">
        <f t="shared" si="1"/>
        <v>212.54907064003294</v>
      </c>
      <c r="AA12" s="675">
        <f t="shared" si="1"/>
        <v>212.54907064003294</v>
      </c>
      <c r="AB12" s="675">
        <f t="shared" si="1"/>
        <v>212.54907064003294</v>
      </c>
      <c r="AC12" s="679">
        <f t="shared" si="1"/>
        <v>229.35779816513767</v>
      </c>
      <c r="AD12" s="678">
        <f t="shared" si="1"/>
        <v>219.16411824668702</v>
      </c>
      <c r="AE12" s="678">
        <f t="shared" si="1"/>
        <v>224.2314540672192</v>
      </c>
      <c r="AF12" s="678">
        <f t="shared" si="1"/>
        <v>224.2314540672192</v>
      </c>
    </row>
    <row r="13" spans="1:32" ht="12.75">
      <c r="A13" s="661" t="s">
        <v>572</v>
      </c>
      <c r="B13" s="678">
        <f t="shared" ref="B13:AF13" si="2">B12*9.81*LN(B3/B4)</f>
        <v>416.84004179906339</v>
      </c>
      <c r="C13" s="678">
        <f t="shared" si="2"/>
        <v>530.11859059997664</v>
      </c>
      <c r="D13" s="678">
        <f t="shared" si="2"/>
        <v>563.75472929062755</v>
      </c>
      <c r="E13" s="678">
        <f t="shared" si="2"/>
        <v>580.81733696126105</v>
      </c>
      <c r="F13" s="678">
        <f t="shared" si="2"/>
        <v>571.98004420550922</v>
      </c>
      <c r="G13" s="678">
        <f t="shared" si="2"/>
        <v>571.98004420550922</v>
      </c>
      <c r="H13" s="676">
        <f t="shared" si="2"/>
        <v>571.98004420550922</v>
      </c>
      <c r="I13" s="676">
        <f t="shared" si="2"/>
        <v>571.98004420550922</v>
      </c>
      <c r="J13" s="676">
        <f t="shared" si="2"/>
        <v>571.98004420550922</v>
      </c>
      <c r="K13" s="676">
        <f t="shared" si="2"/>
        <v>571.98004420550922</v>
      </c>
      <c r="L13" s="678">
        <f t="shared" si="2"/>
        <v>680.83546942492853</v>
      </c>
      <c r="M13" s="678">
        <f t="shared" si="2"/>
        <v>655.76118453220863</v>
      </c>
      <c r="N13" s="675">
        <f t="shared" si="2"/>
        <v>655.76118453220863</v>
      </c>
      <c r="O13" s="678">
        <f t="shared" si="2"/>
        <v>290.07087435910427</v>
      </c>
      <c r="P13" s="678">
        <f t="shared" si="2"/>
        <v>528.60177306072535</v>
      </c>
      <c r="Q13" s="678">
        <f t="shared" si="2"/>
        <v>590.61803075513228</v>
      </c>
      <c r="R13" s="678">
        <f t="shared" si="2"/>
        <v>538.67862491694632</v>
      </c>
      <c r="S13" s="678">
        <f t="shared" si="2"/>
        <v>734.53902074025689</v>
      </c>
      <c r="T13" s="675">
        <f t="shared" si="2"/>
        <v>558.11538855029312</v>
      </c>
      <c r="U13" s="675">
        <f t="shared" si="2"/>
        <v>558.11538855029312</v>
      </c>
      <c r="V13" s="678">
        <f t="shared" si="2"/>
        <v>692.19633378221749</v>
      </c>
      <c r="W13" s="678">
        <f t="shared" si="2"/>
        <v>692.19633378221749</v>
      </c>
      <c r="X13" s="678">
        <f t="shared" si="2"/>
        <v>581.91892734599594</v>
      </c>
      <c r="Y13" s="676">
        <f t="shared" si="2"/>
        <v>793.32032159607741</v>
      </c>
      <c r="Z13" s="678">
        <f t="shared" si="2"/>
        <v>581.91892734599594</v>
      </c>
      <c r="AA13" s="678">
        <f t="shared" si="2"/>
        <v>581.91892734599594</v>
      </c>
      <c r="AB13" s="678">
        <f t="shared" si="2"/>
        <v>581.91892734599594</v>
      </c>
      <c r="AC13" s="679">
        <f t="shared" si="2"/>
        <v>550.68514959173888</v>
      </c>
      <c r="AD13" s="678">
        <f t="shared" si="2"/>
        <v>307.66681382744747</v>
      </c>
      <c r="AE13" s="678">
        <f t="shared" si="2"/>
        <v>334.37825658290006</v>
      </c>
      <c r="AF13" s="678">
        <f t="shared" si="2"/>
        <v>334.37825658290006</v>
      </c>
    </row>
    <row r="14" spans="1:32" ht="18" customHeight="1">
      <c r="A14" s="728" t="s">
        <v>573</v>
      </c>
      <c r="B14" s="661">
        <v>0.25</v>
      </c>
      <c r="C14" s="661">
        <v>0.25</v>
      </c>
      <c r="D14" s="661">
        <v>0.25</v>
      </c>
      <c r="E14" s="661">
        <v>0.25</v>
      </c>
      <c r="F14" s="661">
        <v>0.25</v>
      </c>
      <c r="G14" s="661">
        <v>0.25</v>
      </c>
      <c r="H14" s="662">
        <v>0.25</v>
      </c>
      <c r="I14" s="662">
        <v>0.25</v>
      </c>
      <c r="J14" s="662">
        <v>0.25</v>
      </c>
      <c r="K14" s="662">
        <v>0.25</v>
      </c>
      <c r="L14" s="661">
        <v>0</v>
      </c>
      <c r="M14" s="661">
        <v>0.25</v>
      </c>
      <c r="N14" s="661">
        <v>0.25</v>
      </c>
      <c r="O14" s="661">
        <v>0</v>
      </c>
      <c r="P14" s="661">
        <v>0</v>
      </c>
      <c r="Q14" s="661">
        <v>0</v>
      </c>
      <c r="R14" s="661">
        <v>0</v>
      </c>
      <c r="S14" s="661">
        <v>0</v>
      </c>
      <c r="T14" s="661">
        <v>0</v>
      </c>
      <c r="U14" s="661">
        <v>0</v>
      </c>
      <c r="V14" s="661">
        <v>0</v>
      </c>
      <c r="W14" s="661">
        <v>0</v>
      </c>
      <c r="X14" s="661">
        <v>0.25</v>
      </c>
      <c r="Y14" s="662">
        <v>0.5</v>
      </c>
      <c r="Z14" s="661">
        <v>0.25</v>
      </c>
      <c r="AA14" s="661">
        <v>0.25</v>
      </c>
      <c r="AB14" s="661">
        <v>0.25</v>
      </c>
      <c r="AC14" s="664">
        <v>0.25</v>
      </c>
      <c r="AD14" s="661">
        <v>0</v>
      </c>
      <c r="AE14" s="661">
        <v>0</v>
      </c>
      <c r="AF14" s="661">
        <v>0</v>
      </c>
    </row>
    <row r="15" spans="1:32" ht="16.5" customHeight="1">
      <c r="A15" s="682" t="s">
        <v>574</v>
      </c>
      <c r="B15" s="683" t="s">
        <v>293</v>
      </c>
      <c r="C15" s="685" t="s">
        <v>293</v>
      </c>
      <c r="D15" s="683" t="s">
        <v>293</v>
      </c>
      <c r="E15" s="683" t="s">
        <v>293</v>
      </c>
      <c r="F15" s="687">
        <v>6340</v>
      </c>
      <c r="G15" s="687">
        <v>6340</v>
      </c>
      <c r="H15" s="688">
        <v>6340</v>
      </c>
      <c r="I15" s="688">
        <v>6340</v>
      </c>
      <c r="J15" s="688">
        <v>6340</v>
      </c>
      <c r="K15" s="688">
        <v>6340</v>
      </c>
      <c r="L15" s="685" t="s">
        <v>293</v>
      </c>
      <c r="M15" s="683" t="s">
        <v>293</v>
      </c>
      <c r="N15" s="683" t="s">
        <v>293</v>
      </c>
      <c r="O15" s="663">
        <v>1765</v>
      </c>
      <c r="P15" s="663">
        <v>4000</v>
      </c>
      <c r="Q15" s="685" t="s">
        <v>293</v>
      </c>
      <c r="R15" s="683" t="s">
        <v>293</v>
      </c>
      <c r="S15" s="683" t="s">
        <v>293</v>
      </c>
      <c r="T15" s="737">
        <v>26630</v>
      </c>
      <c r="U15" s="737">
        <v>26630</v>
      </c>
      <c r="V15" s="683" t="s">
        <v>293</v>
      </c>
      <c r="W15" s="683" t="s">
        <v>293</v>
      </c>
      <c r="X15" s="685" t="s">
        <v>293</v>
      </c>
      <c r="Y15" s="676">
        <v>12400</v>
      </c>
      <c r="Z15" s="685" t="s">
        <v>293</v>
      </c>
      <c r="AA15" s="683" t="s">
        <v>293</v>
      </c>
      <c r="AB15" s="683" t="s">
        <v>293</v>
      </c>
      <c r="AC15" s="786">
        <v>9562</v>
      </c>
      <c r="AD15" s="663">
        <v>16800</v>
      </c>
      <c r="AE15" s="663">
        <v>25000</v>
      </c>
      <c r="AF15" s="663">
        <v>25000</v>
      </c>
    </row>
    <row r="16" spans="1:32" ht="18" customHeight="1">
      <c r="A16" s="682" t="s">
        <v>575</v>
      </c>
      <c r="B16" s="683" t="s">
        <v>293</v>
      </c>
      <c r="C16" s="685" t="s">
        <v>293</v>
      </c>
      <c r="D16" s="683" t="s">
        <v>293</v>
      </c>
      <c r="E16" s="683" t="s">
        <v>293</v>
      </c>
      <c r="F16" s="663">
        <v>11</v>
      </c>
      <c r="G16" s="663">
        <v>11</v>
      </c>
      <c r="H16" s="662">
        <v>11</v>
      </c>
      <c r="I16" s="662">
        <v>11</v>
      </c>
      <c r="J16" s="662">
        <v>11</v>
      </c>
      <c r="K16" s="662">
        <v>11</v>
      </c>
      <c r="L16" s="685" t="s">
        <v>293</v>
      </c>
      <c r="M16" s="683" t="s">
        <v>293</v>
      </c>
      <c r="N16" s="683" t="s">
        <v>293</v>
      </c>
      <c r="O16" s="663">
        <v>13.5</v>
      </c>
      <c r="P16" s="663">
        <v>6.5</v>
      </c>
      <c r="Q16" s="685" t="s">
        <v>293</v>
      </c>
      <c r="R16" s="683" t="s">
        <v>293</v>
      </c>
      <c r="S16" s="683" t="s">
        <v>293</v>
      </c>
      <c r="T16" s="739">
        <v>4.8</v>
      </c>
      <c r="U16" s="739">
        <v>4.8</v>
      </c>
      <c r="V16" s="683" t="s">
        <v>293</v>
      </c>
      <c r="W16" s="683" t="s">
        <v>293</v>
      </c>
      <c r="X16" s="685" t="s">
        <v>293</v>
      </c>
      <c r="Y16" s="691">
        <v>21</v>
      </c>
      <c r="Z16" s="685" t="s">
        <v>293</v>
      </c>
      <c r="AA16" s="683" t="s">
        <v>293</v>
      </c>
      <c r="AB16" s="683" t="s">
        <v>293</v>
      </c>
      <c r="AC16" s="786">
        <v>4</v>
      </c>
      <c r="AD16" s="663">
        <v>8</v>
      </c>
      <c r="AE16" s="663">
        <v>4</v>
      </c>
      <c r="AF16" s="663">
        <v>4</v>
      </c>
    </row>
    <row r="17" spans="1:32" ht="18" customHeight="1">
      <c r="A17" s="728" t="s">
        <v>576</v>
      </c>
      <c r="B17" s="683" t="s">
        <v>293</v>
      </c>
      <c r="C17" s="683" t="s">
        <v>293</v>
      </c>
      <c r="D17" s="683" t="s">
        <v>293</v>
      </c>
      <c r="E17" s="683" t="s">
        <v>293</v>
      </c>
      <c r="F17" s="777">
        <f t="shared" ref="F17:K17" si="3">F16*F15/(9.81*(F4-F5))</f>
        <v>301.48737808004313</v>
      </c>
      <c r="G17" s="777">
        <f t="shared" si="3"/>
        <v>301.48737808004313</v>
      </c>
      <c r="H17" s="777">
        <f t="shared" si="3"/>
        <v>301.48737808004313</v>
      </c>
      <c r="I17" s="777">
        <f t="shared" si="3"/>
        <v>301.48737808004313</v>
      </c>
      <c r="J17" s="777">
        <f t="shared" si="3"/>
        <v>301.48737808004313</v>
      </c>
      <c r="K17" s="777">
        <f t="shared" si="3"/>
        <v>301.48737808004313</v>
      </c>
      <c r="L17" s="683" t="s">
        <v>293</v>
      </c>
      <c r="M17" s="683" t="s">
        <v>293</v>
      </c>
      <c r="N17" s="683" t="s">
        <v>293</v>
      </c>
      <c r="O17" s="777">
        <f>O16*O15/(9.81*(O4-O5))</f>
        <v>204.10916660242117</v>
      </c>
      <c r="P17" s="777">
        <f>P16*P15/(9.81*(P4-P5))</f>
        <v>220.86306489976215</v>
      </c>
      <c r="Q17" s="683" t="s">
        <v>293</v>
      </c>
      <c r="R17" s="683" t="s">
        <v>293</v>
      </c>
      <c r="S17" s="683" t="s">
        <v>293</v>
      </c>
      <c r="T17" s="694">
        <f>T16*T15/(9.81*(T4-T5))</f>
        <v>174.8989183753053</v>
      </c>
      <c r="U17" s="694">
        <f>U16*U15/(9.81*(U4-U5))</f>
        <v>174.8989183753053</v>
      </c>
      <c r="V17" s="683" t="s">
        <v>293</v>
      </c>
      <c r="W17" s="683" t="s">
        <v>293</v>
      </c>
      <c r="X17" s="683" t="s">
        <v>293</v>
      </c>
      <c r="Y17" s="676">
        <f>Y16*Y15/(9.81*(Y4-Y5))</f>
        <v>234.90568590836514</v>
      </c>
      <c r="Z17" s="683" t="s">
        <v>293</v>
      </c>
      <c r="AA17" s="683" t="s">
        <v>293</v>
      </c>
      <c r="AB17" s="683" t="s">
        <v>293</v>
      </c>
      <c r="AC17" s="679">
        <f>AC16*AC15/(9.81*(AC4-AC5))</f>
        <v>229.34580560052765</v>
      </c>
      <c r="AD17" s="777">
        <f>AD16*AD15/(9.81*(AD4-AD5))</f>
        <v>219.20489296636086</v>
      </c>
      <c r="AE17" s="777">
        <f>AE16*AE15/(9.81*(AE4-AE5))</f>
        <v>224.28338654456684</v>
      </c>
      <c r="AF17" s="777">
        <f>AF16*AF15/(9.81*(AF4-AF5))</f>
        <v>224.28338654456684</v>
      </c>
    </row>
    <row r="18" spans="1:32" ht="18" customHeight="1">
      <c r="A18" s="728" t="s">
        <v>577</v>
      </c>
      <c r="B18" s="683" t="s">
        <v>293</v>
      </c>
      <c r="C18" s="683" t="s">
        <v>293</v>
      </c>
      <c r="D18" s="683" t="s">
        <v>293</v>
      </c>
      <c r="E18" s="683" t="s">
        <v>293</v>
      </c>
      <c r="F18" s="777">
        <f t="shared" ref="F18:K18" si="4">F17*9.81*LN(F4/F5)</f>
        <v>383.95689204918608</v>
      </c>
      <c r="G18" s="777">
        <f t="shared" si="4"/>
        <v>383.95689204918608</v>
      </c>
      <c r="H18" s="777">
        <f t="shared" si="4"/>
        <v>383.95689204918608</v>
      </c>
      <c r="I18" s="777">
        <f t="shared" si="4"/>
        <v>383.95689204918608</v>
      </c>
      <c r="J18" s="777">
        <f t="shared" si="4"/>
        <v>383.95689204918608</v>
      </c>
      <c r="K18" s="777">
        <f t="shared" si="4"/>
        <v>383.95689204918608</v>
      </c>
      <c r="L18" s="683" t="s">
        <v>293</v>
      </c>
      <c r="M18" s="683" t="s">
        <v>293</v>
      </c>
      <c r="N18" s="683" t="s">
        <v>293</v>
      </c>
      <c r="O18" s="777">
        <f>O17*9.81*LN(O4/O5)</f>
        <v>167.01445271730478</v>
      </c>
      <c r="P18" s="777">
        <f>P17*9.81*LN(P4/P5)</f>
        <v>168.91667318437584</v>
      </c>
      <c r="Q18" s="683" t="s">
        <v>293</v>
      </c>
      <c r="R18" s="683" t="s">
        <v>293</v>
      </c>
      <c r="S18" s="683" t="s">
        <v>293</v>
      </c>
      <c r="T18" s="694">
        <f>T17*9.81*LN(T4/T5)</f>
        <v>517.7589398620114</v>
      </c>
      <c r="U18" s="694">
        <f>U17*9.81*LN(U4/U5)</f>
        <v>517.7589398620114</v>
      </c>
      <c r="V18" s="683" t="s">
        <v>293</v>
      </c>
      <c r="W18" s="683" t="s">
        <v>293</v>
      </c>
      <c r="X18" s="683" t="s">
        <v>293</v>
      </c>
      <c r="Y18" s="676">
        <f>Y17*9.81*LN(Y4/Y5)</f>
        <v>678.60036193126018</v>
      </c>
      <c r="Z18" s="683" t="s">
        <v>293</v>
      </c>
      <c r="AA18" s="683" t="s">
        <v>293</v>
      </c>
      <c r="AB18" s="683" t="s">
        <v>293</v>
      </c>
      <c r="AC18" s="679">
        <f>AC17*9.81*LN(AC4/AC5)</f>
        <v>247.81009490332909</v>
      </c>
      <c r="AD18" s="777">
        <f>AD17*9.81*LN(AD4/AD5)</f>
        <v>668.2106699556706</v>
      </c>
      <c r="AE18" s="777">
        <f>AE17*9.81*LN(AE4/AE5)</f>
        <v>535.31929882508041</v>
      </c>
      <c r="AF18" s="777">
        <f>AF17*9.81*LN(AF4/AF5)</f>
        <v>535.31929882508041</v>
      </c>
    </row>
    <row r="19" spans="1:32" ht="18" customHeight="1">
      <c r="A19" s="728" t="s">
        <v>578</v>
      </c>
      <c r="B19" s="692">
        <f t="shared" ref="B19:AF19" si="5">IF(ISNUMBER(B18),B13+B18,B13)</f>
        <v>416.84004179906339</v>
      </c>
      <c r="C19" s="692">
        <f t="shared" si="5"/>
        <v>530.11859059997664</v>
      </c>
      <c r="D19" s="692">
        <f t="shared" si="5"/>
        <v>563.75472929062755</v>
      </c>
      <c r="E19" s="692">
        <f t="shared" si="5"/>
        <v>580.81733696126105</v>
      </c>
      <c r="F19" s="692">
        <f t="shared" si="5"/>
        <v>955.9369362546953</v>
      </c>
      <c r="G19" s="692">
        <f t="shared" si="5"/>
        <v>955.9369362546953</v>
      </c>
      <c r="H19" s="676">
        <f t="shared" si="5"/>
        <v>955.9369362546953</v>
      </c>
      <c r="I19" s="676">
        <f t="shared" si="5"/>
        <v>955.9369362546953</v>
      </c>
      <c r="J19" s="676">
        <f t="shared" si="5"/>
        <v>955.9369362546953</v>
      </c>
      <c r="K19" s="676">
        <f t="shared" si="5"/>
        <v>955.9369362546953</v>
      </c>
      <c r="L19" s="692">
        <f t="shared" si="5"/>
        <v>680.83546942492853</v>
      </c>
      <c r="M19" s="692">
        <f t="shared" si="5"/>
        <v>655.76118453220863</v>
      </c>
      <c r="N19" s="694">
        <f t="shared" si="5"/>
        <v>655.76118453220863</v>
      </c>
      <c r="O19" s="692">
        <f t="shared" si="5"/>
        <v>457.08532707640904</v>
      </c>
      <c r="P19" s="692">
        <f t="shared" si="5"/>
        <v>697.51844624510113</v>
      </c>
      <c r="Q19" s="692">
        <f t="shared" si="5"/>
        <v>590.61803075513228</v>
      </c>
      <c r="R19" s="692">
        <f t="shared" si="5"/>
        <v>538.67862491694632</v>
      </c>
      <c r="S19" s="692">
        <f t="shared" si="5"/>
        <v>734.53902074025689</v>
      </c>
      <c r="T19" s="694">
        <f t="shared" si="5"/>
        <v>1075.8743284123045</v>
      </c>
      <c r="U19" s="694">
        <f t="shared" si="5"/>
        <v>1075.8743284123045</v>
      </c>
      <c r="V19" s="692">
        <f t="shared" si="5"/>
        <v>692.19633378221749</v>
      </c>
      <c r="W19" s="692">
        <f t="shared" si="5"/>
        <v>692.19633378221749</v>
      </c>
      <c r="X19" s="692">
        <f t="shared" si="5"/>
        <v>581.91892734599594</v>
      </c>
      <c r="Y19" s="676">
        <f t="shared" si="5"/>
        <v>1471.9206835273376</v>
      </c>
      <c r="Z19" s="692">
        <f t="shared" si="5"/>
        <v>581.91892734599594</v>
      </c>
      <c r="AA19" s="692">
        <f t="shared" si="5"/>
        <v>581.91892734599594</v>
      </c>
      <c r="AB19" s="692">
        <f t="shared" si="5"/>
        <v>581.91892734599594</v>
      </c>
      <c r="AC19" s="679">
        <f t="shared" si="5"/>
        <v>798.49524449506794</v>
      </c>
      <c r="AD19" s="692">
        <f t="shared" si="5"/>
        <v>975.87748378311812</v>
      </c>
      <c r="AE19" s="692">
        <f t="shared" si="5"/>
        <v>869.69755540798042</v>
      </c>
      <c r="AF19" s="692">
        <f t="shared" si="5"/>
        <v>869.69755540798042</v>
      </c>
    </row>
    <row r="20" spans="1:32" ht="18">
      <c r="A20" s="695" t="s">
        <v>579</v>
      </c>
      <c r="B20" s="696"/>
      <c r="C20" s="696"/>
      <c r="D20" s="696"/>
      <c r="E20" s="696"/>
      <c r="F20" s="696"/>
      <c r="G20" s="696"/>
      <c r="H20" s="697"/>
      <c r="I20" s="697"/>
      <c r="J20" s="697"/>
      <c r="K20" s="697"/>
      <c r="L20" s="696"/>
      <c r="M20" s="696"/>
      <c r="N20" s="696"/>
      <c r="O20" s="696"/>
      <c r="P20" s="696"/>
      <c r="Q20" s="696"/>
      <c r="R20" s="696"/>
      <c r="S20" s="696"/>
      <c r="T20" s="696"/>
      <c r="U20" s="696"/>
      <c r="V20" s="696"/>
      <c r="W20" s="696"/>
      <c r="X20" s="696"/>
      <c r="Y20" s="697"/>
      <c r="Z20" s="696"/>
      <c r="AA20" s="696"/>
      <c r="AB20" s="696"/>
      <c r="AC20" s="697"/>
      <c r="AD20" s="696"/>
      <c r="AE20" s="696"/>
      <c r="AF20" s="696"/>
    </row>
    <row r="21" spans="1:32" ht="12.75">
      <c r="A21" s="661" t="s">
        <v>580</v>
      </c>
      <c r="B21" s="704">
        <f>1.28*9</f>
        <v>11.52</v>
      </c>
      <c r="C21" s="704">
        <f>1.28*9</f>
        <v>11.52</v>
      </c>
      <c r="D21" s="704">
        <f>1.28*9</f>
        <v>11.52</v>
      </c>
      <c r="E21" s="704">
        <f>1.28*9</f>
        <v>11.52</v>
      </c>
      <c r="F21" s="704">
        <f t="shared" ref="F21:K21" si="6">1.28*11.79</f>
        <v>15.091199999999999</v>
      </c>
      <c r="G21" s="704">
        <f t="shared" si="6"/>
        <v>15.091199999999999</v>
      </c>
      <c r="H21" s="662">
        <f t="shared" si="6"/>
        <v>15.091199999999999</v>
      </c>
      <c r="I21" s="662">
        <f t="shared" si="6"/>
        <v>15.091199999999999</v>
      </c>
      <c r="J21" s="662">
        <f t="shared" si="6"/>
        <v>15.091199999999999</v>
      </c>
      <c r="K21" s="662">
        <f t="shared" si="6"/>
        <v>15.091199999999999</v>
      </c>
      <c r="L21" s="663">
        <f>1.656*2.95</f>
        <v>4.8852000000000002</v>
      </c>
      <c r="M21" s="704">
        <f>1.28*8</f>
        <v>10.24</v>
      </c>
      <c r="N21" s="704">
        <f>1.28*8</f>
        <v>10.24</v>
      </c>
      <c r="O21" s="704">
        <f>1.28*8</f>
        <v>10.24</v>
      </c>
      <c r="P21" s="704">
        <f>1.28*8.1</f>
        <v>10.368</v>
      </c>
      <c r="Q21" s="663">
        <f>1.6*5.5</f>
        <v>8.8000000000000007</v>
      </c>
      <c r="R21" s="661">
        <f>1.6*13</f>
        <v>20.8</v>
      </c>
      <c r="S21" s="661">
        <f>1.6*13</f>
        <v>20.8</v>
      </c>
      <c r="T21" s="661">
        <f>15*1.6</f>
        <v>24</v>
      </c>
      <c r="U21" s="661">
        <f>15*1.6</f>
        <v>24</v>
      </c>
      <c r="V21" s="661">
        <f>15*1.6</f>
        <v>24</v>
      </c>
      <c r="W21" s="661">
        <f>15*1.6</f>
        <v>24</v>
      </c>
      <c r="X21" s="704">
        <f>1.28*9</f>
        <v>11.52</v>
      </c>
      <c r="Y21" s="662">
        <f>1.28*36.2874</f>
        <v>46.447871999999997</v>
      </c>
      <c r="Z21" s="704">
        <f>1.28*9</f>
        <v>11.52</v>
      </c>
      <c r="AA21" s="704">
        <f>1.28*9</f>
        <v>11.52</v>
      </c>
      <c r="AB21" s="704">
        <f>1.28*9</f>
        <v>11.52</v>
      </c>
      <c r="AC21" s="664">
        <f>1.28*9</f>
        <v>11.52</v>
      </c>
      <c r="AD21" s="704">
        <f>1.28*8.1</f>
        <v>10.368</v>
      </c>
      <c r="AE21" s="704">
        <f>1.28*8.1</f>
        <v>10.368</v>
      </c>
      <c r="AF21" s="704">
        <f>1.28*8.1</f>
        <v>10.368</v>
      </c>
    </row>
    <row r="22" spans="1:32" ht="12.75">
      <c r="A22" s="775" t="s">
        <v>764</v>
      </c>
      <c r="B22" s="667" t="s">
        <v>763</v>
      </c>
      <c r="C22" s="667" t="s">
        <v>763</v>
      </c>
      <c r="D22" s="667" t="s">
        <v>763</v>
      </c>
      <c r="E22" s="667" t="s">
        <v>763</v>
      </c>
      <c r="F22" s="667" t="s">
        <v>763</v>
      </c>
      <c r="G22" s="667" t="s">
        <v>763</v>
      </c>
      <c r="H22" s="667" t="s">
        <v>763</v>
      </c>
      <c r="I22" s="667" t="s">
        <v>763</v>
      </c>
      <c r="J22" s="667" t="s">
        <v>763</v>
      </c>
      <c r="K22" s="667" t="s">
        <v>763</v>
      </c>
      <c r="L22" s="667" t="s">
        <v>763</v>
      </c>
      <c r="M22" s="667" t="s">
        <v>763</v>
      </c>
      <c r="N22" s="667" t="s">
        <v>763</v>
      </c>
      <c r="O22" s="667" t="s">
        <v>763</v>
      </c>
      <c r="P22" s="667" t="s">
        <v>763</v>
      </c>
      <c r="Q22" s="667" t="s">
        <v>763</v>
      </c>
      <c r="R22" s="667" t="s">
        <v>763</v>
      </c>
      <c r="S22" s="667" t="s">
        <v>763</v>
      </c>
      <c r="T22" s="667" t="s">
        <v>763</v>
      </c>
      <c r="U22" s="667" t="s">
        <v>763</v>
      </c>
      <c r="V22" s="667" t="s">
        <v>763</v>
      </c>
      <c r="W22" s="667" t="s">
        <v>763</v>
      </c>
      <c r="X22" s="667" t="s">
        <v>763</v>
      </c>
      <c r="Y22" s="667" t="s">
        <v>763</v>
      </c>
      <c r="Z22" s="667" t="s">
        <v>763</v>
      </c>
      <c r="AA22" s="667" t="s">
        <v>763</v>
      </c>
      <c r="AB22" s="667" t="s">
        <v>763</v>
      </c>
      <c r="AC22" s="667" t="s">
        <v>763</v>
      </c>
      <c r="AD22" s="667" t="s">
        <v>763</v>
      </c>
      <c r="AE22" s="667" t="s">
        <v>763</v>
      </c>
      <c r="AF22" s="667" t="s">
        <v>763</v>
      </c>
    </row>
    <row r="23" spans="1:32" ht="12.75">
      <c r="A23" s="776" t="s">
        <v>762</v>
      </c>
      <c r="B23" s="704">
        <v>63.074285714299997</v>
      </c>
      <c r="C23" s="704">
        <v>63.074285714299997</v>
      </c>
      <c r="D23" s="704">
        <v>63.074285714299997</v>
      </c>
      <c r="E23" s="704">
        <v>63.074285714299997</v>
      </c>
      <c r="F23" s="704">
        <v>63.074285714299997</v>
      </c>
      <c r="G23" s="704">
        <v>63.074285714299997</v>
      </c>
      <c r="H23" s="704">
        <v>63.074285714299997</v>
      </c>
      <c r="I23" s="704">
        <v>63.074285714299997</v>
      </c>
      <c r="J23" s="704">
        <v>63.074285714299997</v>
      </c>
      <c r="K23" s="704">
        <v>63.074285714299997</v>
      </c>
      <c r="L23" s="666">
        <v>39.713000000000001</v>
      </c>
      <c r="M23" s="704">
        <v>62.24</v>
      </c>
      <c r="N23" s="704">
        <v>62.24</v>
      </c>
      <c r="O23" s="704">
        <v>62.24</v>
      </c>
      <c r="P23" s="666">
        <v>62.368000000000002</v>
      </c>
      <c r="Q23" s="666">
        <v>60.8</v>
      </c>
      <c r="R23" s="704">
        <v>64.400000000000006</v>
      </c>
      <c r="S23" s="704">
        <v>64.400000000000006</v>
      </c>
      <c r="T23" s="704">
        <v>64.857142857100001</v>
      </c>
      <c r="U23" s="704">
        <v>64.857142857100001</v>
      </c>
      <c r="V23" s="704">
        <v>64.857142857100001</v>
      </c>
      <c r="W23" s="704">
        <v>64.857142857100001</v>
      </c>
      <c r="X23" s="704">
        <v>63.074285714299997</v>
      </c>
      <c r="Y23" s="662">
        <v>70.967180799999994</v>
      </c>
      <c r="Z23" s="704">
        <v>63.074285714299997</v>
      </c>
      <c r="AA23" s="704">
        <v>63.074285714299997</v>
      </c>
      <c r="AB23" s="704">
        <v>63.074285714299997</v>
      </c>
      <c r="AC23" s="704">
        <v>63.074285714299997</v>
      </c>
      <c r="AD23" s="666">
        <v>62.368000000000002</v>
      </c>
      <c r="AE23" s="666">
        <v>62.368000000000002</v>
      </c>
      <c r="AF23" s="666">
        <v>62.368000000000002</v>
      </c>
    </row>
    <row r="24" spans="1:32" ht="12.75">
      <c r="A24" s="661" t="s">
        <v>581</v>
      </c>
      <c r="B24" s="667" t="s">
        <v>328</v>
      </c>
      <c r="C24" s="669" t="s">
        <v>328</v>
      </c>
      <c r="D24" s="667" t="s">
        <v>328</v>
      </c>
      <c r="E24" s="667" t="s">
        <v>328</v>
      </c>
      <c r="F24" s="667" t="s">
        <v>328</v>
      </c>
      <c r="G24" s="667" t="s">
        <v>328</v>
      </c>
      <c r="H24" s="668" t="s">
        <v>328</v>
      </c>
      <c r="I24" s="668" t="s">
        <v>328</v>
      </c>
      <c r="J24" s="668" t="s">
        <v>328</v>
      </c>
      <c r="K24" s="668" t="s">
        <v>328</v>
      </c>
      <c r="L24" s="669" t="s">
        <v>328</v>
      </c>
      <c r="M24" s="667" t="s">
        <v>328</v>
      </c>
      <c r="N24" s="667" t="s">
        <v>328</v>
      </c>
      <c r="O24" s="669" t="s">
        <v>328</v>
      </c>
      <c r="P24" s="669" t="s">
        <v>328</v>
      </c>
      <c r="Q24" s="669" t="s">
        <v>328</v>
      </c>
      <c r="R24" s="667" t="s">
        <v>328</v>
      </c>
      <c r="S24" s="667" t="s">
        <v>328</v>
      </c>
      <c r="T24" s="667" t="s">
        <v>328</v>
      </c>
      <c r="U24" s="667" t="s">
        <v>328</v>
      </c>
      <c r="V24" s="667" t="s">
        <v>328</v>
      </c>
      <c r="W24" s="667" t="s">
        <v>328</v>
      </c>
      <c r="X24" s="669" t="s">
        <v>328</v>
      </c>
      <c r="Y24" s="668" t="s">
        <v>328</v>
      </c>
      <c r="Z24" s="669" t="s">
        <v>328</v>
      </c>
      <c r="AA24" s="667" t="s">
        <v>328</v>
      </c>
      <c r="AB24" s="667" t="s">
        <v>328</v>
      </c>
      <c r="AC24" s="670" t="s">
        <v>328</v>
      </c>
      <c r="AD24" s="669" t="s">
        <v>328</v>
      </c>
      <c r="AE24" s="669" t="s">
        <v>328</v>
      </c>
      <c r="AF24" s="669" t="s">
        <v>328</v>
      </c>
    </row>
    <row r="25" spans="1:32" ht="12.75">
      <c r="A25" s="661" t="s">
        <v>582</v>
      </c>
      <c r="B25" s="704">
        <v>3</v>
      </c>
      <c r="C25" s="666">
        <v>8</v>
      </c>
      <c r="D25" s="704">
        <v>8</v>
      </c>
      <c r="E25" s="704">
        <v>8</v>
      </c>
      <c r="F25" s="704">
        <v>8</v>
      </c>
      <c r="G25" s="704">
        <v>8</v>
      </c>
      <c r="H25" s="662">
        <v>8</v>
      </c>
      <c r="I25" s="662">
        <v>8</v>
      </c>
      <c r="J25" s="662">
        <v>8</v>
      </c>
      <c r="K25" s="662">
        <v>8</v>
      </c>
      <c r="L25" s="663">
        <v>5</v>
      </c>
      <c r="M25" s="704">
        <v>8</v>
      </c>
      <c r="N25" s="704">
        <v>8</v>
      </c>
      <c r="O25" s="663">
        <v>8</v>
      </c>
      <c r="P25" s="663">
        <v>8</v>
      </c>
      <c r="Q25" s="663">
        <v>5</v>
      </c>
      <c r="R25" s="661">
        <v>10</v>
      </c>
      <c r="S25" s="661">
        <v>10</v>
      </c>
      <c r="T25" s="661">
        <v>8</v>
      </c>
      <c r="U25" s="661">
        <v>8</v>
      </c>
      <c r="V25" s="661">
        <v>8</v>
      </c>
      <c r="W25" s="661">
        <v>8</v>
      </c>
      <c r="X25" s="664">
        <v>15.25</v>
      </c>
      <c r="Y25" s="662">
        <v>20</v>
      </c>
      <c r="Z25" s="664">
        <v>15.25</v>
      </c>
      <c r="AA25" s="664">
        <v>15.25</v>
      </c>
      <c r="AB25" s="664">
        <v>15.25</v>
      </c>
      <c r="AC25" s="664">
        <v>15.25</v>
      </c>
      <c r="AD25" s="663">
        <v>8</v>
      </c>
      <c r="AE25" s="663">
        <v>8</v>
      </c>
      <c r="AF25" s="663">
        <v>8</v>
      </c>
    </row>
    <row r="26" spans="1:32" ht="12.75">
      <c r="A26" s="775" t="s">
        <v>583</v>
      </c>
      <c r="B26" s="667" t="s">
        <v>328</v>
      </c>
      <c r="C26" s="669" t="s">
        <v>328</v>
      </c>
      <c r="D26" s="667" t="s">
        <v>328</v>
      </c>
      <c r="E26" s="667" t="s">
        <v>328</v>
      </c>
      <c r="F26" s="667" t="s">
        <v>328</v>
      </c>
      <c r="G26" s="667" t="s">
        <v>328</v>
      </c>
      <c r="H26" s="668" t="s">
        <v>328</v>
      </c>
      <c r="I26" s="668" t="s">
        <v>328</v>
      </c>
      <c r="J26" s="668" t="s">
        <v>328</v>
      </c>
      <c r="K26" s="668" t="s">
        <v>328</v>
      </c>
      <c r="L26" s="669" t="s">
        <v>328</v>
      </c>
      <c r="M26" s="667" t="s">
        <v>328</v>
      </c>
      <c r="N26" s="667" t="s">
        <v>328</v>
      </c>
      <c r="O26" s="669" t="s">
        <v>328</v>
      </c>
      <c r="P26" s="669" t="s">
        <v>328</v>
      </c>
      <c r="Q26" s="669" t="s">
        <v>328</v>
      </c>
      <c r="R26" s="667" t="s">
        <v>328</v>
      </c>
      <c r="S26" s="667" t="s">
        <v>328</v>
      </c>
      <c r="T26" s="667" t="s">
        <v>328</v>
      </c>
      <c r="U26" s="667" t="s">
        <v>328</v>
      </c>
      <c r="V26" s="667" t="s">
        <v>328</v>
      </c>
      <c r="W26" s="667" t="s">
        <v>328</v>
      </c>
      <c r="X26" s="669" t="s">
        <v>328</v>
      </c>
      <c r="Y26" s="668" t="s">
        <v>328</v>
      </c>
      <c r="Z26" s="669" t="s">
        <v>328</v>
      </c>
      <c r="AA26" s="667" t="s">
        <v>328</v>
      </c>
      <c r="AB26" s="667" t="s">
        <v>328</v>
      </c>
      <c r="AC26" s="670" t="s">
        <v>328</v>
      </c>
      <c r="AD26" s="669" t="s">
        <v>328</v>
      </c>
      <c r="AE26" s="669" t="s">
        <v>328</v>
      </c>
      <c r="AF26" s="669" t="s">
        <v>328</v>
      </c>
    </row>
    <row r="27" spans="1:32" ht="12.75">
      <c r="A27" s="661" t="s">
        <v>584</v>
      </c>
      <c r="B27" s="704">
        <v>2</v>
      </c>
      <c r="C27" s="666">
        <v>1.8</v>
      </c>
      <c r="D27" s="704">
        <v>1.8</v>
      </c>
      <c r="E27" s="704">
        <v>0.8</v>
      </c>
      <c r="F27" s="704">
        <v>1.8</v>
      </c>
      <c r="G27" s="704">
        <v>1.8</v>
      </c>
      <c r="H27" s="662">
        <v>1.8</v>
      </c>
      <c r="I27" s="662">
        <v>1.8</v>
      </c>
      <c r="J27" s="662">
        <v>1.8</v>
      </c>
      <c r="K27" s="662">
        <v>1.8</v>
      </c>
      <c r="L27" s="663">
        <v>0.5</v>
      </c>
      <c r="M27" s="704">
        <v>0.8</v>
      </c>
      <c r="N27" s="704">
        <v>0.8</v>
      </c>
      <c r="O27" s="663">
        <v>4</v>
      </c>
      <c r="P27" s="663">
        <v>4</v>
      </c>
      <c r="Q27" s="663">
        <v>0.5</v>
      </c>
      <c r="R27" s="661">
        <v>1.7</v>
      </c>
      <c r="S27" s="661">
        <v>1.7</v>
      </c>
      <c r="T27" s="661">
        <v>2</v>
      </c>
      <c r="U27" s="661">
        <v>2</v>
      </c>
      <c r="V27" s="661">
        <v>2</v>
      </c>
      <c r="W27" s="661">
        <v>2</v>
      </c>
      <c r="X27" s="663">
        <v>0.8</v>
      </c>
      <c r="Y27" s="662">
        <v>5</v>
      </c>
      <c r="Z27" s="663">
        <v>1.8</v>
      </c>
      <c r="AA27" s="661">
        <v>0.8</v>
      </c>
      <c r="AB27" s="661">
        <v>0.8</v>
      </c>
      <c r="AC27" s="664">
        <v>0.8</v>
      </c>
      <c r="AD27" s="663">
        <v>2.2000000000000002</v>
      </c>
      <c r="AE27" s="663">
        <v>2.2000000000000002</v>
      </c>
      <c r="AF27" s="663">
        <v>2.2000000000000002</v>
      </c>
    </row>
    <row r="28" spans="1:32" ht="12.75">
      <c r="A28" s="661" t="s">
        <v>761</v>
      </c>
      <c r="B28" s="666">
        <v>0.1</v>
      </c>
      <c r="C28" s="666">
        <v>0.1</v>
      </c>
      <c r="D28" s="666">
        <v>0.1</v>
      </c>
      <c r="E28" s="666">
        <v>0.1</v>
      </c>
      <c r="F28" s="666">
        <v>0.1</v>
      </c>
      <c r="G28" s="666">
        <v>0.1</v>
      </c>
      <c r="H28" s="666">
        <v>0.1</v>
      </c>
      <c r="I28" s="666">
        <v>0.1</v>
      </c>
      <c r="J28" s="666">
        <v>0.1</v>
      </c>
      <c r="K28" s="666">
        <v>0.1</v>
      </c>
      <c r="L28" s="666">
        <v>0.1</v>
      </c>
      <c r="M28" s="666">
        <v>0.1</v>
      </c>
      <c r="N28" s="666">
        <v>0.1</v>
      </c>
      <c r="O28" s="666">
        <v>0.1</v>
      </c>
      <c r="P28" s="666">
        <v>0.1</v>
      </c>
      <c r="Q28" s="666">
        <v>0.1</v>
      </c>
      <c r="R28" s="666">
        <v>0.1</v>
      </c>
      <c r="S28" s="666">
        <v>0.1</v>
      </c>
      <c r="T28" s="666">
        <v>0.1</v>
      </c>
      <c r="U28" s="666">
        <v>0.1</v>
      </c>
      <c r="V28" s="666">
        <v>0.1</v>
      </c>
      <c r="W28" s="666">
        <v>0.1</v>
      </c>
      <c r="X28" s="666">
        <v>0.1</v>
      </c>
      <c r="Y28" s="666">
        <v>0.1</v>
      </c>
      <c r="Z28" s="666">
        <v>0.1</v>
      </c>
      <c r="AA28" s="666">
        <v>0.1</v>
      </c>
      <c r="AB28" s="666">
        <v>0.1</v>
      </c>
      <c r="AC28" s="666">
        <v>0.1</v>
      </c>
      <c r="AD28" s="666">
        <v>0.1</v>
      </c>
      <c r="AE28" s="666">
        <v>0.1</v>
      </c>
      <c r="AF28" s="666">
        <v>0.1</v>
      </c>
    </row>
    <row r="29" spans="1:32" ht="12.75">
      <c r="A29" s="661" t="s">
        <v>760</v>
      </c>
      <c r="B29" s="666">
        <v>1</v>
      </c>
      <c r="C29" s="666">
        <v>1</v>
      </c>
      <c r="D29" s="666">
        <v>1</v>
      </c>
      <c r="E29" s="666">
        <v>1</v>
      </c>
      <c r="F29" s="666">
        <v>1</v>
      </c>
      <c r="G29" s="666">
        <v>1</v>
      </c>
      <c r="H29" s="666">
        <v>1</v>
      </c>
      <c r="I29" s="666">
        <v>1</v>
      </c>
      <c r="J29" s="666">
        <v>1</v>
      </c>
      <c r="K29" s="666">
        <v>1</v>
      </c>
      <c r="L29" s="666">
        <v>1</v>
      </c>
      <c r="M29" s="666">
        <v>1</v>
      </c>
      <c r="N29" s="666">
        <v>1</v>
      </c>
      <c r="O29" s="666">
        <v>1</v>
      </c>
      <c r="P29" s="666">
        <v>1</v>
      </c>
      <c r="Q29" s="666">
        <v>1</v>
      </c>
      <c r="R29" s="666">
        <v>1</v>
      </c>
      <c r="S29" s="666">
        <v>1</v>
      </c>
      <c r="T29" s="666">
        <v>1</v>
      </c>
      <c r="U29" s="666">
        <v>1</v>
      </c>
      <c r="V29" s="666">
        <v>1</v>
      </c>
      <c r="W29" s="666">
        <v>1</v>
      </c>
      <c r="X29" s="666">
        <v>1</v>
      </c>
      <c r="Y29" s="666">
        <v>1</v>
      </c>
      <c r="Z29" s="666">
        <v>1</v>
      </c>
      <c r="AA29" s="666">
        <v>1</v>
      </c>
      <c r="AB29" s="666">
        <v>1</v>
      </c>
      <c r="AC29" s="666">
        <v>1</v>
      </c>
      <c r="AD29" s="666">
        <v>1</v>
      </c>
      <c r="AE29" s="666">
        <v>1</v>
      </c>
      <c r="AF29" s="666">
        <v>1</v>
      </c>
    </row>
    <row r="30" spans="1:32" ht="18">
      <c r="A30" s="700" t="s">
        <v>585</v>
      </c>
      <c r="B30" s="701"/>
      <c r="C30" s="701"/>
      <c r="D30" s="701"/>
      <c r="E30" s="701"/>
      <c r="F30" s="701"/>
      <c r="G30" s="701"/>
      <c r="H30" s="702"/>
      <c r="I30" s="702"/>
      <c r="J30" s="702"/>
      <c r="K30" s="702"/>
      <c r="L30" s="701"/>
      <c r="M30" s="701"/>
      <c r="N30" s="701"/>
      <c r="O30" s="701"/>
      <c r="P30" s="701"/>
      <c r="Q30" s="701"/>
      <c r="R30" s="701"/>
      <c r="S30" s="701"/>
      <c r="T30" s="701"/>
      <c r="U30" s="701"/>
      <c r="V30" s="701"/>
      <c r="W30" s="701"/>
      <c r="X30" s="701"/>
      <c r="Y30" s="702"/>
      <c r="Z30" s="701"/>
      <c r="AA30" s="701"/>
      <c r="AB30" s="701"/>
      <c r="AC30" s="702"/>
      <c r="AD30" s="701"/>
      <c r="AE30" s="701"/>
      <c r="AF30" s="701"/>
    </row>
    <row r="31" spans="1:32" ht="12.75">
      <c r="A31" s="661" t="s">
        <v>586</v>
      </c>
      <c r="B31" s="667" t="s">
        <v>294</v>
      </c>
      <c r="C31" s="669" t="s">
        <v>294</v>
      </c>
      <c r="D31" s="667" t="s">
        <v>294</v>
      </c>
      <c r="E31" s="667" t="s">
        <v>294</v>
      </c>
      <c r="F31" s="667" t="s">
        <v>294</v>
      </c>
      <c r="G31" s="667" t="s">
        <v>294</v>
      </c>
      <c r="H31" s="668" t="s">
        <v>294</v>
      </c>
      <c r="I31" s="668" t="s">
        <v>294</v>
      </c>
      <c r="J31" s="668" t="s">
        <v>294</v>
      </c>
      <c r="K31" s="668" t="s">
        <v>294</v>
      </c>
      <c r="L31" s="669" t="s">
        <v>294</v>
      </c>
      <c r="M31" s="667" t="s">
        <v>294</v>
      </c>
      <c r="N31" s="667" t="s">
        <v>294</v>
      </c>
      <c r="O31" s="669" t="s">
        <v>294</v>
      </c>
      <c r="P31" s="669" t="s">
        <v>294</v>
      </c>
      <c r="Q31" s="669" t="s">
        <v>294</v>
      </c>
      <c r="R31" s="667" t="s">
        <v>294</v>
      </c>
      <c r="S31" s="667" t="s">
        <v>306</v>
      </c>
      <c r="T31" s="667" t="s">
        <v>834</v>
      </c>
      <c r="U31" s="667" t="s">
        <v>834</v>
      </c>
      <c r="V31" s="667" t="s">
        <v>834</v>
      </c>
      <c r="W31" s="667" t="s">
        <v>834</v>
      </c>
      <c r="X31" s="669" t="s">
        <v>294</v>
      </c>
      <c r="Y31" s="668" t="s">
        <v>294</v>
      </c>
      <c r="Z31" s="669" t="s">
        <v>294</v>
      </c>
      <c r="AA31" s="667" t="s">
        <v>294</v>
      </c>
      <c r="AB31" s="667" t="s">
        <v>294</v>
      </c>
      <c r="AC31" s="670" t="s">
        <v>294</v>
      </c>
      <c r="AD31" s="669" t="s">
        <v>294</v>
      </c>
      <c r="AE31" s="669" t="s">
        <v>294</v>
      </c>
      <c r="AF31" s="669" t="s">
        <v>294</v>
      </c>
    </row>
    <row r="32" spans="1:32" ht="12.75">
      <c r="A32" s="661" t="s">
        <v>587</v>
      </c>
      <c r="B32" s="661">
        <v>2</v>
      </c>
      <c r="C32" s="663">
        <v>1.8</v>
      </c>
      <c r="D32" s="661">
        <v>1.8</v>
      </c>
      <c r="E32" s="661">
        <v>0.7</v>
      </c>
      <c r="F32" s="667" t="s">
        <v>293</v>
      </c>
      <c r="G32" s="667" t="s">
        <v>293</v>
      </c>
      <c r="H32" s="668" t="s">
        <v>293</v>
      </c>
      <c r="I32" s="668" t="s">
        <v>293</v>
      </c>
      <c r="J32" s="668" t="s">
        <v>293</v>
      </c>
      <c r="K32" s="668" t="s">
        <v>293</v>
      </c>
      <c r="L32" s="666">
        <v>0.5</v>
      </c>
      <c r="M32" s="663">
        <v>0.5</v>
      </c>
      <c r="N32" s="661">
        <v>0.5</v>
      </c>
      <c r="O32" s="663">
        <v>1.5</v>
      </c>
      <c r="P32" s="663">
        <v>0.5</v>
      </c>
      <c r="Q32" s="663">
        <v>0.5</v>
      </c>
      <c r="R32" s="661">
        <v>1.7</v>
      </c>
      <c r="S32" s="661">
        <v>0.5</v>
      </c>
      <c r="T32" s="661">
        <v>0.35</v>
      </c>
      <c r="U32" s="661">
        <v>0.35</v>
      </c>
      <c r="V32" s="661">
        <v>0.35</v>
      </c>
      <c r="W32" s="661">
        <v>0.35</v>
      </c>
      <c r="X32" s="663">
        <v>0.7</v>
      </c>
      <c r="Y32" s="662">
        <v>1.5</v>
      </c>
      <c r="Z32" s="663">
        <v>1.8</v>
      </c>
      <c r="AA32" s="661">
        <v>0.7</v>
      </c>
      <c r="AB32" s="661">
        <v>0.7</v>
      </c>
      <c r="AC32" s="664">
        <v>0.7</v>
      </c>
      <c r="AD32" s="663">
        <v>0.5</v>
      </c>
      <c r="AE32" s="663">
        <v>0.5</v>
      </c>
      <c r="AF32" s="663">
        <v>0.5</v>
      </c>
    </row>
    <row r="33" spans="1:32" ht="12.75">
      <c r="A33" s="661" t="s">
        <v>588</v>
      </c>
      <c r="B33" s="661">
        <v>20</v>
      </c>
      <c r="C33" s="663">
        <v>40</v>
      </c>
      <c r="D33" s="661">
        <v>40</v>
      </c>
      <c r="E33" s="661">
        <v>40</v>
      </c>
      <c r="F33" s="661">
        <v>75</v>
      </c>
      <c r="G33" s="661">
        <v>75</v>
      </c>
      <c r="H33" s="662">
        <v>75</v>
      </c>
      <c r="I33" s="662">
        <v>75</v>
      </c>
      <c r="J33" s="662">
        <v>75</v>
      </c>
      <c r="K33" s="662">
        <v>75</v>
      </c>
      <c r="L33" s="666">
        <v>60</v>
      </c>
      <c r="M33" s="661">
        <v>45</v>
      </c>
      <c r="N33" s="661">
        <v>45</v>
      </c>
      <c r="O33" s="663">
        <v>30</v>
      </c>
      <c r="P33" s="663">
        <v>25</v>
      </c>
      <c r="Q33" s="663">
        <v>21</v>
      </c>
      <c r="R33" s="661">
        <v>35</v>
      </c>
      <c r="S33" s="661">
        <v>45</v>
      </c>
      <c r="T33" s="661">
        <v>60</v>
      </c>
      <c r="U33" s="661">
        <v>60</v>
      </c>
      <c r="V33" s="661">
        <v>60</v>
      </c>
      <c r="W33" s="661">
        <v>60</v>
      </c>
      <c r="X33" s="663">
        <v>40</v>
      </c>
      <c r="Y33" s="662">
        <v>105</v>
      </c>
      <c r="Z33" s="663">
        <v>40</v>
      </c>
      <c r="AA33" s="661">
        <v>40</v>
      </c>
      <c r="AB33" s="661">
        <v>40</v>
      </c>
      <c r="AC33" s="664">
        <v>50</v>
      </c>
      <c r="AD33" s="663">
        <v>55</v>
      </c>
      <c r="AE33" s="663">
        <v>60</v>
      </c>
      <c r="AF33" s="663">
        <v>60</v>
      </c>
    </row>
    <row r="34" spans="1:32" ht="12.75">
      <c r="A34" s="661" t="s">
        <v>589</v>
      </c>
      <c r="B34" s="661">
        <v>1</v>
      </c>
      <c r="C34" s="663">
        <v>0.5</v>
      </c>
      <c r="D34" s="663">
        <v>0.5</v>
      </c>
      <c r="E34" s="663">
        <v>0.5</v>
      </c>
      <c r="F34" s="663">
        <v>0.5</v>
      </c>
      <c r="G34" s="663">
        <v>0.5</v>
      </c>
      <c r="H34" s="663">
        <v>0.5</v>
      </c>
      <c r="I34" s="663">
        <v>0.5</v>
      </c>
      <c r="J34" s="663">
        <v>0.5</v>
      </c>
      <c r="K34" s="663">
        <v>0.5</v>
      </c>
      <c r="L34" s="666">
        <v>2</v>
      </c>
      <c r="M34" s="663">
        <v>0.5</v>
      </c>
      <c r="N34" s="663">
        <v>0.5</v>
      </c>
      <c r="O34" s="663">
        <v>2</v>
      </c>
      <c r="P34" s="663">
        <v>2</v>
      </c>
      <c r="Q34" s="663">
        <v>2</v>
      </c>
      <c r="R34" s="661">
        <v>1</v>
      </c>
      <c r="S34" s="661">
        <v>1</v>
      </c>
      <c r="T34" s="661">
        <v>1</v>
      </c>
      <c r="U34" s="661">
        <v>1</v>
      </c>
      <c r="V34" s="661">
        <v>1</v>
      </c>
      <c r="W34" s="661">
        <v>1</v>
      </c>
      <c r="X34" s="663">
        <v>0.5</v>
      </c>
      <c r="Y34" s="663">
        <v>0.5</v>
      </c>
      <c r="Z34" s="663">
        <v>0.5</v>
      </c>
      <c r="AA34" s="663">
        <v>0.5</v>
      </c>
      <c r="AB34" s="663">
        <v>0.5</v>
      </c>
      <c r="AC34" s="663">
        <v>0.5</v>
      </c>
      <c r="AD34" s="663">
        <v>0.5</v>
      </c>
      <c r="AE34" s="663">
        <v>0.5</v>
      </c>
      <c r="AF34" s="663">
        <v>0.5</v>
      </c>
    </row>
    <row r="35" spans="1:32" ht="12.75">
      <c r="A35" s="661" t="s">
        <v>590</v>
      </c>
      <c r="B35" s="661">
        <v>60</v>
      </c>
      <c r="C35" s="663">
        <v>100</v>
      </c>
      <c r="D35" s="661">
        <v>100</v>
      </c>
      <c r="E35" s="661">
        <v>100</v>
      </c>
      <c r="F35" s="661">
        <v>100</v>
      </c>
      <c r="G35" s="661">
        <v>100</v>
      </c>
      <c r="H35" s="662">
        <v>100</v>
      </c>
      <c r="I35" s="662">
        <v>100</v>
      </c>
      <c r="J35" s="662">
        <v>100</v>
      </c>
      <c r="K35" s="662">
        <v>100</v>
      </c>
      <c r="L35" s="666">
        <v>15</v>
      </c>
      <c r="M35" s="661">
        <v>100</v>
      </c>
      <c r="N35" s="661">
        <v>100</v>
      </c>
      <c r="O35" s="663">
        <v>15</v>
      </c>
      <c r="P35" s="663">
        <v>15</v>
      </c>
      <c r="Q35" s="663">
        <v>15</v>
      </c>
      <c r="R35" s="661">
        <v>100</v>
      </c>
      <c r="S35" s="661">
        <v>100</v>
      </c>
      <c r="T35" s="661">
        <v>100</v>
      </c>
      <c r="U35" s="661">
        <v>100</v>
      </c>
      <c r="V35" s="661">
        <v>100</v>
      </c>
      <c r="W35" s="661">
        <v>100</v>
      </c>
      <c r="X35" s="663">
        <v>100</v>
      </c>
      <c r="Y35" s="662">
        <v>100</v>
      </c>
      <c r="Z35" s="663">
        <v>100</v>
      </c>
      <c r="AA35" s="661">
        <v>100</v>
      </c>
      <c r="AB35" s="661">
        <v>100</v>
      </c>
      <c r="AC35" s="664">
        <v>100</v>
      </c>
      <c r="AD35" s="663">
        <v>100</v>
      </c>
      <c r="AE35" s="663">
        <v>100</v>
      </c>
      <c r="AF35" s="663">
        <v>100</v>
      </c>
    </row>
    <row r="36" spans="1:32" ht="12.75">
      <c r="A36" s="661" t="s">
        <v>592</v>
      </c>
      <c r="B36" s="661">
        <v>25</v>
      </c>
      <c r="C36" s="663">
        <v>45</v>
      </c>
      <c r="D36" s="661">
        <v>45</v>
      </c>
      <c r="E36" s="661">
        <v>45</v>
      </c>
      <c r="F36" s="661">
        <v>55</v>
      </c>
      <c r="G36" s="661">
        <v>55</v>
      </c>
      <c r="H36" s="662">
        <v>60</v>
      </c>
      <c r="I36" s="662">
        <v>60</v>
      </c>
      <c r="J36" s="662">
        <v>60</v>
      </c>
      <c r="K36" s="662">
        <v>60</v>
      </c>
      <c r="L36" s="663">
        <v>30</v>
      </c>
      <c r="M36" s="661">
        <v>50</v>
      </c>
      <c r="N36" s="661">
        <v>50</v>
      </c>
      <c r="O36" s="663">
        <v>10</v>
      </c>
      <c r="P36" s="663">
        <v>45</v>
      </c>
      <c r="Q36" s="663">
        <v>30</v>
      </c>
      <c r="R36" s="661">
        <v>50</v>
      </c>
      <c r="S36" s="661">
        <v>50</v>
      </c>
      <c r="T36" s="661">
        <v>55</v>
      </c>
      <c r="U36" s="661">
        <v>55</v>
      </c>
      <c r="V36" s="661">
        <v>55</v>
      </c>
      <c r="W36" s="661">
        <v>55</v>
      </c>
      <c r="X36" s="663">
        <v>46</v>
      </c>
      <c r="Y36" s="662">
        <v>60</v>
      </c>
      <c r="Z36" s="663">
        <v>46</v>
      </c>
      <c r="AA36" s="663">
        <v>46</v>
      </c>
      <c r="AB36" s="663">
        <v>46</v>
      </c>
      <c r="AC36" s="663">
        <v>46</v>
      </c>
      <c r="AD36" s="663">
        <v>55</v>
      </c>
      <c r="AE36" s="663">
        <v>55</v>
      </c>
      <c r="AF36" s="663">
        <v>55</v>
      </c>
    </row>
    <row r="37" spans="1:32" ht="12.75">
      <c r="A37" s="661" t="s">
        <v>593</v>
      </c>
      <c r="B37" s="661">
        <v>12</v>
      </c>
      <c r="C37" s="663">
        <v>12</v>
      </c>
      <c r="D37" s="661">
        <v>12</v>
      </c>
      <c r="E37" s="661">
        <v>12</v>
      </c>
      <c r="F37" s="661">
        <v>20</v>
      </c>
      <c r="G37" s="661">
        <v>20</v>
      </c>
      <c r="H37" s="662">
        <v>20</v>
      </c>
      <c r="I37" s="662">
        <v>20</v>
      </c>
      <c r="J37" s="662">
        <v>20</v>
      </c>
      <c r="K37" s="662">
        <v>20</v>
      </c>
      <c r="L37" s="663">
        <v>12</v>
      </c>
      <c r="M37" s="661">
        <v>12</v>
      </c>
      <c r="N37" s="661">
        <v>12</v>
      </c>
      <c r="O37" s="663">
        <v>12</v>
      </c>
      <c r="P37" s="663">
        <v>12</v>
      </c>
      <c r="Q37" s="663">
        <v>12</v>
      </c>
      <c r="R37" s="661">
        <v>12</v>
      </c>
      <c r="S37" s="661">
        <v>20</v>
      </c>
      <c r="T37" s="661">
        <v>20</v>
      </c>
      <c r="U37" s="661">
        <v>20</v>
      </c>
      <c r="V37" s="661">
        <v>20</v>
      </c>
      <c r="W37" s="661">
        <v>20</v>
      </c>
      <c r="X37" s="663">
        <v>44</v>
      </c>
      <c r="Y37" s="662">
        <v>20</v>
      </c>
      <c r="Z37" s="663">
        <v>44</v>
      </c>
      <c r="AA37" s="663">
        <v>44</v>
      </c>
      <c r="AB37" s="663">
        <v>44</v>
      </c>
      <c r="AC37" s="663">
        <v>44</v>
      </c>
      <c r="AD37" s="663">
        <v>12</v>
      </c>
      <c r="AE37" s="663">
        <v>12</v>
      </c>
      <c r="AF37" s="663">
        <v>12</v>
      </c>
    </row>
    <row r="38" spans="1:32" ht="17.25" customHeight="1">
      <c r="A38" s="661" t="s">
        <v>594</v>
      </c>
      <c r="B38" s="667" t="s">
        <v>328</v>
      </c>
      <c r="C38" s="669" t="s">
        <v>328</v>
      </c>
      <c r="D38" s="667" t="s">
        <v>328</v>
      </c>
      <c r="E38" s="667" t="s">
        <v>328</v>
      </c>
      <c r="F38" s="667" t="s">
        <v>328</v>
      </c>
      <c r="G38" s="667" t="s">
        <v>328</v>
      </c>
      <c r="H38" s="668" t="s">
        <v>328</v>
      </c>
      <c r="I38" s="668" t="s">
        <v>328</v>
      </c>
      <c r="J38" s="668" t="s">
        <v>328</v>
      </c>
      <c r="K38" s="668" t="s">
        <v>328</v>
      </c>
      <c r="L38" s="669" t="s">
        <v>324</v>
      </c>
      <c r="M38" s="667" t="s">
        <v>328</v>
      </c>
      <c r="N38" s="667" t="s">
        <v>328</v>
      </c>
      <c r="O38" s="669" t="s">
        <v>328</v>
      </c>
      <c r="P38" s="669" t="s">
        <v>328</v>
      </c>
      <c r="Q38" s="669" t="s">
        <v>324</v>
      </c>
      <c r="R38" s="667" t="s">
        <v>328</v>
      </c>
      <c r="S38" s="667" t="s">
        <v>328</v>
      </c>
      <c r="T38" s="667" t="s">
        <v>328</v>
      </c>
      <c r="U38" s="667" t="s">
        <v>328</v>
      </c>
      <c r="V38" s="667" t="s">
        <v>328</v>
      </c>
      <c r="W38" s="667" t="s">
        <v>328</v>
      </c>
      <c r="X38" s="669" t="s">
        <v>328</v>
      </c>
      <c r="Y38" s="668" t="s">
        <v>328</v>
      </c>
      <c r="Z38" s="669" t="s">
        <v>328</v>
      </c>
      <c r="AA38" s="667" t="s">
        <v>328</v>
      </c>
      <c r="AB38" s="667" t="s">
        <v>328</v>
      </c>
      <c r="AC38" s="670" t="s">
        <v>328</v>
      </c>
      <c r="AD38" s="669" t="s">
        <v>328</v>
      </c>
      <c r="AE38" s="669" t="s">
        <v>328</v>
      </c>
      <c r="AF38" s="669" t="s">
        <v>328</v>
      </c>
    </row>
    <row r="39" spans="1:32" ht="17.25" customHeight="1">
      <c r="A39" s="661" t="s">
        <v>595</v>
      </c>
      <c r="B39" s="704">
        <v>15</v>
      </c>
      <c r="C39" s="666">
        <v>15</v>
      </c>
      <c r="D39" s="704">
        <v>35</v>
      </c>
      <c r="E39" s="704">
        <v>35</v>
      </c>
      <c r="F39" s="704">
        <v>35</v>
      </c>
      <c r="G39" s="704">
        <v>35</v>
      </c>
      <c r="H39" s="662">
        <v>35</v>
      </c>
      <c r="I39" s="662">
        <v>35</v>
      </c>
      <c r="J39" s="662">
        <v>35</v>
      </c>
      <c r="K39" s="662">
        <v>35</v>
      </c>
      <c r="L39" s="667" t="s">
        <v>293</v>
      </c>
      <c r="M39" s="704">
        <v>35</v>
      </c>
      <c r="N39" s="704">
        <v>35</v>
      </c>
      <c r="O39" s="663">
        <v>10</v>
      </c>
      <c r="P39" s="663">
        <v>40</v>
      </c>
      <c r="Q39" s="667" t="s">
        <v>293</v>
      </c>
      <c r="R39" s="661">
        <v>50</v>
      </c>
      <c r="S39" s="704">
        <v>50</v>
      </c>
      <c r="T39" s="704">
        <v>55</v>
      </c>
      <c r="U39" s="704">
        <v>55</v>
      </c>
      <c r="V39" s="704">
        <v>55</v>
      </c>
      <c r="W39" s="704">
        <v>55</v>
      </c>
      <c r="X39" s="663">
        <v>35</v>
      </c>
      <c r="Y39" s="662">
        <v>60</v>
      </c>
      <c r="Z39" s="663">
        <v>35</v>
      </c>
      <c r="AA39" s="663">
        <v>35</v>
      </c>
      <c r="AB39" s="663">
        <v>35</v>
      </c>
      <c r="AC39" s="663">
        <v>35</v>
      </c>
      <c r="AD39" s="663">
        <v>55</v>
      </c>
      <c r="AE39" s="663">
        <v>55</v>
      </c>
      <c r="AF39" s="663">
        <v>55</v>
      </c>
    </row>
    <row r="40" spans="1:32" ht="12.75">
      <c r="A40" s="661" t="s">
        <v>598</v>
      </c>
      <c r="B40" s="704">
        <v>12</v>
      </c>
      <c r="C40" s="663">
        <v>15</v>
      </c>
      <c r="D40" s="661">
        <v>25</v>
      </c>
      <c r="E40" s="661">
        <v>25</v>
      </c>
      <c r="F40" s="661">
        <v>40</v>
      </c>
      <c r="G40" s="661">
        <v>80</v>
      </c>
      <c r="H40" s="662">
        <v>40</v>
      </c>
      <c r="I40" s="662">
        <v>80</v>
      </c>
      <c r="J40" s="662">
        <v>65</v>
      </c>
      <c r="K40" s="662">
        <v>50</v>
      </c>
      <c r="L40" s="666">
        <v>9</v>
      </c>
      <c r="M40" s="661">
        <v>30</v>
      </c>
      <c r="N40" s="661">
        <v>30</v>
      </c>
      <c r="O40" s="666">
        <v>8</v>
      </c>
      <c r="P40" s="666">
        <v>12.5</v>
      </c>
      <c r="Q40" s="666">
        <v>8</v>
      </c>
      <c r="R40" s="704">
        <v>20</v>
      </c>
      <c r="S40" s="704">
        <v>25</v>
      </c>
      <c r="T40" s="704">
        <v>25</v>
      </c>
      <c r="U40" s="704">
        <v>25</v>
      </c>
      <c r="V40" s="704">
        <v>25</v>
      </c>
      <c r="W40" s="704">
        <v>25</v>
      </c>
      <c r="X40" s="666">
        <v>37</v>
      </c>
      <c r="Y40" s="662">
        <v>40</v>
      </c>
      <c r="Z40" s="666">
        <v>37</v>
      </c>
      <c r="AA40" s="666">
        <v>37</v>
      </c>
      <c r="AB40" s="666">
        <v>37</v>
      </c>
      <c r="AC40" s="666">
        <v>37</v>
      </c>
      <c r="AD40" s="666">
        <v>30</v>
      </c>
      <c r="AE40" s="666">
        <v>25</v>
      </c>
      <c r="AF40" s="666">
        <v>28</v>
      </c>
    </row>
    <row r="41" spans="1:32" ht="12.75">
      <c r="A41" s="661" t="s">
        <v>606</v>
      </c>
      <c r="B41" s="704">
        <v>5</v>
      </c>
      <c r="C41" s="666">
        <v>5</v>
      </c>
      <c r="D41" s="704">
        <v>5</v>
      </c>
      <c r="E41" s="704">
        <v>5</v>
      </c>
      <c r="F41" s="704">
        <v>20</v>
      </c>
      <c r="G41" s="704">
        <v>20</v>
      </c>
      <c r="H41" s="662">
        <v>20</v>
      </c>
      <c r="I41" s="662">
        <v>20</v>
      </c>
      <c r="J41" s="662">
        <v>20</v>
      </c>
      <c r="K41" s="662">
        <v>20</v>
      </c>
      <c r="L41" s="666">
        <v>3</v>
      </c>
      <c r="M41" s="704">
        <v>5</v>
      </c>
      <c r="N41" s="704">
        <v>5</v>
      </c>
      <c r="O41" s="666">
        <v>3</v>
      </c>
      <c r="P41" s="666">
        <v>3</v>
      </c>
      <c r="Q41" s="666">
        <v>3</v>
      </c>
      <c r="R41" s="704">
        <v>3</v>
      </c>
      <c r="S41" s="704">
        <v>15</v>
      </c>
      <c r="T41" s="704">
        <v>60</v>
      </c>
      <c r="U41" s="704">
        <v>60</v>
      </c>
      <c r="V41" s="704">
        <v>60</v>
      </c>
      <c r="W41" s="704">
        <v>60</v>
      </c>
      <c r="X41" s="666">
        <v>5</v>
      </c>
      <c r="Y41" s="662">
        <v>160</v>
      </c>
      <c r="Z41" s="666">
        <v>5</v>
      </c>
      <c r="AA41" s="704">
        <v>5</v>
      </c>
      <c r="AB41" s="704">
        <v>5</v>
      </c>
      <c r="AC41" s="664">
        <v>15</v>
      </c>
      <c r="AD41" s="666">
        <v>20</v>
      </c>
      <c r="AE41" s="666">
        <v>20</v>
      </c>
      <c r="AF41" s="666">
        <v>20</v>
      </c>
    </row>
    <row r="42" spans="1:32" ht="12.75">
      <c r="A42" s="661" t="s">
        <v>649</v>
      </c>
      <c r="B42" s="667" t="s">
        <v>328</v>
      </c>
      <c r="C42" s="669" t="s">
        <v>328</v>
      </c>
      <c r="D42" s="667" t="s">
        <v>328</v>
      </c>
      <c r="E42" s="667" t="s">
        <v>328</v>
      </c>
      <c r="F42" s="667" t="s">
        <v>328</v>
      </c>
      <c r="G42" s="667" t="s">
        <v>328</v>
      </c>
      <c r="H42" s="668" t="s">
        <v>328</v>
      </c>
      <c r="I42" s="668" t="s">
        <v>328</v>
      </c>
      <c r="J42" s="668" t="s">
        <v>328</v>
      </c>
      <c r="K42" s="668" t="s">
        <v>328</v>
      </c>
      <c r="L42" s="669" t="s">
        <v>324</v>
      </c>
      <c r="M42" s="667" t="s">
        <v>328</v>
      </c>
      <c r="N42" s="667" t="s">
        <v>328</v>
      </c>
      <c r="O42" s="669" t="s">
        <v>324</v>
      </c>
      <c r="P42" s="669" t="s">
        <v>324</v>
      </c>
      <c r="Q42" s="669" t="s">
        <v>324</v>
      </c>
      <c r="R42" s="667" t="s">
        <v>328</v>
      </c>
      <c r="S42" s="667" t="s">
        <v>328</v>
      </c>
      <c r="T42" s="667" t="s">
        <v>328</v>
      </c>
      <c r="U42" s="667" t="s">
        <v>328</v>
      </c>
      <c r="V42" s="667" t="s">
        <v>328</v>
      </c>
      <c r="W42" s="667" t="s">
        <v>328</v>
      </c>
      <c r="X42" s="669" t="s">
        <v>328</v>
      </c>
      <c r="Y42" s="668" t="s">
        <v>328</v>
      </c>
      <c r="Z42" s="669" t="s">
        <v>328</v>
      </c>
      <c r="AA42" s="667" t="s">
        <v>328</v>
      </c>
      <c r="AB42" s="667" t="s">
        <v>328</v>
      </c>
      <c r="AC42" s="670" t="s">
        <v>328</v>
      </c>
      <c r="AD42" s="669" t="s">
        <v>328</v>
      </c>
      <c r="AE42" s="669" t="s">
        <v>324</v>
      </c>
      <c r="AF42" s="669" t="s">
        <v>324</v>
      </c>
    </row>
    <row r="43" spans="1:32" ht="12.75">
      <c r="A43" s="661" t="s">
        <v>650</v>
      </c>
      <c r="B43" s="704" t="s">
        <v>651</v>
      </c>
      <c r="C43" s="704" t="s">
        <v>651</v>
      </c>
      <c r="D43" s="704" t="s">
        <v>651</v>
      </c>
      <c r="E43" s="704" t="s">
        <v>651</v>
      </c>
      <c r="F43" s="704" t="s">
        <v>651</v>
      </c>
      <c r="G43" s="704" t="s">
        <v>651</v>
      </c>
      <c r="H43" s="662" t="s">
        <v>651</v>
      </c>
      <c r="I43" s="662" t="s">
        <v>651</v>
      </c>
      <c r="J43" s="662" t="s">
        <v>651</v>
      </c>
      <c r="K43" s="662" t="s">
        <v>651</v>
      </c>
      <c r="L43" s="666" t="s">
        <v>651</v>
      </c>
      <c r="M43" s="704" t="s">
        <v>651</v>
      </c>
      <c r="N43" s="704" t="s">
        <v>651</v>
      </c>
      <c r="O43" s="666" t="s">
        <v>651</v>
      </c>
      <c r="P43" s="666" t="s">
        <v>651</v>
      </c>
      <c r="Q43" s="666" t="s">
        <v>833</v>
      </c>
      <c r="R43" s="704" t="s">
        <v>833</v>
      </c>
      <c r="S43" s="704" t="s">
        <v>833</v>
      </c>
      <c r="T43" s="704" t="s">
        <v>651</v>
      </c>
      <c r="U43" s="704" t="s">
        <v>651</v>
      </c>
      <c r="V43" s="704" t="s">
        <v>651</v>
      </c>
      <c r="W43" s="704" t="s">
        <v>651</v>
      </c>
      <c r="X43" s="666" t="s">
        <v>651</v>
      </c>
      <c r="Y43" s="662" t="s">
        <v>651</v>
      </c>
      <c r="Z43" s="666" t="s">
        <v>651</v>
      </c>
      <c r="AA43" s="704" t="s">
        <v>651</v>
      </c>
      <c r="AB43" s="704" t="s">
        <v>651</v>
      </c>
      <c r="AC43" s="664" t="s">
        <v>651</v>
      </c>
      <c r="AD43" s="666" t="s">
        <v>651</v>
      </c>
      <c r="AE43" s="666" t="s">
        <v>651</v>
      </c>
      <c r="AF43" s="666" t="s">
        <v>651</v>
      </c>
    </row>
    <row r="44" spans="1:32" ht="12.75">
      <c r="A44" s="661" t="s">
        <v>652</v>
      </c>
      <c r="B44" s="667" t="s">
        <v>293</v>
      </c>
      <c r="C44" s="667" t="s">
        <v>293</v>
      </c>
      <c r="D44" s="667" t="s">
        <v>293</v>
      </c>
      <c r="E44" s="667" t="s">
        <v>293</v>
      </c>
      <c r="F44" s="704">
        <v>30</v>
      </c>
      <c r="G44" s="704">
        <v>30</v>
      </c>
      <c r="H44" s="704">
        <v>30</v>
      </c>
      <c r="I44" s="704">
        <v>30</v>
      </c>
      <c r="J44" s="704">
        <v>30</v>
      </c>
      <c r="K44" s="704">
        <v>30</v>
      </c>
      <c r="L44" s="667" t="s">
        <v>293</v>
      </c>
      <c r="M44" s="704">
        <v>45</v>
      </c>
      <c r="N44" s="704">
        <v>45</v>
      </c>
      <c r="O44" s="667" t="s">
        <v>293</v>
      </c>
      <c r="P44" s="667" t="s">
        <v>293</v>
      </c>
      <c r="Q44" s="667" t="s">
        <v>293</v>
      </c>
      <c r="R44" s="667" t="s">
        <v>293</v>
      </c>
      <c r="S44" s="704">
        <v>30</v>
      </c>
      <c r="T44" s="704">
        <v>30</v>
      </c>
      <c r="U44" s="704">
        <v>30</v>
      </c>
      <c r="V44" s="704">
        <v>30</v>
      </c>
      <c r="W44" s="704">
        <v>30</v>
      </c>
      <c r="X44" s="704">
        <v>30</v>
      </c>
      <c r="Y44" s="704">
        <v>30</v>
      </c>
      <c r="Z44" s="704">
        <v>30</v>
      </c>
      <c r="AA44" s="704">
        <v>30</v>
      </c>
      <c r="AB44" s="704">
        <v>30</v>
      </c>
      <c r="AC44" s="704">
        <v>30</v>
      </c>
      <c r="AD44" s="704">
        <v>30</v>
      </c>
      <c r="AE44" s="704">
        <v>30</v>
      </c>
      <c r="AF44" s="704">
        <v>30</v>
      </c>
    </row>
    <row r="45" spans="1:32" ht="12.75">
      <c r="A45" s="661" t="s">
        <v>653</v>
      </c>
      <c r="B45" s="667" t="s">
        <v>293</v>
      </c>
      <c r="C45" s="667" t="s">
        <v>293</v>
      </c>
      <c r="D45" s="704" t="s">
        <v>654</v>
      </c>
      <c r="E45" s="704" t="s">
        <v>654</v>
      </c>
      <c r="F45" s="704" t="s">
        <v>654</v>
      </c>
      <c r="G45" s="704" t="s">
        <v>654</v>
      </c>
      <c r="H45" s="704" t="s">
        <v>654</v>
      </c>
      <c r="I45" s="704" t="s">
        <v>654</v>
      </c>
      <c r="J45" s="704" t="s">
        <v>654</v>
      </c>
      <c r="K45" s="704" t="s">
        <v>654</v>
      </c>
      <c r="L45" s="667" t="s">
        <v>293</v>
      </c>
      <c r="M45" s="704" t="s">
        <v>654</v>
      </c>
      <c r="N45" s="704" t="s">
        <v>654</v>
      </c>
      <c r="O45" s="667" t="s">
        <v>293</v>
      </c>
      <c r="P45" s="667" t="s">
        <v>293</v>
      </c>
      <c r="Q45" s="667" t="s">
        <v>293</v>
      </c>
      <c r="R45" s="704" t="s">
        <v>654</v>
      </c>
      <c r="S45" s="704" t="s">
        <v>654</v>
      </c>
      <c r="T45" s="704" t="s">
        <v>654</v>
      </c>
      <c r="U45" s="704" t="s">
        <v>654</v>
      </c>
      <c r="V45" s="704" t="s">
        <v>654</v>
      </c>
      <c r="W45" s="704" t="s">
        <v>654</v>
      </c>
      <c r="X45" s="704" t="s">
        <v>654</v>
      </c>
      <c r="Y45" s="704" t="s">
        <v>654</v>
      </c>
      <c r="Z45" s="704" t="s">
        <v>654</v>
      </c>
      <c r="AA45" s="704" t="s">
        <v>654</v>
      </c>
      <c r="AB45" s="704" t="s">
        <v>654</v>
      </c>
      <c r="AC45" s="704" t="s">
        <v>654</v>
      </c>
      <c r="AD45" s="704" t="s">
        <v>654</v>
      </c>
      <c r="AE45" s="704" t="s">
        <v>655</v>
      </c>
      <c r="AF45" s="704" t="s">
        <v>655</v>
      </c>
    </row>
    <row r="46" spans="1:32" ht="12.75">
      <c r="A46" s="661" t="s">
        <v>832</v>
      </c>
      <c r="B46" s="667" t="s">
        <v>293</v>
      </c>
      <c r="C46" s="667" t="s">
        <v>293</v>
      </c>
      <c r="D46" s="667" t="s">
        <v>293</v>
      </c>
      <c r="E46" s="667" t="s">
        <v>293</v>
      </c>
      <c r="F46" s="667" t="s">
        <v>293</v>
      </c>
      <c r="G46" s="667" t="s">
        <v>293</v>
      </c>
      <c r="H46" s="667" t="s">
        <v>293</v>
      </c>
      <c r="I46" s="667" t="s">
        <v>293</v>
      </c>
      <c r="J46" s="667" t="s">
        <v>293</v>
      </c>
      <c r="K46" s="667" t="s">
        <v>293</v>
      </c>
      <c r="L46" s="667" t="s">
        <v>293</v>
      </c>
      <c r="M46" s="667" t="s">
        <v>293</v>
      </c>
      <c r="N46" s="667" t="s">
        <v>293</v>
      </c>
      <c r="O46" s="667" t="s">
        <v>293</v>
      </c>
      <c r="P46" s="667" t="s">
        <v>293</v>
      </c>
      <c r="Q46" s="667" t="s">
        <v>293</v>
      </c>
      <c r="R46" s="667" t="s">
        <v>293</v>
      </c>
      <c r="S46" s="704">
        <v>5</v>
      </c>
      <c r="T46" s="704">
        <v>10</v>
      </c>
      <c r="U46" s="704">
        <v>10</v>
      </c>
      <c r="V46" s="704">
        <v>10</v>
      </c>
      <c r="W46" s="704">
        <v>10</v>
      </c>
      <c r="X46" s="667" t="s">
        <v>293</v>
      </c>
      <c r="Y46" s="667" t="s">
        <v>293</v>
      </c>
      <c r="Z46" s="667" t="s">
        <v>293</v>
      </c>
      <c r="AA46" s="667" t="s">
        <v>293</v>
      </c>
      <c r="AB46" s="667" t="s">
        <v>293</v>
      </c>
      <c r="AC46" s="667" t="s">
        <v>293</v>
      </c>
      <c r="AD46" s="667" t="s">
        <v>293</v>
      </c>
      <c r="AE46" s="667" t="s">
        <v>293</v>
      </c>
      <c r="AF46" s="667" t="s">
        <v>293</v>
      </c>
    </row>
    <row r="47" spans="1:32" ht="12.75">
      <c r="A47" s="661" t="s">
        <v>831</v>
      </c>
      <c r="B47" s="667" t="s">
        <v>324</v>
      </c>
      <c r="C47" s="667" t="s">
        <v>324</v>
      </c>
      <c r="D47" s="667" t="s">
        <v>324</v>
      </c>
      <c r="E47" s="667" t="s">
        <v>324</v>
      </c>
      <c r="F47" s="667" t="s">
        <v>324</v>
      </c>
      <c r="G47" s="667" t="s">
        <v>324</v>
      </c>
      <c r="H47" s="667" t="s">
        <v>324</v>
      </c>
      <c r="I47" s="667" t="s">
        <v>324</v>
      </c>
      <c r="J47" s="667" t="s">
        <v>324</v>
      </c>
      <c r="K47" s="667" t="s">
        <v>324</v>
      </c>
      <c r="L47" s="667" t="s">
        <v>324</v>
      </c>
      <c r="M47" s="667" t="s">
        <v>324</v>
      </c>
      <c r="N47" s="667" t="s">
        <v>324</v>
      </c>
      <c r="O47" s="667" t="s">
        <v>324</v>
      </c>
      <c r="P47" s="667" t="s">
        <v>324</v>
      </c>
      <c r="Q47" s="667" t="s">
        <v>324</v>
      </c>
      <c r="R47" s="667" t="s">
        <v>324</v>
      </c>
      <c r="S47" s="667" t="s">
        <v>324</v>
      </c>
      <c r="T47" s="667" t="s">
        <v>328</v>
      </c>
      <c r="U47" s="667" t="s">
        <v>328</v>
      </c>
      <c r="V47" s="667" t="s">
        <v>328</v>
      </c>
      <c r="W47" s="667" t="s">
        <v>328</v>
      </c>
      <c r="X47" s="667" t="s">
        <v>324</v>
      </c>
      <c r="Y47" s="667" t="s">
        <v>324</v>
      </c>
      <c r="Z47" s="667" t="s">
        <v>324</v>
      </c>
      <c r="AA47" s="667" t="s">
        <v>324</v>
      </c>
      <c r="AB47" s="667" t="s">
        <v>324</v>
      </c>
      <c r="AC47" s="667" t="s">
        <v>324</v>
      </c>
      <c r="AD47" s="667" t="s">
        <v>324</v>
      </c>
      <c r="AE47" s="667" t="s">
        <v>324</v>
      </c>
      <c r="AF47" s="667" t="s">
        <v>324</v>
      </c>
    </row>
    <row r="48" spans="1:32" ht="12.75">
      <c r="A48" s="661" t="s">
        <v>830</v>
      </c>
      <c r="B48" s="667" t="s">
        <v>324</v>
      </c>
      <c r="C48" s="667" t="s">
        <v>324</v>
      </c>
      <c r="D48" s="667" t="s">
        <v>324</v>
      </c>
      <c r="E48" s="667" t="s">
        <v>324</v>
      </c>
      <c r="F48" s="667" t="s">
        <v>324</v>
      </c>
      <c r="G48" s="667" t="s">
        <v>324</v>
      </c>
      <c r="H48" s="667" t="s">
        <v>324</v>
      </c>
      <c r="I48" s="667" t="s">
        <v>324</v>
      </c>
      <c r="J48" s="667" t="s">
        <v>324</v>
      </c>
      <c r="K48" s="667" t="s">
        <v>324</v>
      </c>
      <c r="L48" s="667" t="s">
        <v>324</v>
      </c>
      <c r="M48" s="667" t="s">
        <v>324</v>
      </c>
      <c r="N48" s="667" t="s">
        <v>324</v>
      </c>
      <c r="O48" s="667" t="s">
        <v>324</v>
      </c>
      <c r="P48" s="667" t="s">
        <v>324</v>
      </c>
      <c r="Q48" s="667" t="s">
        <v>324</v>
      </c>
      <c r="R48" s="667" t="s">
        <v>324</v>
      </c>
      <c r="S48" s="667" t="s">
        <v>324</v>
      </c>
      <c r="T48" s="667" t="s">
        <v>328</v>
      </c>
      <c r="U48" s="667" t="s">
        <v>328</v>
      </c>
      <c r="V48" s="667" t="s">
        <v>328</v>
      </c>
      <c r="W48" s="667" t="s">
        <v>328</v>
      </c>
      <c r="X48" s="667" t="s">
        <v>324</v>
      </c>
      <c r="Y48" s="667" t="s">
        <v>324</v>
      </c>
      <c r="Z48" s="667" t="s">
        <v>324</v>
      </c>
      <c r="AA48" s="667" t="s">
        <v>324</v>
      </c>
      <c r="AB48" s="667" t="s">
        <v>324</v>
      </c>
      <c r="AC48" s="667" t="s">
        <v>324</v>
      </c>
      <c r="AD48" s="667" t="s">
        <v>324</v>
      </c>
      <c r="AE48" s="667" t="s">
        <v>324</v>
      </c>
      <c r="AF48" s="667" t="s">
        <v>324</v>
      </c>
    </row>
    <row r="49" spans="1:32" ht="12.75">
      <c r="A49" s="661" t="s">
        <v>656</v>
      </c>
      <c r="B49" s="704">
        <v>-18</v>
      </c>
      <c r="C49" s="666">
        <v>-20</v>
      </c>
      <c r="D49" s="704">
        <v>-20</v>
      </c>
      <c r="E49" s="704">
        <v>-20</v>
      </c>
      <c r="F49" s="704">
        <v>-20</v>
      </c>
      <c r="G49" s="704">
        <v>-20</v>
      </c>
      <c r="H49" s="662">
        <v>-20</v>
      </c>
      <c r="I49" s="662">
        <v>-20</v>
      </c>
      <c r="J49" s="662">
        <v>-20</v>
      </c>
      <c r="K49" s="662">
        <v>-20</v>
      </c>
      <c r="L49" s="666">
        <v>-13</v>
      </c>
      <c r="M49" s="704">
        <v>-20</v>
      </c>
      <c r="N49" s="704">
        <v>-20</v>
      </c>
      <c r="O49" s="666">
        <v>-16</v>
      </c>
      <c r="P49" s="666">
        <v>-18</v>
      </c>
      <c r="Q49" s="666">
        <v>-18</v>
      </c>
      <c r="R49" s="704">
        <v>-20</v>
      </c>
      <c r="S49" s="704">
        <v>-20</v>
      </c>
      <c r="T49" s="704">
        <v>-20</v>
      </c>
      <c r="U49" s="704">
        <v>-20</v>
      </c>
      <c r="V49" s="704">
        <v>-20</v>
      </c>
      <c r="W49" s="704">
        <v>-20</v>
      </c>
      <c r="X49" s="666">
        <v>-20</v>
      </c>
      <c r="Y49" s="662">
        <v>-20</v>
      </c>
      <c r="Z49" s="666">
        <v>-20</v>
      </c>
      <c r="AA49" s="704">
        <v>-20</v>
      </c>
      <c r="AB49" s="704">
        <v>-20</v>
      </c>
      <c r="AC49" s="664">
        <v>-20</v>
      </c>
      <c r="AD49" s="666">
        <v>-20</v>
      </c>
      <c r="AE49" s="666">
        <v>-20</v>
      </c>
      <c r="AF49" s="666">
        <v>-20</v>
      </c>
    </row>
    <row r="50" spans="1:32" ht="12.75">
      <c r="A50" s="661" t="s">
        <v>657</v>
      </c>
      <c r="B50" s="704">
        <v>200</v>
      </c>
      <c r="C50" s="666">
        <v>200</v>
      </c>
      <c r="D50" s="704">
        <v>200</v>
      </c>
      <c r="E50" s="704">
        <v>200</v>
      </c>
      <c r="F50" s="704">
        <v>200</v>
      </c>
      <c r="G50" s="704">
        <v>4500</v>
      </c>
      <c r="H50" s="662">
        <v>200</v>
      </c>
      <c r="I50" s="662">
        <v>4500</v>
      </c>
      <c r="J50" s="662">
        <v>2000</v>
      </c>
      <c r="K50" s="662">
        <v>530</v>
      </c>
      <c r="L50" s="666">
        <v>400</v>
      </c>
      <c r="M50" s="704">
        <v>200</v>
      </c>
      <c r="N50" s="704">
        <v>200</v>
      </c>
      <c r="O50" s="666">
        <v>200</v>
      </c>
      <c r="P50" s="666">
        <v>200</v>
      </c>
      <c r="Q50" s="666">
        <v>300</v>
      </c>
      <c r="R50" s="704">
        <v>270</v>
      </c>
      <c r="S50" s="704">
        <v>270</v>
      </c>
      <c r="T50" s="704">
        <v>900</v>
      </c>
      <c r="U50" s="704">
        <v>900</v>
      </c>
      <c r="V50" s="704">
        <v>900</v>
      </c>
      <c r="W50" s="704">
        <v>900</v>
      </c>
      <c r="X50" s="666">
        <v>200</v>
      </c>
      <c r="Y50" s="662">
        <v>200</v>
      </c>
      <c r="Z50" s="666">
        <v>200</v>
      </c>
      <c r="AA50" s="704">
        <v>200</v>
      </c>
      <c r="AB50" s="704">
        <v>200</v>
      </c>
      <c r="AC50" s="664">
        <v>200</v>
      </c>
      <c r="AD50" s="666">
        <v>1000</v>
      </c>
      <c r="AE50" s="666">
        <v>200</v>
      </c>
      <c r="AF50" s="666">
        <v>200</v>
      </c>
    </row>
    <row r="51" spans="1:32" ht="12.75">
      <c r="A51" s="661" t="s">
        <v>658</v>
      </c>
      <c r="B51" s="704">
        <v>10</v>
      </c>
      <c r="C51" s="666">
        <v>10</v>
      </c>
      <c r="D51" s="704">
        <v>10</v>
      </c>
      <c r="E51" s="704">
        <v>10</v>
      </c>
      <c r="F51" s="704">
        <v>10</v>
      </c>
      <c r="G51" s="704">
        <v>2.8</v>
      </c>
      <c r="H51" s="662">
        <v>10</v>
      </c>
      <c r="I51" s="662">
        <v>2.8</v>
      </c>
      <c r="J51" s="662">
        <v>3</v>
      </c>
      <c r="K51" s="662">
        <v>4</v>
      </c>
      <c r="L51" s="666">
        <v>5</v>
      </c>
      <c r="M51" s="704">
        <v>12</v>
      </c>
      <c r="N51" s="704">
        <v>12</v>
      </c>
      <c r="O51" s="666">
        <v>5</v>
      </c>
      <c r="P51" s="666">
        <v>5</v>
      </c>
      <c r="Q51" s="666">
        <v>5</v>
      </c>
      <c r="R51" s="704">
        <v>10</v>
      </c>
      <c r="S51" s="704">
        <v>10</v>
      </c>
      <c r="T51" s="704">
        <v>3.5</v>
      </c>
      <c r="U51" s="704">
        <v>3.5</v>
      </c>
      <c r="V51" s="704">
        <v>3.5</v>
      </c>
      <c r="W51" s="704">
        <v>3.5</v>
      </c>
      <c r="X51" s="666">
        <v>10</v>
      </c>
      <c r="Y51" s="662">
        <v>10</v>
      </c>
      <c r="Z51" s="666">
        <v>10</v>
      </c>
      <c r="AA51" s="704">
        <v>10</v>
      </c>
      <c r="AB51" s="704">
        <v>2.6</v>
      </c>
      <c r="AC51" s="664">
        <v>2.6</v>
      </c>
      <c r="AD51" s="666">
        <v>3</v>
      </c>
      <c r="AE51" s="666">
        <v>5</v>
      </c>
      <c r="AF51" s="666">
        <v>3</v>
      </c>
    </row>
    <row r="52" spans="1:32" ht="12.75">
      <c r="A52" s="661" t="s">
        <v>659</v>
      </c>
      <c r="B52" s="704">
        <v>-26</v>
      </c>
      <c r="C52" s="666">
        <v>-30</v>
      </c>
      <c r="D52" s="704">
        <v>-30</v>
      </c>
      <c r="E52" s="704">
        <v>-30</v>
      </c>
      <c r="F52" s="704">
        <v>-30</v>
      </c>
      <c r="G52" s="704">
        <v>-35</v>
      </c>
      <c r="H52" s="662">
        <v>-30</v>
      </c>
      <c r="I52" s="662">
        <v>-35</v>
      </c>
      <c r="J52" s="662">
        <v>-35</v>
      </c>
      <c r="K52" s="662">
        <v>-32</v>
      </c>
      <c r="L52" s="666">
        <v>-25</v>
      </c>
      <c r="M52" s="704">
        <v>-27</v>
      </c>
      <c r="N52" s="704">
        <v>-27</v>
      </c>
      <c r="O52" s="666">
        <v>-27</v>
      </c>
      <c r="P52" s="666">
        <v>-27</v>
      </c>
      <c r="Q52" s="666">
        <v>-20</v>
      </c>
      <c r="R52" s="704">
        <v>-30</v>
      </c>
      <c r="S52" s="704">
        <v>-30</v>
      </c>
      <c r="T52" s="704">
        <v>-35</v>
      </c>
      <c r="U52" s="704">
        <v>-35</v>
      </c>
      <c r="V52" s="704">
        <v>-35</v>
      </c>
      <c r="W52" s="704">
        <v>-35</v>
      </c>
      <c r="X52" s="666">
        <v>-30</v>
      </c>
      <c r="Y52" s="662">
        <v>-30</v>
      </c>
      <c r="Z52" s="666">
        <v>-30</v>
      </c>
      <c r="AA52" s="704">
        <v>-30</v>
      </c>
      <c r="AB52" s="704">
        <v>-30</v>
      </c>
      <c r="AC52" s="664">
        <v>-35</v>
      </c>
      <c r="AD52" s="666">
        <v>-35</v>
      </c>
      <c r="AE52" s="666">
        <v>-27</v>
      </c>
      <c r="AF52" s="666">
        <v>-35</v>
      </c>
    </row>
    <row r="53" spans="1:32" ht="12.75">
      <c r="A53" s="661" t="s">
        <v>660</v>
      </c>
      <c r="B53" s="704">
        <v>14</v>
      </c>
      <c r="C53" s="666">
        <v>13</v>
      </c>
      <c r="D53" s="666">
        <v>13</v>
      </c>
      <c r="E53" s="666">
        <v>13</v>
      </c>
      <c r="F53" s="704">
        <v>13</v>
      </c>
      <c r="G53" s="704">
        <v>13</v>
      </c>
      <c r="H53" s="662">
        <v>13</v>
      </c>
      <c r="I53" s="662">
        <v>13</v>
      </c>
      <c r="J53" s="662">
        <v>13</v>
      </c>
      <c r="K53" s="662">
        <v>13</v>
      </c>
      <c r="L53" s="666">
        <v>15</v>
      </c>
      <c r="M53" s="704">
        <v>12</v>
      </c>
      <c r="N53" s="704">
        <v>12</v>
      </c>
      <c r="O53" s="666">
        <v>10</v>
      </c>
      <c r="P53" s="666">
        <v>10</v>
      </c>
      <c r="Q53" s="666">
        <v>16</v>
      </c>
      <c r="R53" s="704">
        <v>11</v>
      </c>
      <c r="S53" s="704">
        <v>11</v>
      </c>
      <c r="T53" s="704">
        <v>13</v>
      </c>
      <c r="U53" s="704">
        <v>13</v>
      </c>
      <c r="V53" s="704">
        <v>13</v>
      </c>
      <c r="W53" s="704">
        <v>13</v>
      </c>
      <c r="X53" s="666">
        <v>10</v>
      </c>
      <c r="Y53" s="662">
        <v>13</v>
      </c>
      <c r="Z53" s="666">
        <v>12</v>
      </c>
      <c r="AA53" s="704">
        <v>10</v>
      </c>
      <c r="AB53" s="704">
        <v>10</v>
      </c>
      <c r="AC53" s="664">
        <v>10</v>
      </c>
      <c r="AD53" s="666">
        <v>10</v>
      </c>
      <c r="AE53" s="666">
        <v>10</v>
      </c>
      <c r="AF53" s="666">
        <v>10</v>
      </c>
    </row>
    <row r="54" spans="1:32" ht="12.75">
      <c r="A54" s="661" t="s">
        <v>661</v>
      </c>
      <c r="B54" s="704">
        <v>-16</v>
      </c>
      <c r="C54" s="666">
        <v>-17</v>
      </c>
      <c r="D54" s="704">
        <v>-17</v>
      </c>
      <c r="E54" s="704">
        <v>-17</v>
      </c>
      <c r="F54" s="704">
        <v>-17</v>
      </c>
      <c r="G54" s="704">
        <v>-17</v>
      </c>
      <c r="H54" s="662">
        <v>-17</v>
      </c>
      <c r="I54" s="662">
        <v>-17</v>
      </c>
      <c r="J54" s="662">
        <v>-17</v>
      </c>
      <c r="K54" s="662">
        <v>-17</v>
      </c>
      <c r="L54" s="666">
        <v>-12</v>
      </c>
      <c r="M54" s="704">
        <v>-17</v>
      </c>
      <c r="N54" s="704">
        <v>-17</v>
      </c>
      <c r="O54" s="666">
        <v>-15</v>
      </c>
      <c r="P54" s="666">
        <v>-15</v>
      </c>
      <c r="Q54" s="666">
        <v>-14</v>
      </c>
      <c r="R54" s="704">
        <v>-17</v>
      </c>
      <c r="S54" s="704">
        <v>-17</v>
      </c>
      <c r="T54" s="704">
        <v>-17</v>
      </c>
      <c r="U54" s="704">
        <v>-17</v>
      </c>
      <c r="V54" s="704">
        <v>-17</v>
      </c>
      <c r="W54" s="704">
        <v>-17</v>
      </c>
      <c r="X54" s="666">
        <v>-17</v>
      </c>
      <c r="Y54" s="662">
        <v>-17</v>
      </c>
      <c r="Z54" s="666">
        <v>-17</v>
      </c>
      <c r="AA54" s="704">
        <v>-17</v>
      </c>
      <c r="AB54" s="704">
        <v>-17</v>
      </c>
      <c r="AC54" s="664">
        <v>-17</v>
      </c>
      <c r="AD54" s="666">
        <v>-17</v>
      </c>
      <c r="AE54" s="666">
        <v>-17</v>
      </c>
      <c r="AF54" s="666">
        <v>-17</v>
      </c>
    </row>
    <row r="55" spans="1:32" ht="12.75">
      <c r="A55" s="661" t="s">
        <v>662</v>
      </c>
      <c r="B55" s="667" t="s">
        <v>293</v>
      </c>
      <c r="C55" s="667" t="s">
        <v>293</v>
      </c>
      <c r="D55" s="667" t="s">
        <v>293</v>
      </c>
      <c r="E55" s="667" t="s">
        <v>293</v>
      </c>
      <c r="F55" s="667" t="s">
        <v>293</v>
      </c>
      <c r="G55" s="667" t="s">
        <v>293</v>
      </c>
      <c r="H55" s="668" t="s">
        <v>293</v>
      </c>
      <c r="I55" s="668" t="s">
        <v>293</v>
      </c>
      <c r="J55" s="668" t="s">
        <v>293</v>
      </c>
      <c r="K55" s="668" t="s">
        <v>293</v>
      </c>
      <c r="L55" s="666">
        <v>300</v>
      </c>
      <c r="M55" s="667" t="s">
        <v>293</v>
      </c>
      <c r="N55" s="667" t="s">
        <v>293</v>
      </c>
      <c r="O55" s="666">
        <v>300</v>
      </c>
      <c r="P55" s="666">
        <v>300</v>
      </c>
      <c r="Q55" s="666">
        <v>300</v>
      </c>
      <c r="R55" s="667" t="s">
        <v>293</v>
      </c>
      <c r="S55" s="667" t="s">
        <v>293</v>
      </c>
      <c r="T55" s="667" t="s">
        <v>293</v>
      </c>
      <c r="U55" s="667" t="s">
        <v>293</v>
      </c>
      <c r="V55" s="667" t="s">
        <v>293</v>
      </c>
      <c r="W55" s="667" t="s">
        <v>293</v>
      </c>
      <c r="X55" s="667" t="s">
        <v>293</v>
      </c>
      <c r="Y55" s="668" t="s">
        <v>293</v>
      </c>
      <c r="Z55" s="667" t="s">
        <v>293</v>
      </c>
      <c r="AA55" s="667" t="s">
        <v>293</v>
      </c>
      <c r="AB55" s="667" t="s">
        <v>293</v>
      </c>
      <c r="AC55" s="670" t="s">
        <v>293</v>
      </c>
      <c r="AD55" s="667" t="s">
        <v>293</v>
      </c>
      <c r="AE55" s="666">
        <v>150</v>
      </c>
      <c r="AF55" s="666">
        <v>150</v>
      </c>
    </row>
    <row r="56" spans="1:32" ht="12.75">
      <c r="A56" s="661" t="s">
        <v>663</v>
      </c>
      <c r="B56" s="667" t="s">
        <v>293</v>
      </c>
      <c r="C56" s="667" t="s">
        <v>293</v>
      </c>
      <c r="D56" s="667" t="s">
        <v>293</v>
      </c>
      <c r="E56" s="667" t="s">
        <v>293</v>
      </c>
      <c r="F56" s="667" t="s">
        <v>293</v>
      </c>
      <c r="G56" s="667" t="s">
        <v>293</v>
      </c>
      <c r="H56" s="668" t="s">
        <v>293</v>
      </c>
      <c r="I56" s="668" t="s">
        <v>293</v>
      </c>
      <c r="J56" s="668" t="s">
        <v>293</v>
      </c>
      <c r="K56" s="668" t="s">
        <v>293</v>
      </c>
      <c r="L56" s="666">
        <v>15000</v>
      </c>
      <c r="M56" s="667" t="s">
        <v>293</v>
      </c>
      <c r="N56" s="667" t="s">
        <v>293</v>
      </c>
      <c r="O56" s="666">
        <v>8000</v>
      </c>
      <c r="P56" s="666">
        <v>38000</v>
      </c>
      <c r="Q56" s="666">
        <v>15000</v>
      </c>
      <c r="R56" s="667" t="s">
        <v>293</v>
      </c>
      <c r="S56" s="667" t="s">
        <v>293</v>
      </c>
      <c r="T56" s="667" t="s">
        <v>293</v>
      </c>
      <c r="U56" s="667" t="s">
        <v>293</v>
      </c>
      <c r="V56" s="667" t="s">
        <v>293</v>
      </c>
      <c r="W56" s="667" t="s">
        <v>293</v>
      </c>
      <c r="X56" s="667" t="s">
        <v>293</v>
      </c>
      <c r="Y56" s="668" t="s">
        <v>293</v>
      </c>
      <c r="Z56" s="667" t="s">
        <v>293</v>
      </c>
      <c r="AA56" s="667" t="s">
        <v>293</v>
      </c>
      <c r="AB56" s="667" t="s">
        <v>293</v>
      </c>
      <c r="AC56" s="670" t="s">
        <v>293</v>
      </c>
      <c r="AD56" s="667" t="s">
        <v>293</v>
      </c>
      <c r="AE56" s="666">
        <v>75000</v>
      </c>
      <c r="AF56" s="666">
        <v>75000</v>
      </c>
    </row>
    <row r="57" spans="1:32" ht="12.75">
      <c r="A57" s="661" t="s">
        <v>664</v>
      </c>
      <c r="B57" s="667" t="s">
        <v>293</v>
      </c>
      <c r="C57" s="667" t="s">
        <v>293</v>
      </c>
      <c r="D57" s="667" t="s">
        <v>293</v>
      </c>
      <c r="E57" s="667" t="s">
        <v>293</v>
      </c>
      <c r="F57" s="667" t="s">
        <v>293</v>
      </c>
      <c r="G57" s="667" t="s">
        <v>293</v>
      </c>
      <c r="H57" s="668" t="s">
        <v>293</v>
      </c>
      <c r="I57" s="668" t="s">
        <v>293</v>
      </c>
      <c r="J57" s="668" t="s">
        <v>293</v>
      </c>
      <c r="K57" s="668" t="s">
        <v>293</v>
      </c>
      <c r="L57" s="666">
        <v>300</v>
      </c>
      <c r="M57" s="667" t="s">
        <v>293</v>
      </c>
      <c r="N57" s="667" t="s">
        <v>293</v>
      </c>
      <c r="O57" s="666">
        <v>300</v>
      </c>
      <c r="P57" s="666">
        <v>300</v>
      </c>
      <c r="Q57" s="666">
        <v>300</v>
      </c>
      <c r="R57" s="667" t="s">
        <v>293</v>
      </c>
      <c r="S57" s="667" t="s">
        <v>293</v>
      </c>
      <c r="T57" s="667" t="s">
        <v>293</v>
      </c>
      <c r="U57" s="667" t="s">
        <v>293</v>
      </c>
      <c r="V57" s="667" t="s">
        <v>293</v>
      </c>
      <c r="W57" s="667" t="s">
        <v>293</v>
      </c>
      <c r="X57" s="667" t="s">
        <v>293</v>
      </c>
      <c r="Y57" s="668" t="s">
        <v>293</v>
      </c>
      <c r="Z57" s="667" t="s">
        <v>293</v>
      </c>
      <c r="AA57" s="667" t="s">
        <v>293</v>
      </c>
      <c r="AB57" s="667" t="s">
        <v>293</v>
      </c>
      <c r="AC57" s="670" t="s">
        <v>293</v>
      </c>
      <c r="AD57" s="667" t="s">
        <v>293</v>
      </c>
      <c r="AE57" s="666">
        <v>150</v>
      </c>
      <c r="AF57" s="666">
        <v>150</v>
      </c>
    </row>
    <row r="58" spans="1:32" ht="12.75">
      <c r="A58" s="661" t="s">
        <v>665</v>
      </c>
      <c r="B58" s="667" t="s">
        <v>293</v>
      </c>
      <c r="C58" s="667" t="s">
        <v>293</v>
      </c>
      <c r="D58" s="667" t="s">
        <v>293</v>
      </c>
      <c r="E58" s="667" t="s">
        <v>293</v>
      </c>
      <c r="F58" s="667" t="s">
        <v>293</v>
      </c>
      <c r="G58" s="667" t="s">
        <v>293</v>
      </c>
      <c r="H58" s="668" t="s">
        <v>293</v>
      </c>
      <c r="I58" s="668" t="s">
        <v>293</v>
      </c>
      <c r="J58" s="668" t="s">
        <v>293</v>
      </c>
      <c r="K58" s="668" t="s">
        <v>293</v>
      </c>
      <c r="L58" s="666">
        <v>150</v>
      </c>
      <c r="M58" s="667" t="s">
        <v>293</v>
      </c>
      <c r="N58" s="667" t="s">
        <v>293</v>
      </c>
      <c r="O58" s="666">
        <v>150</v>
      </c>
      <c r="P58" s="666">
        <v>150</v>
      </c>
      <c r="Q58" s="666">
        <v>150</v>
      </c>
      <c r="R58" s="667" t="s">
        <v>293</v>
      </c>
      <c r="S58" s="667" t="s">
        <v>293</v>
      </c>
      <c r="T58" s="667" t="s">
        <v>293</v>
      </c>
      <c r="U58" s="667" t="s">
        <v>293</v>
      </c>
      <c r="V58" s="667" t="s">
        <v>293</v>
      </c>
      <c r="W58" s="667" t="s">
        <v>293</v>
      </c>
      <c r="X58" s="667" t="s">
        <v>293</v>
      </c>
      <c r="Y58" s="668" t="s">
        <v>293</v>
      </c>
      <c r="Z58" s="667" t="s">
        <v>293</v>
      </c>
      <c r="AA58" s="667" t="s">
        <v>293</v>
      </c>
      <c r="AB58" s="667" t="s">
        <v>293</v>
      </c>
      <c r="AC58" s="670" t="s">
        <v>293</v>
      </c>
      <c r="AD58" s="667" t="s">
        <v>293</v>
      </c>
      <c r="AE58" s="666">
        <v>75</v>
      </c>
      <c r="AF58" s="666">
        <v>75</v>
      </c>
    </row>
    <row r="59" spans="1:32" ht="12.75">
      <c r="A59" s="661" t="s">
        <v>666</v>
      </c>
      <c r="B59" s="667" t="s">
        <v>293</v>
      </c>
      <c r="C59" s="669" t="s">
        <v>293</v>
      </c>
      <c r="D59" s="667" t="s">
        <v>293</v>
      </c>
      <c r="E59" s="667" t="s">
        <v>293</v>
      </c>
      <c r="F59" s="667" t="s">
        <v>293</v>
      </c>
      <c r="G59" s="667" t="s">
        <v>293</v>
      </c>
      <c r="H59" s="668" t="s">
        <v>293</v>
      </c>
      <c r="I59" s="668" t="s">
        <v>293</v>
      </c>
      <c r="J59" s="668" t="s">
        <v>293</v>
      </c>
      <c r="K59" s="668" t="s">
        <v>293</v>
      </c>
      <c r="L59" s="666">
        <v>1200</v>
      </c>
      <c r="M59" s="667" t="s">
        <v>293</v>
      </c>
      <c r="N59" s="667" t="s">
        <v>293</v>
      </c>
      <c r="O59" s="666">
        <v>1500</v>
      </c>
      <c r="P59" s="666">
        <v>900</v>
      </c>
      <c r="Q59" s="666">
        <v>900</v>
      </c>
      <c r="R59" s="667" t="s">
        <v>293</v>
      </c>
      <c r="S59" s="667" t="s">
        <v>293</v>
      </c>
      <c r="T59" s="667" t="s">
        <v>293</v>
      </c>
      <c r="U59" s="667" t="s">
        <v>293</v>
      </c>
      <c r="V59" s="667" t="s">
        <v>293</v>
      </c>
      <c r="W59" s="667" t="s">
        <v>293</v>
      </c>
      <c r="X59" s="669" t="s">
        <v>293</v>
      </c>
      <c r="Y59" s="668" t="s">
        <v>293</v>
      </c>
      <c r="Z59" s="669" t="s">
        <v>293</v>
      </c>
      <c r="AA59" s="667" t="s">
        <v>293</v>
      </c>
      <c r="AB59" s="667" t="s">
        <v>293</v>
      </c>
      <c r="AC59" s="670" t="s">
        <v>293</v>
      </c>
      <c r="AD59" s="667" t="s">
        <v>293</v>
      </c>
      <c r="AE59" s="666">
        <v>450</v>
      </c>
      <c r="AF59" s="666">
        <v>450</v>
      </c>
    </row>
    <row r="60" spans="1:32" ht="12.75">
      <c r="A60" s="661" t="s">
        <v>667</v>
      </c>
      <c r="B60" s="667" t="s">
        <v>293</v>
      </c>
      <c r="C60" s="667" t="s">
        <v>293</v>
      </c>
      <c r="D60" s="667" t="s">
        <v>293</v>
      </c>
      <c r="E60" s="667" t="s">
        <v>293</v>
      </c>
      <c r="F60" s="667" t="s">
        <v>293</v>
      </c>
      <c r="G60" s="667" t="s">
        <v>293</v>
      </c>
      <c r="H60" s="667" t="s">
        <v>293</v>
      </c>
      <c r="I60" s="667" t="s">
        <v>293</v>
      </c>
      <c r="J60" s="667" t="s">
        <v>293</v>
      </c>
      <c r="K60" s="667" t="s">
        <v>293</v>
      </c>
      <c r="L60" s="666">
        <v>0.8</v>
      </c>
      <c r="M60" s="667" t="s">
        <v>293</v>
      </c>
      <c r="N60" s="667" t="s">
        <v>293</v>
      </c>
      <c r="O60" s="666">
        <v>0.8</v>
      </c>
      <c r="P60" s="666">
        <v>0.8</v>
      </c>
      <c r="Q60" s="666">
        <v>0.8</v>
      </c>
      <c r="R60" s="667" t="s">
        <v>293</v>
      </c>
      <c r="S60" s="667" t="s">
        <v>293</v>
      </c>
      <c r="T60" s="667" t="s">
        <v>293</v>
      </c>
      <c r="U60" s="667" t="s">
        <v>293</v>
      </c>
      <c r="V60" s="667" t="s">
        <v>293</v>
      </c>
      <c r="W60" s="667" t="s">
        <v>293</v>
      </c>
      <c r="X60" s="667" t="s">
        <v>293</v>
      </c>
      <c r="Y60" s="667" t="s">
        <v>293</v>
      </c>
      <c r="Z60" s="667" t="s">
        <v>293</v>
      </c>
      <c r="AA60" s="667" t="s">
        <v>293</v>
      </c>
      <c r="AB60" s="667" t="s">
        <v>293</v>
      </c>
      <c r="AC60" s="667" t="s">
        <v>293</v>
      </c>
      <c r="AD60" s="667" t="s">
        <v>293</v>
      </c>
      <c r="AE60" s="666">
        <v>0.8</v>
      </c>
      <c r="AF60" s="666">
        <v>0.8</v>
      </c>
    </row>
    <row r="61" spans="1:32" ht="12.75">
      <c r="A61" s="661" t="s">
        <v>668</v>
      </c>
      <c r="B61" s="667" t="s">
        <v>293</v>
      </c>
      <c r="C61" s="667" t="s">
        <v>293</v>
      </c>
      <c r="D61" s="667" t="s">
        <v>293</v>
      </c>
      <c r="E61" s="667" t="s">
        <v>293</v>
      </c>
      <c r="F61" s="667" t="s">
        <v>293</v>
      </c>
      <c r="G61" s="667" t="s">
        <v>293</v>
      </c>
      <c r="H61" s="667" t="s">
        <v>293</v>
      </c>
      <c r="I61" s="667" t="s">
        <v>293</v>
      </c>
      <c r="J61" s="667" t="s">
        <v>293</v>
      </c>
      <c r="K61" s="667" t="s">
        <v>293</v>
      </c>
      <c r="L61" s="666">
        <v>0.05</v>
      </c>
      <c r="M61" s="667" t="s">
        <v>293</v>
      </c>
      <c r="N61" s="667" t="s">
        <v>293</v>
      </c>
      <c r="O61" s="666">
        <v>0.05</v>
      </c>
      <c r="P61" s="666">
        <v>0.05</v>
      </c>
      <c r="Q61" s="666">
        <v>0.05</v>
      </c>
      <c r="R61" s="667" t="s">
        <v>293</v>
      </c>
      <c r="S61" s="667" t="s">
        <v>293</v>
      </c>
      <c r="T61" s="667" t="s">
        <v>293</v>
      </c>
      <c r="U61" s="667" t="s">
        <v>293</v>
      </c>
      <c r="V61" s="667" t="s">
        <v>293</v>
      </c>
      <c r="W61" s="667" t="s">
        <v>293</v>
      </c>
      <c r="X61" s="667" t="s">
        <v>293</v>
      </c>
      <c r="Y61" s="667" t="s">
        <v>293</v>
      </c>
      <c r="Z61" s="667" t="s">
        <v>293</v>
      </c>
      <c r="AA61" s="667" t="s">
        <v>293</v>
      </c>
      <c r="AB61" s="667" t="s">
        <v>293</v>
      </c>
      <c r="AC61" s="667" t="s">
        <v>293</v>
      </c>
      <c r="AD61" s="667" t="s">
        <v>293</v>
      </c>
      <c r="AE61" s="666">
        <v>0.2</v>
      </c>
      <c r="AF61" s="666">
        <v>0.2</v>
      </c>
    </row>
    <row r="62" spans="1:32" ht="12.75">
      <c r="A62" s="661" t="s">
        <v>669</v>
      </c>
      <c r="B62" s="704">
        <v>-2000</v>
      </c>
      <c r="C62" s="666">
        <v>-3000</v>
      </c>
      <c r="D62" s="704">
        <v>-3000</v>
      </c>
      <c r="E62" s="704">
        <v>-3000</v>
      </c>
      <c r="F62" s="704">
        <v>-3000</v>
      </c>
      <c r="G62" s="704">
        <v>-3000</v>
      </c>
      <c r="H62" s="662">
        <v>-3000</v>
      </c>
      <c r="I62" s="662">
        <v>-3000</v>
      </c>
      <c r="J62" s="662">
        <v>-3000</v>
      </c>
      <c r="K62" s="662">
        <v>-3000</v>
      </c>
      <c r="L62" s="667" t="s">
        <v>293</v>
      </c>
      <c r="M62" s="704">
        <v>-3000</v>
      </c>
      <c r="N62" s="704">
        <v>-3000</v>
      </c>
      <c r="O62" s="667" t="s">
        <v>293</v>
      </c>
      <c r="P62" s="667" t="s">
        <v>293</v>
      </c>
      <c r="Q62" s="667" t="s">
        <v>293</v>
      </c>
      <c r="R62" s="704">
        <v>-3000</v>
      </c>
      <c r="S62" s="704">
        <v>-3000</v>
      </c>
      <c r="T62" s="704">
        <v>-3000</v>
      </c>
      <c r="U62" s="704">
        <v>-3000</v>
      </c>
      <c r="V62" s="704">
        <v>-3000</v>
      </c>
      <c r="W62" s="704">
        <v>-3000</v>
      </c>
      <c r="X62" s="666">
        <v>-3000</v>
      </c>
      <c r="Y62" s="662">
        <v>-3000</v>
      </c>
      <c r="Z62" s="666">
        <v>-3000</v>
      </c>
      <c r="AA62" s="704">
        <v>-3000</v>
      </c>
      <c r="AB62" s="704">
        <v>-3000</v>
      </c>
      <c r="AC62" s="664">
        <v>-3000</v>
      </c>
      <c r="AD62" s="704">
        <v>-3000</v>
      </c>
      <c r="AE62" s="667" t="s">
        <v>293</v>
      </c>
      <c r="AF62" s="667" t="s">
        <v>293</v>
      </c>
    </row>
    <row r="63" spans="1:32" ht="12.75">
      <c r="A63" s="661" t="s">
        <v>670</v>
      </c>
      <c r="B63" s="704">
        <v>2000</v>
      </c>
      <c r="C63" s="666">
        <v>3000</v>
      </c>
      <c r="D63" s="704">
        <v>3000</v>
      </c>
      <c r="E63" s="704">
        <v>3000</v>
      </c>
      <c r="F63" s="704">
        <v>3000</v>
      </c>
      <c r="G63" s="704">
        <v>3000</v>
      </c>
      <c r="H63" s="662">
        <v>3000</v>
      </c>
      <c r="I63" s="662">
        <v>3000</v>
      </c>
      <c r="J63" s="662">
        <v>3000</v>
      </c>
      <c r="K63" s="662">
        <v>3000</v>
      </c>
      <c r="L63" s="667" t="s">
        <v>293</v>
      </c>
      <c r="M63" s="704">
        <v>3000</v>
      </c>
      <c r="N63" s="704">
        <v>3000</v>
      </c>
      <c r="O63" s="667" t="s">
        <v>293</v>
      </c>
      <c r="P63" s="667" t="s">
        <v>293</v>
      </c>
      <c r="Q63" s="667" t="s">
        <v>293</v>
      </c>
      <c r="R63" s="704">
        <v>3000</v>
      </c>
      <c r="S63" s="704">
        <v>3000</v>
      </c>
      <c r="T63" s="704">
        <v>3000</v>
      </c>
      <c r="U63" s="704">
        <v>3000</v>
      </c>
      <c r="V63" s="704">
        <v>3000</v>
      </c>
      <c r="W63" s="704">
        <v>3000</v>
      </c>
      <c r="X63" s="666">
        <v>3000</v>
      </c>
      <c r="Y63" s="662">
        <v>3000</v>
      </c>
      <c r="Z63" s="666">
        <v>3000</v>
      </c>
      <c r="AA63" s="704">
        <v>3000</v>
      </c>
      <c r="AB63" s="704">
        <v>3000</v>
      </c>
      <c r="AC63" s="664">
        <v>3000</v>
      </c>
      <c r="AD63" s="704">
        <v>3000</v>
      </c>
      <c r="AE63" s="667" t="s">
        <v>293</v>
      </c>
      <c r="AF63" s="667" t="s">
        <v>293</v>
      </c>
    </row>
    <row r="64" spans="1:32" ht="12.75">
      <c r="A64" s="661" t="s">
        <v>671</v>
      </c>
      <c r="B64" s="704">
        <v>30</v>
      </c>
      <c r="C64" s="666">
        <v>22</v>
      </c>
      <c r="D64" s="704">
        <v>22</v>
      </c>
      <c r="E64" s="704">
        <v>22</v>
      </c>
      <c r="F64" s="704">
        <v>20</v>
      </c>
      <c r="G64" s="704">
        <v>20</v>
      </c>
      <c r="H64" s="662">
        <v>20</v>
      </c>
      <c r="I64" s="662">
        <v>20</v>
      </c>
      <c r="J64" s="662">
        <v>20</v>
      </c>
      <c r="K64" s="662">
        <v>20</v>
      </c>
      <c r="L64" s="667" t="s">
        <v>293</v>
      </c>
      <c r="M64" s="704">
        <v>20</v>
      </c>
      <c r="N64" s="704">
        <v>20</v>
      </c>
      <c r="O64" s="667" t="s">
        <v>293</v>
      </c>
      <c r="P64" s="667" t="s">
        <v>293</v>
      </c>
      <c r="Q64" s="667" t="s">
        <v>293</v>
      </c>
      <c r="R64" s="704">
        <v>24</v>
      </c>
      <c r="S64" s="704">
        <v>20</v>
      </c>
      <c r="T64" s="704">
        <v>20</v>
      </c>
      <c r="U64" s="704">
        <v>20</v>
      </c>
      <c r="V64" s="704">
        <v>20</v>
      </c>
      <c r="W64" s="704">
        <v>20</v>
      </c>
      <c r="X64" s="666">
        <v>20</v>
      </c>
      <c r="Y64" s="662">
        <v>20</v>
      </c>
      <c r="Z64" s="666">
        <v>20</v>
      </c>
      <c r="AA64" s="704">
        <v>20</v>
      </c>
      <c r="AB64" s="704">
        <v>20</v>
      </c>
      <c r="AC64" s="664">
        <v>20</v>
      </c>
      <c r="AD64" s="704">
        <v>20</v>
      </c>
      <c r="AE64" s="667" t="s">
        <v>293</v>
      </c>
      <c r="AF64" s="667" t="s">
        <v>293</v>
      </c>
    </row>
    <row r="65" spans="1:32" ht="12.75">
      <c r="A65" s="661" t="s">
        <v>672</v>
      </c>
      <c r="B65" s="704">
        <v>150</v>
      </c>
      <c r="C65" s="666">
        <v>120</v>
      </c>
      <c r="D65" s="704">
        <v>120</v>
      </c>
      <c r="E65" s="704">
        <v>120</v>
      </c>
      <c r="F65" s="704">
        <v>100</v>
      </c>
      <c r="G65" s="704">
        <v>100</v>
      </c>
      <c r="H65" s="662">
        <v>100</v>
      </c>
      <c r="I65" s="662">
        <v>100</v>
      </c>
      <c r="J65" s="662">
        <v>100</v>
      </c>
      <c r="K65" s="662">
        <v>100</v>
      </c>
      <c r="L65" s="667" t="s">
        <v>293</v>
      </c>
      <c r="M65" s="704">
        <v>100</v>
      </c>
      <c r="N65" s="704">
        <v>100</v>
      </c>
      <c r="O65" s="667" t="s">
        <v>293</v>
      </c>
      <c r="P65" s="667" t="s">
        <v>293</v>
      </c>
      <c r="Q65" s="667" t="s">
        <v>293</v>
      </c>
      <c r="R65" s="704">
        <v>120</v>
      </c>
      <c r="S65" s="704">
        <v>100</v>
      </c>
      <c r="T65" s="704">
        <v>100</v>
      </c>
      <c r="U65" s="704">
        <v>100</v>
      </c>
      <c r="V65" s="704">
        <v>100</v>
      </c>
      <c r="W65" s="704">
        <v>100</v>
      </c>
      <c r="X65" s="704">
        <v>100</v>
      </c>
      <c r="Y65" s="662">
        <v>100</v>
      </c>
      <c r="Z65" s="704">
        <v>100</v>
      </c>
      <c r="AA65" s="704">
        <v>100</v>
      </c>
      <c r="AB65" s="704">
        <v>100</v>
      </c>
      <c r="AC65" s="664">
        <v>100</v>
      </c>
      <c r="AD65" s="704">
        <v>100</v>
      </c>
      <c r="AE65" s="667" t="s">
        <v>293</v>
      </c>
      <c r="AF65" s="667" t="s">
        <v>293</v>
      </c>
    </row>
    <row r="66" spans="1:32" ht="12.75">
      <c r="A66" s="661" t="s">
        <v>673</v>
      </c>
      <c r="B66" s="704">
        <v>7</v>
      </c>
      <c r="C66" s="666">
        <v>7</v>
      </c>
      <c r="D66" s="704">
        <v>5</v>
      </c>
      <c r="E66" s="704">
        <v>5</v>
      </c>
      <c r="F66" s="704">
        <v>5</v>
      </c>
      <c r="G66" s="704">
        <v>5</v>
      </c>
      <c r="H66" s="662">
        <v>5</v>
      </c>
      <c r="I66" s="662">
        <v>5</v>
      </c>
      <c r="J66" s="662">
        <v>5</v>
      </c>
      <c r="K66" s="662">
        <v>5</v>
      </c>
      <c r="L66" s="667" t="s">
        <v>293</v>
      </c>
      <c r="M66" s="704">
        <v>5</v>
      </c>
      <c r="N66" s="704">
        <v>5</v>
      </c>
      <c r="O66" s="667" t="s">
        <v>293</v>
      </c>
      <c r="P66" s="667" t="s">
        <v>293</v>
      </c>
      <c r="Q66" s="667" t="s">
        <v>293</v>
      </c>
      <c r="R66" s="704">
        <v>5</v>
      </c>
      <c r="S66" s="704">
        <v>5</v>
      </c>
      <c r="T66" s="704">
        <v>5</v>
      </c>
      <c r="U66" s="704">
        <v>5</v>
      </c>
      <c r="V66" s="704">
        <v>5</v>
      </c>
      <c r="W66" s="704">
        <v>5</v>
      </c>
      <c r="X66" s="666">
        <v>4</v>
      </c>
      <c r="Y66" s="662">
        <v>5</v>
      </c>
      <c r="Z66" s="666">
        <v>4</v>
      </c>
      <c r="AA66" s="704">
        <v>4</v>
      </c>
      <c r="AB66" s="704">
        <v>4</v>
      </c>
      <c r="AC66" s="664">
        <v>4</v>
      </c>
      <c r="AD66" s="704">
        <v>5</v>
      </c>
      <c r="AE66" s="667" t="s">
        <v>293</v>
      </c>
      <c r="AF66" s="667" t="s">
        <v>293</v>
      </c>
    </row>
    <row r="67" spans="1:32" ht="12.75">
      <c r="A67" s="661" t="s">
        <v>674</v>
      </c>
      <c r="B67" s="704">
        <v>200</v>
      </c>
      <c r="C67" s="666">
        <v>150</v>
      </c>
      <c r="D67" s="704">
        <v>150</v>
      </c>
      <c r="E67" s="704">
        <v>150</v>
      </c>
      <c r="F67" s="704">
        <v>150</v>
      </c>
      <c r="G67" s="704">
        <v>150</v>
      </c>
      <c r="H67" s="662">
        <v>150</v>
      </c>
      <c r="I67" s="662">
        <v>150</v>
      </c>
      <c r="J67" s="662">
        <v>150</v>
      </c>
      <c r="K67" s="662">
        <v>150</v>
      </c>
      <c r="L67" s="669" t="s">
        <v>293</v>
      </c>
      <c r="M67" s="704">
        <v>150</v>
      </c>
      <c r="N67" s="704">
        <v>150</v>
      </c>
      <c r="O67" s="669" t="s">
        <v>293</v>
      </c>
      <c r="P67" s="669" t="s">
        <v>293</v>
      </c>
      <c r="Q67" s="669" t="s">
        <v>293</v>
      </c>
      <c r="R67" s="704">
        <v>150</v>
      </c>
      <c r="S67" s="704">
        <v>150</v>
      </c>
      <c r="T67" s="704">
        <v>100</v>
      </c>
      <c r="U67" s="704">
        <v>100</v>
      </c>
      <c r="V67" s="704">
        <v>100</v>
      </c>
      <c r="W67" s="704">
        <v>100</v>
      </c>
      <c r="X67" s="666">
        <v>150</v>
      </c>
      <c r="Y67" s="662">
        <v>150</v>
      </c>
      <c r="Z67" s="666">
        <v>150</v>
      </c>
      <c r="AA67" s="704">
        <v>150</v>
      </c>
      <c r="AB67" s="704">
        <v>150</v>
      </c>
      <c r="AC67" s="664">
        <v>150</v>
      </c>
      <c r="AD67" s="704">
        <v>150</v>
      </c>
      <c r="AE67" s="669" t="s">
        <v>293</v>
      </c>
      <c r="AF67" s="669" t="s">
        <v>293</v>
      </c>
    </row>
    <row r="68" spans="1:32" ht="12.75">
      <c r="A68" s="661" t="s">
        <v>675</v>
      </c>
      <c r="B68" s="704">
        <v>0.15</v>
      </c>
      <c r="C68" s="704">
        <v>0.2</v>
      </c>
      <c r="D68" s="704">
        <v>0.2</v>
      </c>
      <c r="E68" s="704">
        <v>0.2</v>
      </c>
      <c r="F68" s="704">
        <v>0.25</v>
      </c>
      <c r="G68" s="704">
        <v>0.25</v>
      </c>
      <c r="H68" s="662">
        <v>0.25</v>
      </c>
      <c r="I68" s="662">
        <v>0.25</v>
      </c>
      <c r="J68" s="662">
        <v>0.25</v>
      </c>
      <c r="K68" s="662">
        <v>0.25</v>
      </c>
      <c r="L68" s="666">
        <v>0.8</v>
      </c>
      <c r="M68" s="704">
        <v>0.25</v>
      </c>
      <c r="N68" s="704">
        <v>0.25</v>
      </c>
      <c r="O68" s="667" t="s">
        <v>293</v>
      </c>
      <c r="P68" s="667" t="s">
        <v>293</v>
      </c>
      <c r="Q68" s="667" t="s">
        <v>293</v>
      </c>
      <c r="R68" s="704">
        <v>0.2</v>
      </c>
      <c r="S68" s="704">
        <v>0.25</v>
      </c>
      <c r="T68" s="704">
        <v>0.25</v>
      </c>
      <c r="U68" s="704">
        <v>0.25</v>
      </c>
      <c r="V68" s="704">
        <v>0.25</v>
      </c>
      <c r="W68" s="704">
        <v>0.25</v>
      </c>
      <c r="X68" s="704">
        <v>0.2</v>
      </c>
      <c r="Y68" s="662">
        <v>0.25</v>
      </c>
      <c r="Z68" s="704">
        <v>0.2</v>
      </c>
      <c r="AA68" s="704">
        <v>0.2</v>
      </c>
      <c r="AB68" s="704">
        <v>0.2</v>
      </c>
      <c r="AC68" s="664">
        <v>0.2</v>
      </c>
      <c r="AD68" s="666">
        <v>0.2</v>
      </c>
      <c r="AE68" s="667" t="s">
        <v>293</v>
      </c>
      <c r="AF68" s="667" t="s">
        <v>293</v>
      </c>
    </row>
    <row r="69" spans="1:32" ht="12.75">
      <c r="A69" s="661" t="s">
        <v>676</v>
      </c>
      <c r="B69" s="704">
        <v>0.02</v>
      </c>
      <c r="C69" s="704">
        <v>0.02</v>
      </c>
      <c r="D69" s="704">
        <v>0.02</v>
      </c>
      <c r="E69" s="704">
        <v>0.02</v>
      </c>
      <c r="F69" s="704">
        <v>0.03</v>
      </c>
      <c r="G69" s="704">
        <v>0.03</v>
      </c>
      <c r="H69" s="662">
        <v>0.03</v>
      </c>
      <c r="I69" s="662">
        <v>0.03</v>
      </c>
      <c r="J69" s="662">
        <v>0.03</v>
      </c>
      <c r="K69" s="662">
        <v>0.03</v>
      </c>
      <c r="L69" s="666">
        <v>0.05</v>
      </c>
      <c r="M69" s="704">
        <v>0.03</v>
      </c>
      <c r="N69" s="704">
        <v>0.03</v>
      </c>
      <c r="O69" s="667" t="s">
        <v>293</v>
      </c>
      <c r="P69" s="667" t="s">
        <v>293</v>
      </c>
      <c r="Q69" s="669" t="s">
        <v>293</v>
      </c>
      <c r="R69" s="704">
        <v>0.02</v>
      </c>
      <c r="S69" s="704">
        <v>0.03</v>
      </c>
      <c r="T69" s="704">
        <v>0.03</v>
      </c>
      <c r="U69" s="704">
        <v>0.03</v>
      </c>
      <c r="V69" s="704">
        <v>0.03</v>
      </c>
      <c r="W69" s="704">
        <v>0.03</v>
      </c>
      <c r="X69" s="704">
        <v>0.02</v>
      </c>
      <c r="Y69" s="662">
        <v>0.03</v>
      </c>
      <c r="Z69" s="704">
        <v>0.02</v>
      </c>
      <c r="AA69" s="704">
        <v>0.02</v>
      </c>
      <c r="AB69" s="704">
        <v>0.02</v>
      </c>
      <c r="AC69" s="664">
        <v>0.02</v>
      </c>
      <c r="AD69" s="666">
        <v>0.02</v>
      </c>
      <c r="AE69" s="667" t="s">
        <v>293</v>
      </c>
      <c r="AF69" s="667" t="s">
        <v>293</v>
      </c>
    </row>
    <row r="70" spans="1:32" ht="25.5">
      <c r="A70" s="682" t="s">
        <v>607</v>
      </c>
      <c r="B70" s="704">
        <v>4</v>
      </c>
      <c r="C70" s="704">
        <v>4</v>
      </c>
      <c r="D70" s="704">
        <v>4</v>
      </c>
      <c r="E70" s="704">
        <v>4</v>
      </c>
      <c r="F70" s="704">
        <v>4</v>
      </c>
      <c r="G70" s="704">
        <v>4</v>
      </c>
      <c r="H70" s="662">
        <v>4</v>
      </c>
      <c r="I70" s="662">
        <v>4</v>
      </c>
      <c r="J70" s="662">
        <v>4</v>
      </c>
      <c r="K70" s="662">
        <v>4</v>
      </c>
      <c r="L70" s="666">
        <v>4</v>
      </c>
      <c r="M70" s="704">
        <v>4</v>
      </c>
      <c r="N70" s="704">
        <v>4</v>
      </c>
      <c r="O70" s="666">
        <v>4</v>
      </c>
      <c r="P70" s="666">
        <v>4</v>
      </c>
      <c r="Q70" s="666">
        <v>4</v>
      </c>
      <c r="R70" s="704">
        <v>4</v>
      </c>
      <c r="S70" s="704">
        <v>4</v>
      </c>
      <c r="T70" s="704">
        <v>4</v>
      </c>
      <c r="U70" s="704">
        <v>4</v>
      </c>
      <c r="V70" s="704">
        <v>4</v>
      </c>
      <c r="W70" s="704">
        <v>4</v>
      </c>
      <c r="X70" s="666">
        <v>4</v>
      </c>
      <c r="Y70" s="666">
        <v>4</v>
      </c>
      <c r="Z70" s="704">
        <v>4</v>
      </c>
      <c r="AA70" s="704">
        <v>4</v>
      </c>
      <c r="AB70" s="704">
        <v>4</v>
      </c>
      <c r="AC70" s="664">
        <v>4</v>
      </c>
      <c r="AD70" s="666">
        <v>4</v>
      </c>
      <c r="AE70" s="666">
        <v>4</v>
      </c>
      <c r="AF70" s="666">
        <v>4</v>
      </c>
    </row>
    <row r="71" spans="1:32" ht="12.75">
      <c r="A71" s="682" t="s">
        <v>608</v>
      </c>
      <c r="B71" s="666">
        <v>1800</v>
      </c>
      <c r="C71" s="666">
        <v>1800</v>
      </c>
      <c r="D71" s="666">
        <v>1800</v>
      </c>
      <c r="E71" s="666">
        <v>1800</v>
      </c>
      <c r="F71" s="666">
        <v>1800</v>
      </c>
      <c r="G71" s="666">
        <v>1800</v>
      </c>
      <c r="H71" s="662">
        <v>1800</v>
      </c>
      <c r="I71" s="662">
        <v>1800</v>
      </c>
      <c r="J71" s="662">
        <v>1800</v>
      </c>
      <c r="K71" s="662">
        <v>1800</v>
      </c>
      <c r="L71" s="666">
        <v>1800</v>
      </c>
      <c r="M71" s="666">
        <v>1800</v>
      </c>
      <c r="N71" s="704">
        <v>1800</v>
      </c>
      <c r="O71" s="666">
        <v>1620</v>
      </c>
      <c r="P71" s="704">
        <v>1800</v>
      </c>
      <c r="Q71" s="666">
        <v>1800</v>
      </c>
      <c r="R71" s="666">
        <v>1800</v>
      </c>
      <c r="S71" s="666">
        <v>1800</v>
      </c>
      <c r="T71" s="666">
        <v>1800</v>
      </c>
      <c r="U71" s="666">
        <v>1800</v>
      </c>
      <c r="V71" s="666">
        <v>1800</v>
      </c>
      <c r="W71" s="666">
        <v>1800</v>
      </c>
      <c r="X71" s="666">
        <v>1800</v>
      </c>
      <c r="Y71" s="662">
        <v>1800</v>
      </c>
      <c r="Z71" s="666">
        <v>1800</v>
      </c>
      <c r="AA71" s="666">
        <v>1800</v>
      </c>
      <c r="AB71" s="666">
        <v>1800</v>
      </c>
      <c r="AC71" s="664">
        <v>1800</v>
      </c>
      <c r="AD71" s="666">
        <v>1800</v>
      </c>
      <c r="AE71" s="666">
        <v>1800</v>
      </c>
      <c r="AF71" s="666">
        <v>1800</v>
      </c>
    </row>
    <row r="72" spans="1:32" ht="12.75">
      <c r="A72" s="661" t="s">
        <v>609</v>
      </c>
      <c r="B72" s="704">
        <v>3.0000000000000001E-3</v>
      </c>
      <c r="C72" s="704">
        <v>4.0000000000000001E-3</v>
      </c>
      <c r="D72" s="704">
        <v>2.5000000000000001E-3</v>
      </c>
      <c r="E72" s="704">
        <v>2.5000000000000001E-3</v>
      </c>
      <c r="F72" s="704">
        <v>1E-3</v>
      </c>
      <c r="G72" s="704">
        <v>1E-3</v>
      </c>
      <c r="H72" s="662">
        <v>1E-3</v>
      </c>
      <c r="I72" s="662">
        <v>1E-3</v>
      </c>
      <c r="J72" s="662">
        <v>1E-3</v>
      </c>
      <c r="K72" s="662">
        <v>1E-3</v>
      </c>
      <c r="L72" s="704">
        <v>5.4999999999999997E-3</v>
      </c>
      <c r="M72" s="704">
        <v>2.5000000000000001E-3</v>
      </c>
      <c r="N72" s="704">
        <v>2.5000000000000001E-3</v>
      </c>
      <c r="O72" s="666">
        <v>0.04</v>
      </c>
      <c r="P72" s="666">
        <v>7.0000000000000001E-3</v>
      </c>
      <c r="Q72" s="704">
        <v>2.5000000000000001E-3</v>
      </c>
      <c r="R72" s="704">
        <v>3.5000000000000001E-3</v>
      </c>
      <c r="S72" s="704">
        <v>2.5000000000000001E-3</v>
      </c>
      <c r="T72" s="704">
        <v>4.0000000000000001E-3</v>
      </c>
      <c r="U72" s="704">
        <v>4.0000000000000001E-3</v>
      </c>
      <c r="V72" s="704">
        <v>1.5E-3</v>
      </c>
      <c r="W72" s="704">
        <v>1.5E-3</v>
      </c>
      <c r="X72" s="704">
        <v>2.5000000000000001E-3</v>
      </c>
      <c r="Y72" s="662">
        <v>3.4099999999999998E-2</v>
      </c>
      <c r="Z72" s="704">
        <v>2.5000000000000001E-3</v>
      </c>
      <c r="AA72" s="704">
        <v>2.5000000000000001E-3</v>
      </c>
      <c r="AB72" s="704">
        <v>2.5000000000000001E-3</v>
      </c>
      <c r="AC72" s="664">
        <v>1.0500000000000001E-2</v>
      </c>
      <c r="AD72" s="666">
        <v>2E-3</v>
      </c>
      <c r="AE72" s="666">
        <v>5.0000000000000001E-4</v>
      </c>
      <c r="AF72" s="666">
        <v>5.0000000000000001E-4</v>
      </c>
    </row>
    <row r="73" spans="1:32" ht="12.75">
      <c r="A73" s="661" t="s">
        <v>611</v>
      </c>
      <c r="B73" s="704">
        <v>4.36E-2</v>
      </c>
      <c r="C73" s="704">
        <v>4.2599999999999999E-2</v>
      </c>
      <c r="D73" s="704">
        <v>2.9000000000000001E-2</v>
      </c>
      <c r="E73" s="704">
        <v>2.9000000000000001E-2</v>
      </c>
      <c r="F73" s="704">
        <v>2.2599999999999999E-2</v>
      </c>
      <c r="G73" s="704">
        <v>2.2599999999999999E-2</v>
      </c>
      <c r="H73" s="662">
        <v>2.2599999999999999E-2</v>
      </c>
      <c r="I73" s="662">
        <v>2.2599999999999999E-2</v>
      </c>
      <c r="J73" s="662">
        <v>2.2599999999999999E-2</v>
      </c>
      <c r="K73" s="662">
        <v>2.2599999999999999E-2</v>
      </c>
      <c r="L73" s="704">
        <v>6.3100000000000003E-2</v>
      </c>
      <c r="M73" s="704">
        <v>2.6599999999999999E-2</v>
      </c>
      <c r="N73" s="704">
        <v>2.6599999999999999E-2</v>
      </c>
      <c r="O73" s="666">
        <v>0.02</v>
      </c>
      <c r="P73" s="666">
        <v>4.5100000000000001E-2</v>
      </c>
      <c r="Q73" s="704">
        <v>4.9099999999999998E-2</v>
      </c>
      <c r="R73" s="704">
        <v>3.4599999999999999E-2</v>
      </c>
      <c r="S73" s="704">
        <v>2.3599999999999999E-2</v>
      </c>
      <c r="T73" s="704">
        <v>3.0099999999999998E-2</v>
      </c>
      <c r="U73" s="704">
        <v>3.0099999999999998E-2</v>
      </c>
      <c r="V73" s="704">
        <v>2.1600000000000001E-2</v>
      </c>
      <c r="W73" s="704">
        <v>2.1600000000000001E-2</v>
      </c>
      <c r="X73" s="666">
        <v>2.9000000000000001E-2</v>
      </c>
      <c r="Y73" s="662">
        <v>1.4E-2</v>
      </c>
      <c r="Z73" s="704">
        <v>2.9000000000000001E-2</v>
      </c>
      <c r="AA73" s="704">
        <v>2.9000000000000001E-2</v>
      </c>
      <c r="AB73" s="704">
        <v>2.9000000000000001E-2</v>
      </c>
      <c r="AC73" s="664">
        <v>2.9000000000000001E-2</v>
      </c>
      <c r="AD73" s="666">
        <v>2.5600000000000001E-2</v>
      </c>
      <c r="AE73" s="666">
        <v>3.4000000000000002E-2</v>
      </c>
      <c r="AF73" s="666">
        <v>3.4000000000000002E-2</v>
      </c>
    </row>
    <row r="74" spans="1:32" ht="12.75">
      <c r="A74" s="661" t="s">
        <v>613</v>
      </c>
      <c r="B74" s="704">
        <v>1</v>
      </c>
      <c r="C74" s="704">
        <v>1</v>
      </c>
      <c r="D74" s="704">
        <v>1</v>
      </c>
      <c r="E74" s="704">
        <v>1</v>
      </c>
      <c r="F74" s="704">
        <v>1</v>
      </c>
      <c r="G74" s="704">
        <v>1</v>
      </c>
      <c r="H74" s="662">
        <v>1</v>
      </c>
      <c r="I74" s="662">
        <v>1</v>
      </c>
      <c r="J74" s="662">
        <v>1</v>
      </c>
      <c r="K74" s="662">
        <v>1</v>
      </c>
      <c r="L74" s="704">
        <v>1</v>
      </c>
      <c r="M74" s="704">
        <v>1</v>
      </c>
      <c r="N74" s="704">
        <v>1</v>
      </c>
      <c r="O74" s="666">
        <v>0.8</v>
      </c>
      <c r="P74" s="666">
        <v>1</v>
      </c>
      <c r="Q74" s="704">
        <v>1</v>
      </c>
      <c r="R74" s="704">
        <v>1</v>
      </c>
      <c r="S74" s="704">
        <v>1</v>
      </c>
      <c r="T74" s="704">
        <v>1</v>
      </c>
      <c r="U74" s="704">
        <v>1</v>
      </c>
      <c r="V74" s="704">
        <v>1</v>
      </c>
      <c r="W74" s="704">
        <v>1</v>
      </c>
      <c r="X74" s="704">
        <v>1</v>
      </c>
      <c r="Y74" s="662">
        <v>1</v>
      </c>
      <c r="Z74" s="704">
        <v>1</v>
      </c>
      <c r="AA74" s="704">
        <v>1</v>
      </c>
      <c r="AB74" s="704">
        <v>1</v>
      </c>
      <c r="AC74" s="664">
        <v>1</v>
      </c>
      <c r="AD74" s="666">
        <v>1</v>
      </c>
      <c r="AE74" s="666">
        <v>1</v>
      </c>
      <c r="AF74" s="666">
        <v>1</v>
      </c>
    </row>
    <row r="75" spans="1:32" ht="12.75">
      <c r="A75" s="661" t="s">
        <v>615</v>
      </c>
      <c r="B75" s="704">
        <v>1.1000000000000001E-3</v>
      </c>
      <c r="C75" s="704">
        <v>1.1000000000000001E-3</v>
      </c>
      <c r="D75" s="704">
        <v>8.0000000000000004E-4</v>
      </c>
      <c r="E75" s="704">
        <v>8.0000000000000004E-4</v>
      </c>
      <c r="F75" s="704">
        <v>6.9999999999999999E-4</v>
      </c>
      <c r="G75" s="704">
        <v>6.9999999999999999E-4</v>
      </c>
      <c r="H75" s="662">
        <v>6.9999999999999999E-4</v>
      </c>
      <c r="I75" s="662">
        <v>6.9999999999999999E-4</v>
      </c>
      <c r="J75" s="662">
        <v>6.9999999999999999E-4</v>
      </c>
      <c r="K75" s="662">
        <v>6.9999999999999999E-4</v>
      </c>
      <c r="L75" s="666">
        <v>1.1999999999999999E-3</v>
      </c>
      <c r="M75" s="704">
        <v>1.1000000000000001E-3</v>
      </c>
      <c r="N75" s="704">
        <v>1.1000000000000001E-3</v>
      </c>
      <c r="O75" s="666">
        <v>2E-3</v>
      </c>
      <c r="P75" s="666">
        <v>1.1000000000000001E-3</v>
      </c>
      <c r="Q75" s="704">
        <v>5.9999999999999995E-4</v>
      </c>
      <c r="R75" s="704">
        <v>1E-3</v>
      </c>
      <c r="S75" s="704">
        <v>5.9999999999999995E-4</v>
      </c>
      <c r="T75" s="704">
        <v>1.1999999999999999E-3</v>
      </c>
      <c r="U75" s="704">
        <v>1.1999999999999999E-3</v>
      </c>
      <c r="V75" s="704">
        <v>1.1E-4</v>
      </c>
      <c r="W75" s="704">
        <v>1.1E-4</v>
      </c>
      <c r="X75" s="704">
        <v>8.0000000000000004E-4</v>
      </c>
      <c r="Y75" s="662">
        <v>4.4999999999999999E-4</v>
      </c>
      <c r="Z75" s="704">
        <v>8.0000000000000004E-4</v>
      </c>
      <c r="AA75" s="704">
        <v>8.0000000000000004E-4</v>
      </c>
      <c r="AB75" s="704">
        <v>8.0000000000000004E-4</v>
      </c>
      <c r="AC75" s="664">
        <v>1.6999999999999999E-3</v>
      </c>
      <c r="AD75" s="666">
        <v>1.1999999999999999E-3</v>
      </c>
      <c r="AE75" s="666">
        <v>1.1999999999999999E-3</v>
      </c>
      <c r="AF75" s="666">
        <v>1.1999999999999999E-3</v>
      </c>
    </row>
    <row r="76" spans="1:32" ht="24" customHeight="1">
      <c r="A76" s="707" t="s">
        <v>617</v>
      </c>
      <c r="B76" s="708"/>
      <c r="C76" s="708"/>
      <c r="D76" s="708"/>
      <c r="E76" s="708"/>
      <c r="F76" s="708"/>
      <c r="G76" s="708"/>
      <c r="H76" s="709"/>
      <c r="I76" s="709"/>
      <c r="J76" s="709"/>
      <c r="K76" s="709"/>
      <c r="L76" s="708"/>
      <c r="M76" s="708"/>
      <c r="N76" s="708"/>
      <c r="O76" s="708"/>
      <c r="P76" s="708"/>
      <c r="Q76" s="708"/>
      <c r="R76" s="708"/>
      <c r="S76" s="708"/>
      <c r="T76" s="708"/>
      <c r="U76" s="708"/>
      <c r="V76" s="708"/>
      <c r="W76" s="708"/>
      <c r="X76" s="708"/>
      <c r="Y76" s="709"/>
      <c r="Z76" s="708"/>
      <c r="AA76" s="708"/>
      <c r="AB76" s="708"/>
      <c r="AC76" s="709"/>
      <c r="AD76" s="708"/>
      <c r="AE76" s="708"/>
      <c r="AF76" s="708"/>
    </row>
    <row r="77" spans="1:32" ht="12.75">
      <c r="A77" s="661" t="s">
        <v>618</v>
      </c>
      <c r="B77" s="661">
        <f>90*0.17</f>
        <v>15.3</v>
      </c>
      <c r="C77" s="663">
        <f>90*0.16</f>
        <v>14.4</v>
      </c>
      <c r="D77" s="661">
        <f>90*0.23</f>
        <v>20.7</v>
      </c>
      <c r="E77" s="661">
        <f>90*0.23</f>
        <v>20.7</v>
      </c>
      <c r="F77" s="661">
        <f t="shared" ref="F77:K77" si="7">90*0.3</f>
        <v>27</v>
      </c>
      <c r="G77" s="661">
        <f t="shared" si="7"/>
        <v>27</v>
      </c>
      <c r="H77" s="662">
        <f t="shared" si="7"/>
        <v>27</v>
      </c>
      <c r="I77" s="662">
        <f t="shared" si="7"/>
        <v>27</v>
      </c>
      <c r="J77" s="662">
        <f t="shared" si="7"/>
        <v>27</v>
      </c>
      <c r="K77" s="662">
        <f t="shared" si="7"/>
        <v>27</v>
      </c>
      <c r="L77" s="663">
        <f>90*0.17</f>
        <v>15.3</v>
      </c>
      <c r="M77" s="661">
        <f>90*0.23</f>
        <v>20.7</v>
      </c>
      <c r="N77" s="661">
        <f>90*0.23</f>
        <v>20.7</v>
      </c>
      <c r="O77" s="663">
        <f>90*0.16</f>
        <v>14.4</v>
      </c>
      <c r="P77" s="663">
        <f>90*0.16</f>
        <v>14.4</v>
      </c>
      <c r="Q77" s="663">
        <f>90*0.11</f>
        <v>9.9</v>
      </c>
      <c r="R77" s="661">
        <f>90*0.22</f>
        <v>19.8</v>
      </c>
      <c r="S77" s="661">
        <f>90*0.28</f>
        <v>25.200000000000003</v>
      </c>
      <c r="T77" s="661">
        <f>0.32*90</f>
        <v>28.8</v>
      </c>
      <c r="U77" s="661">
        <f>0.32*90</f>
        <v>28.8</v>
      </c>
      <c r="V77" s="661">
        <f>0.32*90</f>
        <v>28.8</v>
      </c>
      <c r="W77" s="661">
        <f>0.32*90</f>
        <v>28.8</v>
      </c>
      <c r="X77" s="661">
        <f>90*0.23</f>
        <v>20.7</v>
      </c>
      <c r="Y77" s="662">
        <f>90*0.180867</f>
        <v>16.278030000000001</v>
      </c>
      <c r="Z77" s="661">
        <f>90*0.23</f>
        <v>20.7</v>
      </c>
      <c r="AA77" s="661">
        <f>90*0.23</f>
        <v>20.7</v>
      </c>
      <c r="AB77" s="661">
        <f>90*0.23</f>
        <v>20.7</v>
      </c>
      <c r="AC77" s="664">
        <f>90*0.23</f>
        <v>20.7</v>
      </c>
      <c r="AD77" s="663">
        <f>90*0.25</f>
        <v>22.5</v>
      </c>
      <c r="AE77" s="663">
        <f>90*0.17</f>
        <v>15.3</v>
      </c>
      <c r="AF77" s="663">
        <f>90*0.17</f>
        <v>15.3</v>
      </c>
    </row>
    <row r="78" spans="1:32" ht="12.75">
      <c r="A78" s="661" t="s">
        <v>619</v>
      </c>
      <c r="B78" s="661">
        <v>14</v>
      </c>
      <c r="C78" s="663">
        <v>13</v>
      </c>
      <c r="D78" s="661">
        <v>23.3</v>
      </c>
      <c r="E78" s="661">
        <v>23.3</v>
      </c>
      <c r="F78" s="661">
        <v>29</v>
      </c>
      <c r="G78" s="661">
        <v>29</v>
      </c>
      <c r="H78" s="662">
        <v>29</v>
      </c>
      <c r="I78" s="662">
        <v>29</v>
      </c>
      <c r="J78" s="662">
        <v>29</v>
      </c>
      <c r="K78" s="662">
        <v>29</v>
      </c>
      <c r="L78" s="663">
        <v>19.8</v>
      </c>
      <c r="M78" s="661">
        <v>23.3</v>
      </c>
      <c r="N78" s="661">
        <v>23.3</v>
      </c>
      <c r="O78" s="669" t="s">
        <v>293</v>
      </c>
      <c r="P78" s="663">
        <v>15.5</v>
      </c>
      <c r="Q78" s="663">
        <v>10.7</v>
      </c>
      <c r="R78" s="661">
        <v>15.9</v>
      </c>
      <c r="S78" s="661">
        <v>21.9</v>
      </c>
      <c r="T78" s="661">
        <v>36.96</v>
      </c>
      <c r="U78" s="661">
        <v>36.96</v>
      </c>
      <c r="V78" s="661">
        <v>36.96</v>
      </c>
      <c r="W78" s="661">
        <v>36.96</v>
      </c>
      <c r="X78" s="661">
        <v>23.3</v>
      </c>
      <c r="Y78" s="662">
        <v>27.676200000000001</v>
      </c>
      <c r="Z78" s="661">
        <v>23.3</v>
      </c>
      <c r="AA78" s="661">
        <v>23.3</v>
      </c>
      <c r="AB78" s="661">
        <v>23.3</v>
      </c>
      <c r="AC78" s="664">
        <v>23.3</v>
      </c>
      <c r="AD78" s="663">
        <v>36.799999999999997</v>
      </c>
      <c r="AE78" s="663">
        <v>21</v>
      </c>
      <c r="AF78" s="663">
        <v>21</v>
      </c>
    </row>
    <row r="79" spans="1:32" ht="12.75">
      <c r="A79" s="661" t="s">
        <v>621</v>
      </c>
      <c r="B79" s="661">
        <v>1.4</v>
      </c>
      <c r="C79" s="663">
        <v>1.4</v>
      </c>
      <c r="D79" s="661">
        <v>1.4</v>
      </c>
      <c r="E79" s="661">
        <v>1.4</v>
      </c>
      <c r="F79" s="661">
        <v>1.4</v>
      </c>
      <c r="G79" s="661">
        <v>1.4</v>
      </c>
      <c r="H79" s="662">
        <v>1.4</v>
      </c>
      <c r="I79" s="662">
        <v>1.4</v>
      </c>
      <c r="J79" s="662">
        <v>1.4</v>
      </c>
      <c r="K79" s="662">
        <v>1.4</v>
      </c>
      <c r="L79" s="663">
        <v>1.4</v>
      </c>
      <c r="M79" s="661">
        <v>1.4</v>
      </c>
      <c r="N79" s="661">
        <v>1.4</v>
      </c>
      <c r="O79" s="663">
        <v>1.4</v>
      </c>
      <c r="P79" s="663">
        <v>1.4</v>
      </c>
      <c r="Q79" s="663">
        <v>1.4</v>
      </c>
      <c r="R79" s="661">
        <v>1.35</v>
      </c>
      <c r="S79" s="661">
        <v>1.35</v>
      </c>
      <c r="T79" s="661">
        <v>1.4</v>
      </c>
      <c r="U79" s="661">
        <v>1.4</v>
      </c>
      <c r="V79" s="661">
        <v>1.4</v>
      </c>
      <c r="W79" s="661">
        <v>1.4</v>
      </c>
      <c r="X79" s="663">
        <v>1.4</v>
      </c>
      <c r="Y79" s="662">
        <v>1.4</v>
      </c>
      <c r="Z79" s="663">
        <v>1.4</v>
      </c>
      <c r="AA79" s="661">
        <v>1.4</v>
      </c>
      <c r="AB79" s="661">
        <v>1.4</v>
      </c>
      <c r="AC79" s="664">
        <v>1.4</v>
      </c>
      <c r="AD79" s="663">
        <v>1.4</v>
      </c>
      <c r="AE79" s="663">
        <v>1.4</v>
      </c>
      <c r="AF79" s="663">
        <v>1.4</v>
      </c>
    </row>
    <row r="80" spans="1:32" ht="12.75">
      <c r="A80" s="661" t="s">
        <v>622</v>
      </c>
      <c r="B80" s="669" t="s">
        <v>293</v>
      </c>
      <c r="C80" s="669" t="s">
        <v>293</v>
      </c>
      <c r="D80" s="669" t="s">
        <v>293</v>
      </c>
      <c r="E80" s="669" t="s">
        <v>293</v>
      </c>
      <c r="F80" s="669" t="s">
        <v>293</v>
      </c>
      <c r="G80" s="669" t="s">
        <v>293</v>
      </c>
      <c r="H80" s="668" t="s">
        <v>293</v>
      </c>
      <c r="I80" s="668" t="s">
        <v>293</v>
      </c>
      <c r="J80" s="668" t="s">
        <v>293</v>
      </c>
      <c r="K80" s="668" t="s">
        <v>293</v>
      </c>
      <c r="L80" s="669" t="s">
        <v>293</v>
      </c>
      <c r="M80" s="669" t="s">
        <v>293</v>
      </c>
      <c r="N80" s="667" t="s">
        <v>293</v>
      </c>
      <c r="O80" s="669" t="s">
        <v>293</v>
      </c>
      <c r="P80" s="669" t="s">
        <v>293</v>
      </c>
      <c r="Q80" s="669" t="s">
        <v>293</v>
      </c>
      <c r="R80" s="669" t="s">
        <v>293</v>
      </c>
      <c r="S80" s="669" t="s">
        <v>293</v>
      </c>
      <c r="T80" s="669" t="s">
        <v>293</v>
      </c>
      <c r="U80" s="669" t="s">
        <v>293</v>
      </c>
      <c r="V80" s="669" t="s">
        <v>293</v>
      </c>
      <c r="W80" s="669" t="s">
        <v>293</v>
      </c>
      <c r="X80" s="669" t="s">
        <v>293</v>
      </c>
      <c r="Y80" s="668" t="s">
        <v>293</v>
      </c>
      <c r="Z80" s="669" t="s">
        <v>293</v>
      </c>
      <c r="AA80" s="669" t="s">
        <v>293</v>
      </c>
      <c r="AB80" s="669" t="s">
        <v>293</v>
      </c>
      <c r="AC80" s="670" t="s">
        <v>293</v>
      </c>
      <c r="AD80" s="669" t="s">
        <v>293</v>
      </c>
      <c r="AE80" s="669" t="s">
        <v>293</v>
      </c>
      <c r="AF80" s="669" t="s">
        <v>293</v>
      </c>
    </row>
    <row r="81" spans="1:32" ht="12.75">
      <c r="A81" s="661" t="s">
        <v>623</v>
      </c>
      <c r="B81" s="661">
        <v>1500</v>
      </c>
      <c r="C81" s="663">
        <v>1500</v>
      </c>
      <c r="D81" s="661">
        <v>1500</v>
      </c>
      <c r="E81" s="661">
        <v>1500</v>
      </c>
      <c r="F81" s="661">
        <v>1500</v>
      </c>
      <c r="G81" s="661">
        <v>1500</v>
      </c>
      <c r="H81" s="662">
        <v>1500</v>
      </c>
      <c r="I81" s="662">
        <v>1500</v>
      </c>
      <c r="J81" s="662">
        <v>1500</v>
      </c>
      <c r="K81" s="662">
        <v>1500</v>
      </c>
      <c r="L81" s="663">
        <v>1000</v>
      </c>
      <c r="M81" s="661">
        <v>1500</v>
      </c>
      <c r="N81" s="661">
        <v>1500</v>
      </c>
      <c r="O81" s="667" t="s">
        <v>293</v>
      </c>
      <c r="P81" s="667" t="s">
        <v>293</v>
      </c>
      <c r="Q81" s="663">
        <v>1000</v>
      </c>
      <c r="R81" s="661">
        <v>1000</v>
      </c>
      <c r="S81" s="661">
        <v>1500</v>
      </c>
      <c r="T81" s="661">
        <v>1750</v>
      </c>
      <c r="U81" s="661">
        <v>1750</v>
      </c>
      <c r="V81" s="661">
        <v>1500</v>
      </c>
      <c r="W81" s="661">
        <v>1500</v>
      </c>
      <c r="X81" s="663">
        <v>1500</v>
      </c>
      <c r="Y81" s="662">
        <v>1800</v>
      </c>
      <c r="Z81" s="663">
        <v>1500</v>
      </c>
      <c r="AA81" s="661">
        <v>1500</v>
      </c>
      <c r="AB81" s="661">
        <v>1500</v>
      </c>
      <c r="AC81" s="664">
        <v>1500</v>
      </c>
      <c r="AD81" s="667" t="s">
        <v>293</v>
      </c>
      <c r="AE81" s="667" t="s">
        <v>293</v>
      </c>
      <c r="AF81" s="667" t="s">
        <v>293</v>
      </c>
    </row>
    <row r="82" spans="1:32" ht="12.75">
      <c r="A82" s="661" t="s">
        <v>624</v>
      </c>
      <c r="B82" s="661">
        <v>3</v>
      </c>
      <c r="C82" s="663">
        <v>4</v>
      </c>
      <c r="D82" s="661">
        <v>4</v>
      </c>
      <c r="E82" s="661">
        <v>4</v>
      </c>
      <c r="F82" s="661">
        <v>4</v>
      </c>
      <c r="G82" s="661">
        <v>4</v>
      </c>
      <c r="H82" s="662">
        <v>4</v>
      </c>
      <c r="I82" s="662">
        <v>4</v>
      </c>
      <c r="J82" s="662">
        <v>4</v>
      </c>
      <c r="K82" s="662">
        <v>4</v>
      </c>
      <c r="L82" s="663">
        <v>2.5</v>
      </c>
      <c r="M82" s="661">
        <v>5</v>
      </c>
      <c r="N82" s="661">
        <v>5</v>
      </c>
      <c r="O82" s="663">
        <v>1.8</v>
      </c>
      <c r="P82" s="663">
        <v>2.7</v>
      </c>
      <c r="Q82" s="663">
        <v>1.7</v>
      </c>
      <c r="R82" s="661">
        <v>3</v>
      </c>
      <c r="S82" s="661">
        <v>3.5</v>
      </c>
      <c r="T82" s="661">
        <v>5.75</v>
      </c>
      <c r="U82" s="661">
        <v>5.75</v>
      </c>
      <c r="V82" s="661">
        <v>3.5</v>
      </c>
      <c r="W82" s="661">
        <v>3.5</v>
      </c>
      <c r="X82" s="663">
        <v>4</v>
      </c>
      <c r="Y82" s="662">
        <v>4</v>
      </c>
      <c r="Z82" s="663">
        <v>4</v>
      </c>
      <c r="AA82" s="661">
        <v>4</v>
      </c>
      <c r="AB82" s="661">
        <v>4</v>
      </c>
      <c r="AC82" s="664">
        <v>4.4000000000000004</v>
      </c>
      <c r="AD82" s="663">
        <v>5</v>
      </c>
      <c r="AE82" s="663">
        <v>4.5</v>
      </c>
      <c r="AF82" s="663">
        <v>4.5</v>
      </c>
    </row>
    <row r="83" spans="1:32" ht="12.75">
      <c r="A83" s="661" t="s">
        <v>625</v>
      </c>
      <c r="B83" s="661">
        <v>25</v>
      </c>
      <c r="C83" s="663">
        <v>45</v>
      </c>
      <c r="D83" s="661">
        <v>50</v>
      </c>
      <c r="E83" s="661">
        <v>50</v>
      </c>
      <c r="F83" s="661">
        <v>100</v>
      </c>
      <c r="G83" s="661">
        <v>100</v>
      </c>
      <c r="H83" s="662">
        <v>100</v>
      </c>
      <c r="I83" s="662">
        <v>100</v>
      </c>
      <c r="J83" s="662">
        <v>100</v>
      </c>
      <c r="K83" s="662">
        <v>100</v>
      </c>
      <c r="L83" s="663">
        <v>18</v>
      </c>
      <c r="M83" s="661">
        <v>80</v>
      </c>
      <c r="N83" s="661">
        <v>80</v>
      </c>
      <c r="O83" s="663">
        <v>8</v>
      </c>
      <c r="P83" s="663">
        <v>18</v>
      </c>
      <c r="Q83" s="663">
        <v>9</v>
      </c>
      <c r="R83" s="661">
        <v>27</v>
      </c>
      <c r="S83" s="661">
        <v>50</v>
      </c>
      <c r="T83" s="661">
        <v>100</v>
      </c>
      <c r="U83" s="661">
        <v>100</v>
      </c>
      <c r="V83" s="661">
        <v>55</v>
      </c>
      <c r="W83" s="661">
        <v>55</v>
      </c>
      <c r="X83" s="663">
        <v>50</v>
      </c>
      <c r="Y83" s="662">
        <v>135</v>
      </c>
      <c r="Z83" s="663">
        <v>50</v>
      </c>
      <c r="AA83" s="661">
        <v>50</v>
      </c>
      <c r="AB83" s="661">
        <v>50</v>
      </c>
      <c r="AC83" s="664">
        <v>50</v>
      </c>
      <c r="AD83" s="663">
        <v>40</v>
      </c>
      <c r="AE83" s="663">
        <v>40</v>
      </c>
      <c r="AF83" s="663">
        <v>40</v>
      </c>
    </row>
    <row r="84" spans="1:32" ht="12.75">
      <c r="A84" s="661" t="s">
        <v>629</v>
      </c>
      <c r="B84" s="661">
        <v>30</v>
      </c>
      <c r="C84" s="661">
        <v>30</v>
      </c>
      <c r="D84" s="661">
        <v>30</v>
      </c>
      <c r="E84" s="661">
        <v>30</v>
      </c>
      <c r="F84" s="661">
        <v>30</v>
      </c>
      <c r="G84" s="661">
        <v>30</v>
      </c>
      <c r="H84" s="662">
        <v>30</v>
      </c>
      <c r="I84" s="662">
        <v>30</v>
      </c>
      <c r="J84" s="662">
        <v>30</v>
      </c>
      <c r="K84" s="662">
        <v>30</v>
      </c>
      <c r="L84" s="661">
        <v>30</v>
      </c>
      <c r="M84" s="661">
        <v>30</v>
      </c>
      <c r="N84" s="661">
        <v>30</v>
      </c>
      <c r="O84" s="661">
        <v>30</v>
      </c>
      <c r="P84" s="661">
        <v>30</v>
      </c>
      <c r="Q84" s="661">
        <v>30</v>
      </c>
      <c r="R84" s="661">
        <v>30</v>
      </c>
      <c r="S84" s="661">
        <v>30</v>
      </c>
      <c r="T84" s="661">
        <v>30</v>
      </c>
      <c r="U84" s="661">
        <v>30</v>
      </c>
      <c r="V84" s="661">
        <v>30</v>
      </c>
      <c r="W84" s="661">
        <v>30</v>
      </c>
      <c r="X84" s="661">
        <v>30</v>
      </c>
      <c r="Y84" s="662">
        <v>30</v>
      </c>
      <c r="Z84" s="661">
        <v>30</v>
      </c>
      <c r="AA84" s="661">
        <v>30</v>
      </c>
      <c r="AB84" s="661">
        <v>30</v>
      </c>
      <c r="AC84" s="664">
        <v>30</v>
      </c>
      <c r="AD84" s="661">
        <v>30</v>
      </c>
      <c r="AE84" s="661">
        <v>30</v>
      </c>
      <c r="AF84" s="661">
        <v>30</v>
      </c>
    </row>
    <row r="85" spans="1:32" ht="12.75">
      <c r="A85" s="661" t="s">
        <v>759</v>
      </c>
      <c r="B85" s="661">
        <v>26</v>
      </c>
      <c r="C85" s="663">
        <v>45</v>
      </c>
      <c r="D85" s="661">
        <v>50</v>
      </c>
      <c r="E85" s="661">
        <v>50</v>
      </c>
      <c r="F85" s="661">
        <v>70</v>
      </c>
      <c r="G85" s="661">
        <v>70</v>
      </c>
      <c r="H85" s="661">
        <v>70</v>
      </c>
      <c r="I85" s="661">
        <v>70</v>
      </c>
      <c r="J85" s="661">
        <v>70</v>
      </c>
      <c r="K85" s="661">
        <v>70</v>
      </c>
      <c r="L85" s="663">
        <v>18</v>
      </c>
      <c r="M85" s="661">
        <v>80</v>
      </c>
      <c r="N85" s="661">
        <v>80</v>
      </c>
      <c r="O85" s="663">
        <v>18</v>
      </c>
      <c r="P85" s="663">
        <v>18</v>
      </c>
      <c r="Q85" s="663">
        <v>11</v>
      </c>
      <c r="R85" s="661">
        <v>27</v>
      </c>
      <c r="S85" s="661">
        <v>45</v>
      </c>
      <c r="T85" s="661">
        <v>67.5</v>
      </c>
      <c r="U85" s="661">
        <v>67.5</v>
      </c>
      <c r="V85" s="661">
        <v>55</v>
      </c>
      <c r="W85" s="661">
        <v>55</v>
      </c>
      <c r="X85" s="663">
        <v>50</v>
      </c>
      <c r="Y85" s="661">
        <v>110</v>
      </c>
      <c r="Z85" s="663">
        <v>50</v>
      </c>
      <c r="AA85" s="661">
        <v>50</v>
      </c>
      <c r="AB85" s="661">
        <v>50</v>
      </c>
      <c r="AC85" s="664">
        <v>50</v>
      </c>
      <c r="AD85" s="663">
        <v>40</v>
      </c>
      <c r="AE85" s="663">
        <v>40</v>
      </c>
      <c r="AF85" s="663">
        <v>40</v>
      </c>
    </row>
    <row r="86" spans="1:32" ht="12.75">
      <c r="A86" s="661" t="s">
        <v>631</v>
      </c>
      <c r="B86" s="661">
        <v>15</v>
      </c>
      <c r="C86" s="663">
        <v>15</v>
      </c>
      <c r="D86" s="661">
        <v>25</v>
      </c>
      <c r="E86" s="661">
        <v>25</v>
      </c>
      <c r="F86" s="661">
        <v>25</v>
      </c>
      <c r="G86" s="661">
        <v>25</v>
      </c>
      <c r="H86" s="662">
        <v>25</v>
      </c>
      <c r="I86" s="662">
        <v>25</v>
      </c>
      <c r="J86" s="662">
        <v>25</v>
      </c>
      <c r="K86" s="662">
        <v>25</v>
      </c>
      <c r="L86" s="663">
        <v>18</v>
      </c>
      <c r="M86" s="661">
        <v>25</v>
      </c>
      <c r="N86" s="661">
        <v>25</v>
      </c>
      <c r="O86" s="663">
        <v>15</v>
      </c>
      <c r="P86" s="663">
        <v>15</v>
      </c>
      <c r="Q86" s="663">
        <v>11</v>
      </c>
      <c r="R86" s="661">
        <v>20</v>
      </c>
      <c r="S86" s="661">
        <v>24</v>
      </c>
      <c r="T86" s="661">
        <v>35</v>
      </c>
      <c r="U86" s="661">
        <v>35</v>
      </c>
      <c r="V86" s="661">
        <v>35</v>
      </c>
      <c r="W86" s="661">
        <v>35</v>
      </c>
      <c r="X86" s="663">
        <v>25</v>
      </c>
      <c r="Y86" s="662">
        <v>20</v>
      </c>
      <c r="Z86" s="663">
        <v>25</v>
      </c>
      <c r="AA86" s="661">
        <v>25</v>
      </c>
      <c r="AB86" s="661">
        <v>25</v>
      </c>
      <c r="AC86" s="664">
        <v>25</v>
      </c>
      <c r="AD86" s="663">
        <v>30</v>
      </c>
      <c r="AE86" s="663">
        <v>20</v>
      </c>
      <c r="AF86" s="663">
        <v>20</v>
      </c>
    </row>
    <row r="87" spans="1:32" ht="12.75">
      <c r="A87" s="661" t="s">
        <v>632</v>
      </c>
      <c r="B87" s="661">
        <v>15</v>
      </c>
      <c r="C87" s="663">
        <v>15</v>
      </c>
      <c r="D87" s="661">
        <v>25</v>
      </c>
      <c r="E87" s="661">
        <v>25</v>
      </c>
      <c r="F87" s="661">
        <v>25</v>
      </c>
      <c r="G87" s="661">
        <v>25</v>
      </c>
      <c r="H87" s="662">
        <v>25</v>
      </c>
      <c r="I87" s="662">
        <v>25</v>
      </c>
      <c r="J87" s="662">
        <v>25</v>
      </c>
      <c r="K87" s="662">
        <v>25</v>
      </c>
      <c r="L87" s="663">
        <v>18</v>
      </c>
      <c r="M87" s="661">
        <v>25</v>
      </c>
      <c r="N87" s="661">
        <v>25</v>
      </c>
      <c r="O87" s="663">
        <v>12</v>
      </c>
      <c r="P87" s="663">
        <v>15</v>
      </c>
      <c r="Q87" s="663">
        <v>10</v>
      </c>
      <c r="R87" s="661">
        <v>20</v>
      </c>
      <c r="S87" s="661">
        <v>24</v>
      </c>
      <c r="T87" s="661">
        <v>35</v>
      </c>
      <c r="U87" s="661">
        <v>35</v>
      </c>
      <c r="V87" s="661">
        <v>35</v>
      </c>
      <c r="W87" s="661">
        <v>35</v>
      </c>
      <c r="X87" s="663">
        <v>25</v>
      </c>
      <c r="Y87" s="662">
        <v>20</v>
      </c>
      <c r="Z87" s="663">
        <v>25</v>
      </c>
      <c r="AA87" s="661">
        <v>25</v>
      </c>
      <c r="AB87" s="661">
        <v>25</v>
      </c>
      <c r="AC87" s="664">
        <v>25</v>
      </c>
      <c r="AD87" s="663">
        <v>30</v>
      </c>
      <c r="AE87" s="663">
        <v>20</v>
      </c>
      <c r="AF87" s="663">
        <v>20</v>
      </c>
    </row>
    <row r="88" spans="1:32" ht="12.75">
      <c r="A88" s="661" t="s">
        <v>756</v>
      </c>
      <c r="B88" s="704" t="s">
        <v>829</v>
      </c>
      <c r="C88" s="666" t="s">
        <v>826</v>
      </c>
      <c r="D88" s="666" t="s">
        <v>826</v>
      </c>
      <c r="E88" s="667" t="s">
        <v>293</v>
      </c>
      <c r="F88" s="704" t="s">
        <v>781</v>
      </c>
      <c r="G88" s="704" t="s">
        <v>781</v>
      </c>
      <c r="H88" s="704" t="s">
        <v>781</v>
      </c>
      <c r="I88" s="704" t="s">
        <v>781</v>
      </c>
      <c r="J88" s="704" t="s">
        <v>781</v>
      </c>
      <c r="K88" s="704" t="s">
        <v>781</v>
      </c>
      <c r="L88" s="669" t="s">
        <v>293</v>
      </c>
      <c r="M88" s="667" t="s">
        <v>293</v>
      </c>
      <c r="N88" s="667" t="s">
        <v>293</v>
      </c>
      <c r="O88" s="666" t="s">
        <v>828</v>
      </c>
      <c r="P88" s="666" t="s">
        <v>758</v>
      </c>
      <c r="Q88" s="669" t="s">
        <v>293</v>
      </c>
      <c r="R88" s="666" t="s">
        <v>827</v>
      </c>
      <c r="S88" s="666" t="s">
        <v>758</v>
      </c>
      <c r="T88" s="666" t="s">
        <v>782</v>
      </c>
      <c r="U88" s="666" t="s">
        <v>782</v>
      </c>
      <c r="V88" s="666" t="s">
        <v>782</v>
      </c>
      <c r="W88" s="666" t="s">
        <v>782</v>
      </c>
      <c r="X88" s="669" t="s">
        <v>293</v>
      </c>
      <c r="Y88" s="669" t="s">
        <v>293</v>
      </c>
      <c r="Z88" s="666" t="s">
        <v>826</v>
      </c>
      <c r="AA88" s="670" t="s">
        <v>293</v>
      </c>
      <c r="AB88" s="670" t="s">
        <v>293</v>
      </c>
      <c r="AC88" s="670" t="s">
        <v>293</v>
      </c>
      <c r="AD88" s="666" t="s">
        <v>758</v>
      </c>
      <c r="AE88" s="666" t="s">
        <v>758</v>
      </c>
      <c r="AF88" s="666" t="s">
        <v>758</v>
      </c>
    </row>
    <row r="89" spans="1:32" ht="12.75">
      <c r="A89" s="661" t="s">
        <v>756</v>
      </c>
      <c r="B89" s="704" t="s">
        <v>824</v>
      </c>
      <c r="C89" s="704" t="s">
        <v>824</v>
      </c>
      <c r="D89" s="704" t="s">
        <v>824</v>
      </c>
      <c r="E89" s="669" t="s">
        <v>293</v>
      </c>
      <c r="F89" s="667" t="s">
        <v>293</v>
      </c>
      <c r="G89" s="667" t="s">
        <v>293</v>
      </c>
      <c r="H89" s="668" t="s">
        <v>293</v>
      </c>
      <c r="I89" s="668" t="s">
        <v>293</v>
      </c>
      <c r="J89" s="668" t="s">
        <v>293</v>
      </c>
      <c r="K89" s="668" t="s">
        <v>293</v>
      </c>
      <c r="L89" s="669" t="s">
        <v>293</v>
      </c>
      <c r="M89" s="667" t="s">
        <v>293</v>
      </c>
      <c r="N89" s="667" t="s">
        <v>293</v>
      </c>
      <c r="O89" s="704" t="s">
        <v>825</v>
      </c>
      <c r="P89" s="704" t="s">
        <v>755</v>
      </c>
      <c r="Q89" s="669" t="s">
        <v>293</v>
      </c>
      <c r="R89" s="704" t="s">
        <v>824</v>
      </c>
      <c r="S89" s="704" t="s">
        <v>781</v>
      </c>
      <c r="T89" s="704" t="s">
        <v>780</v>
      </c>
      <c r="U89" s="704" t="s">
        <v>780</v>
      </c>
      <c r="V89" s="704" t="s">
        <v>780</v>
      </c>
      <c r="W89" s="704" t="s">
        <v>780</v>
      </c>
      <c r="X89" s="669" t="s">
        <v>293</v>
      </c>
      <c r="Y89" s="668" t="s">
        <v>293</v>
      </c>
      <c r="Z89" s="704" t="s">
        <v>824</v>
      </c>
      <c r="AA89" s="669" t="s">
        <v>293</v>
      </c>
      <c r="AB89" s="669" t="s">
        <v>293</v>
      </c>
      <c r="AC89" s="670" t="s">
        <v>293</v>
      </c>
      <c r="AD89" s="704" t="s">
        <v>823</v>
      </c>
      <c r="AE89" s="704" t="s">
        <v>822</v>
      </c>
      <c r="AF89" s="704" t="s">
        <v>822</v>
      </c>
    </row>
    <row r="90" spans="1:32" ht="12.75">
      <c r="A90" s="661" t="s">
        <v>756</v>
      </c>
      <c r="B90" s="704" t="s">
        <v>821</v>
      </c>
      <c r="C90" s="704" t="s">
        <v>821</v>
      </c>
      <c r="D90" s="704" t="s">
        <v>821</v>
      </c>
      <c r="E90" s="669" t="s">
        <v>293</v>
      </c>
      <c r="F90" s="667" t="s">
        <v>293</v>
      </c>
      <c r="G90" s="669" t="s">
        <v>293</v>
      </c>
      <c r="H90" s="669" t="s">
        <v>293</v>
      </c>
      <c r="I90" s="669" t="s">
        <v>293</v>
      </c>
      <c r="J90" s="669" t="s">
        <v>293</v>
      </c>
      <c r="K90" s="669" t="s">
        <v>293</v>
      </c>
      <c r="L90" s="669" t="s">
        <v>293</v>
      </c>
      <c r="M90" s="667" t="s">
        <v>293</v>
      </c>
      <c r="N90" s="667" t="s">
        <v>293</v>
      </c>
      <c r="O90" s="667" t="s">
        <v>293</v>
      </c>
      <c r="P90" s="667" t="s">
        <v>293</v>
      </c>
      <c r="Q90" s="669" t="s">
        <v>293</v>
      </c>
      <c r="R90" s="704" t="s">
        <v>809</v>
      </c>
      <c r="S90" s="667" t="s">
        <v>293</v>
      </c>
      <c r="T90" s="667" t="s">
        <v>293</v>
      </c>
      <c r="U90" s="667" t="s">
        <v>293</v>
      </c>
      <c r="V90" s="667" t="s">
        <v>293</v>
      </c>
      <c r="W90" s="667" t="s">
        <v>293</v>
      </c>
      <c r="X90" s="669" t="s">
        <v>293</v>
      </c>
      <c r="Y90" s="667" t="s">
        <v>293</v>
      </c>
      <c r="Z90" s="704" t="s">
        <v>821</v>
      </c>
      <c r="AA90" s="669" t="s">
        <v>293</v>
      </c>
      <c r="AB90" s="669" t="s">
        <v>293</v>
      </c>
      <c r="AC90" s="670" t="s">
        <v>293</v>
      </c>
      <c r="AD90" s="667" t="s">
        <v>293</v>
      </c>
      <c r="AE90" s="667" t="s">
        <v>293</v>
      </c>
      <c r="AF90" s="667" t="s">
        <v>293</v>
      </c>
    </row>
    <row r="91" spans="1:32" ht="12.75">
      <c r="A91" s="661" t="s">
        <v>810</v>
      </c>
      <c r="B91" s="667" t="s">
        <v>293</v>
      </c>
      <c r="C91" s="667" t="s">
        <v>293</v>
      </c>
      <c r="D91" s="667" t="s">
        <v>293</v>
      </c>
      <c r="E91" s="667" t="s">
        <v>293</v>
      </c>
      <c r="F91" s="704" t="s">
        <v>820</v>
      </c>
      <c r="G91" s="704" t="s">
        <v>820</v>
      </c>
      <c r="H91" s="704" t="s">
        <v>820</v>
      </c>
      <c r="I91" s="704" t="s">
        <v>820</v>
      </c>
      <c r="J91" s="704" t="s">
        <v>820</v>
      </c>
      <c r="K91" s="704" t="s">
        <v>820</v>
      </c>
      <c r="L91" s="667" t="s">
        <v>293</v>
      </c>
      <c r="M91" s="667" t="s">
        <v>293</v>
      </c>
      <c r="N91" s="667" t="s">
        <v>293</v>
      </c>
      <c r="O91" s="667" t="s">
        <v>293</v>
      </c>
      <c r="P91" s="667" t="s">
        <v>293</v>
      </c>
      <c r="Q91" s="667" t="s">
        <v>293</v>
      </c>
      <c r="R91" s="667" t="s">
        <v>293</v>
      </c>
      <c r="S91" s="716" t="s">
        <v>819</v>
      </c>
      <c r="T91" s="716" t="s">
        <v>818</v>
      </c>
      <c r="U91" s="716" t="s">
        <v>818</v>
      </c>
      <c r="V91" s="716" t="s">
        <v>818</v>
      </c>
      <c r="W91" s="716" t="s">
        <v>818</v>
      </c>
      <c r="X91" s="667" t="s">
        <v>293</v>
      </c>
      <c r="Y91" s="667" t="s">
        <v>293</v>
      </c>
      <c r="Z91" s="667" t="s">
        <v>293</v>
      </c>
      <c r="AA91" s="667" t="s">
        <v>293</v>
      </c>
      <c r="AB91" s="667" t="s">
        <v>293</v>
      </c>
      <c r="AC91" s="670" t="s">
        <v>293</v>
      </c>
      <c r="AD91" s="716" t="s">
        <v>817</v>
      </c>
      <c r="AE91" s="667" t="s">
        <v>293</v>
      </c>
      <c r="AF91" s="667" t="s">
        <v>293</v>
      </c>
    </row>
    <row r="92" spans="1:32" ht="12.75">
      <c r="A92" s="661" t="s">
        <v>810</v>
      </c>
      <c r="B92" s="667" t="s">
        <v>293</v>
      </c>
      <c r="C92" s="667" t="s">
        <v>293</v>
      </c>
      <c r="D92" s="667" t="s">
        <v>293</v>
      </c>
      <c r="E92" s="667" t="s">
        <v>293</v>
      </c>
      <c r="F92" s="704" t="s">
        <v>816</v>
      </c>
      <c r="G92" s="704" t="s">
        <v>816</v>
      </c>
      <c r="H92" s="704" t="s">
        <v>816</v>
      </c>
      <c r="I92" s="704" t="s">
        <v>816</v>
      </c>
      <c r="J92" s="704" t="s">
        <v>816</v>
      </c>
      <c r="K92" s="704" t="s">
        <v>816</v>
      </c>
      <c r="L92" s="667" t="s">
        <v>293</v>
      </c>
      <c r="M92" s="667" t="s">
        <v>293</v>
      </c>
      <c r="N92" s="667" t="s">
        <v>293</v>
      </c>
      <c r="O92" s="667" t="s">
        <v>293</v>
      </c>
      <c r="P92" s="667" t="s">
        <v>293</v>
      </c>
      <c r="Q92" s="667" t="s">
        <v>293</v>
      </c>
      <c r="R92" s="667" t="s">
        <v>293</v>
      </c>
      <c r="S92" s="704" t="s">
        <v>816</v>
      </c>
      <c r="T92" s="704" t="s">
        <v>816</v>
      </c>
      <c r="U92" s="704" t="s">
        <v>816</v>
      </c>
      <c r="V92" s="704" t="s">
        <v>816</v>
      </c>
      <c r="W92" s="704" t="s">
        <v>816</v>
      </c>
      <c r="X92" s="667" t="s">
        <v>293</v>
      </c>
      <c r="Y92" s="667" t="s">
        <v>293</v>
      </c>
      <c r="Z92" s="667" t="s">
        <v>293</v>
      </c>
      <c r="AA92" s="667" t="s">
        <v>293</v>
      </c>
      <c r="AB92" s="667" t="s">
        <v>293</v>
      </c>
      <c r="AC92" s="670" t="s">
        <v>293</v>
      </c>
      <c r="AD92" s="704" t="s">
        <v>815</v>
      </c>
      <c r="AE92" s="667" t="s">
        <v>293</v>
      </c>
      <c r="AF92" s="667" t="s">
        <v>293</v>
      </c>
    </row>
    <row r="93" spans="1:32" ht="12.75">
      <c r="A93" s="661" t="s">
        <v>810</v>
      </c>
      <c r="B93" s="667" t="s">
        <v>293</v>
      </c>
      <c r="C93" s="667" t="s">
        <v>293</v>
      </c>
      <c r="D93" s="667" t="s">
        <v>293</v>
      </c>
      <c r="E93" s="667" t="s">
        <v>293</v>
      </c>
      <c r="F93" s="704" t="s">
        <v>814</v>
      </c>
      <c r="G93" s="704" t="s">
        <v>814</v>
      </c>
      <c r="H93" s="704" t="s">
        <v>814</v>
      </c>
      <c r="I93" s="704" t="s">
        <v>814</v>
      </c>
      <c r="J93" s="704" t="s">
        <v>814</v>
      </c>
      <c r="K93" s="704" t="s">
        <v>814</v>
      </c>
      <c r="L93" s="667" t="s">
        <v>293</v>
      </c>
      <c r="M93" s="667" t="s">
        <v>293</v>
      </c>
      <c r="N93" s="667" t="s">
        <v>293</v>
      </c>
      <c r="O93" s="667" t="s">
        <v>293</v>
      </c>
      <c r="P93" s="667" t="s">
        <v>293</v>
      </c>
      <c r="Q93" s="667" t="s">
        <v>293</v>
      </c>
      <c r="R93" s="667" t="s">
        <v>293</v>
      </c>
      <c r="S93" s="704" t="s">
        <v>814</v>
      </c>
      <c r="T93" s="704" t="s">
        <v>814</v>
      </c>
      <c r="U93" s="704" t="s">
        <v>814</v>
      </c>
      <c r="V93" s="704" t="s">
        <v>814</v>
      </c>
      <c r="W93" s="704" t="s">
        <v>814</v>
      </c>
      <c r="X93" s="667" t="s">
        <v>293</v>
      </c>
      <c r="Y93" s="667" t="s">
        <v>293</v>
      </c>
      <c r="Z93" s="667" t="s">
        <v>293</v>
      </c>
      <c r="AA93" s="667" t="s">
        <v>293</v>
      </c>
      <c r="AB93" s="667" t="s">
        <v>293</v>
      </c>
      <c r="AC93" s="670" t="s">
        <v>293</v>
      </c>
      <c r="AD93" s="704" t="s">
        <v>813</v>
      </c>
      <c r="AE93" s="667" t="s">
        <v>293</v>
      </c>
      <c r="AF93" s="667" t="s">
        <v>293</v>
      </c>
    </row>
    <row r="94" spans="1:32" ht="12.75">
      <c r="A94" s="661" t="s">
        <v>810</v>
      </c>
      <c r="B94" s="667" t="s">
        <v>293</v>
      </c>
      <c r="C94" s="667" t="s">
        <v>293</v>
      </c>
      <c r="D94" s="667" t="s">
        <v>293</v>
      </c>
      <c r="E94" s="667" t="s">
        <v>293</v>
      </c>
      <c r="F94" s="704" t="s">
        <v>812</v>
      </c>
      <c r="G94" s="704" t="s">
        <v>812</v>
      </c>
      <c r="H94" s="704" t="s">
        <v>812</v>
      </c>
      <c r="I94" s="704" t="s">
        <v>812</v>
      </c>
      <c r="J94" s="704" t="s">
        <v>812</v>
      </c>
      <c r="K94" s="704" t="s">
        <v>812</v>
      </c>
      <c r="L94" s="667" t="s">
        <v>293</v>
      </c>
      <c r="M94" s="667" t="s">
        <v>293</v>
      </c>
      <c r="N94" s="667" t="s">
        <v>293</v>
      </c>
      <c r="O94" s="667" t="s">
        <v>293</v>
      </c>
      <c r="P94" s="667" t="s">
        <v>293</v>
      </c>
      <c r="Q94" s="667" t="s">
        <v>293</v>
      </c>
      <c r="R94" s="667" t="s">
        <v>293</v>
      </c>
      <c r="S94" s="704" t="s">
        <v>812</v>
      </c>
      <c r="T94" s="704" t="s">
        <v>812</v>
      </c>
      <c r="U94" s="704" t="s">
        <v>812</v>
      </c>
      <c r="V94" s="704" t="s">
        <v>812</v>
      </c>
      <c r="W94" s="704" t="s">
        <v>812</v>
      </c>
      <c r="X94" s="667" t="s">
        <v>293</v>
      </c>
      <c r="Y94" s="667" t="s">
        <v>293</v>
      </c>
      <c r="Z94" s="667" t="s">
        <v>293</v>
      </c>
      <c r="AA94" s="667" t="s">
        <v>293</v>
      </c>
      <c r="AB94" s="667" t="s">
        <v>293</v>
      </c>
      <c r="AC94" s="670" t="s">
        <v>293</v>
      </c>
      <c r="AD94" s="704" t="s">
        <v>811</v>
      </c>
      <c r="AE94" s="667" t="s">
        <v>293</v>
      </c>
      <c r="AF94" s="667" t="s">
        <v>293</v>
      </c>
    </row>
    <row r="95" spans="1:32" ht="12.75">
      <c r="A95" s="661" t="s">
        <v>810</v>
      </c>
      <c r="B95" s="667" t="s">
        <v>293</v>
      </c>
      <c r="C95" s="667" t="s">
        <v>293</v>
      </c>
      <c r="D95" s="667" t="s">
        <v>293</v>
      </c>
      <c r="E95" s="667" t="s">
        <v>293</v>
      </c>
      <c r="F95" s="704" t="s">
        <v>809</v>
      </c>
      <c r="G95" s="704" t="s">
        <v>809</v>
      </c>
      <c r="H95" s="704" t="s">
        <v>809</v>
      </c>
      <c r="I95" s="704" t="s">
        <v>809</v>
      </c>
      <c r="J95" s="704" t="s">
        <v>809</v>
      </c>
      <c r="K95" s="704" t="s">
        <v>809</v>
      </c>
      <c r="L95" s="667" t="s">
        <v>293</v>
      </c>
      <c r="M95" s="667" t="s">
        <v>293</v>
      </c>
      <c r="N95" s="667" t="s">
        <v>293</v>
      </c>
      <c r="O95" s="667" t="s">
        <v>293</v>
      </c>
      <c r="P95" s="667" t="s">
        <v>293</v>
      </c>
      <c r="Q95" s="667" t="s">
        <v>293</v>
      </c>
      <c r="R95" s="667" t="s">
        <v>293</v>
      </c>
      <c r="S95" s="704" t="s">
        <v>809</v>
      </c>
      <c r="T95" s="704" t="s">
        <v>809</v>
      </c>
      <c r="U95" s="704" t="s">
        <v>809</v>
      </c>
      <c r="V95" s="704" t="s">
        <v>809</v>
      </c>
      <c r="W95" s="704" t="s">
        <v>809</v>
      </c>
      <c r="X95" s="667" t="s">
        <v>293</v>
      </c>
      <c r="Y95" s="667" t="s">
        <v>293</v>
      </c>
      <c r="Z95" s="667" t="s">
        <v>293</v>
      </c>
      <c r="AA95" s="667" t="s">
        <v>293</v>
      </c>
      <c r="AB95" s="667" t="s">
        <v>293</v>
      </c>
      <c r="AC95" s="670" t="s">
        <v>293</v>
      </c>
      <c r="AD95" s="704" t="s">
        <v>809</v>
      </c>
      <c r="AE95" s="667" t="s">
        <v>293</v>
      </c>
      <c r="AF95" s="667" t="s">
        <v>293</v>
      </c>
    </row>
    <row r="96" spans="1:32" ht="12.75">
      <c r="A96" s="728" t="s">
        <v>686</v>
      </c>
      <c r="B96" s="667" t="s">
        <v>293</v>
      </c>
      <c r="C96" s="667" t="s">
        <v>324</v>
      </c>
      <c r="D96" s="667" t="s">
        <v>324</v>
      </c>
      <c r="E96" s="667" t="s">
        <v>324</v>
      </c>
      <c r="F96" s="667" t="s">
        <v>324</v>
      </c>
      <c r="G96" s="667" t="s">
        <v>324</v>
      </c>
      <c r="H96" s="667" t="s">
        <v>324</v>
      </c>
      <c r="I96" s="667" t="s">
        <v>324</v>
      </c>
      <c r="J96" s="667" t="s">
        <v>324</v>
      </c>
      <c r="K96" s="667" t="s">
        <v>324</v>
      </c>
      <c r="L96" s="667" t="s">
        <v>324</v>
      </c>
      <c r="M96" s="667" t="s">
        <v>324</v>
      </c>
      <c r="N96" s="667" t="s">
        <v>324</v>
      </c>
      <c r="O96" s="667" t="s">
        <v>324</v>
      </c>
      <c r="P96" s="667" t="s">
        <v>324</v>
      </c>
      <c r="Q96" s="667" t="s">
        <v>324</v>
      </c>
      <c r="R96" s="667" t="s">
        <v>324</v>
      </c>
      <c r="S96" s="667" t="s">
        <v>324</v>
      </c>
      <c r="T96" s="667" t="s">
        <v>324</v>
      </c>
      <c r="U96" s="667" t="s">
        <v>324</v>
      </c>
      <c r="V96" s="667" t="s">
        <v>324</v>
      </c>
      <c r="W96" s="667" t="s">
        <v>324</v>
      </c>
      <c r="X96" s="667" t="s">
        <v>324</v>
      </c>
      <c r="Y96" s="719" t="s">
        <v>328</v>
      </c>
      <c r="Z96" s="667" t="s">
        <v>324</v>
      </c>
      <c r="AA96" s="667" t="s">
        <v>324</v>
      </c>
      <c r="AB96" s="667" t="s">
        <v>324</v>
      </c>
      <c r="AC96" s="667" t="s">
        <v>324</v>
      </c>
      <c r="AD96" s="667" t="s">
        <v>324</v>
      </c>
      <c r="AE96" s="667" t="s">
        <v>324</v>
      </c>
      <c r="AF96" s="667" t="s">
        <v>324</v>
      </c>
    </row>
    <row r="97" spans="1:32" ht="12.75">
      <c r="A97" s="728" t="s">
        <v>687</v>
      </c>
      <c r="B97" s="667" t="s">
        <v>293</v>
      </c>
      <c r="C97" s="667" t="s">
        <v>293</v>
      </c>
      <c r="D97" s="667" t="s">
        <v>293</v>
      </c>
      <c r="E97" s="667" t="s">
        <v>293</v>
      </c>
      <c r="F97" s="667" t="s">
        <v>293</v>
      </c>
      <c r="G97" s="667" t="s">
        <v>293</v>
      </c>
      <c r="H97" s="667" t="s">
        <v>293</v>
      </c>
      <c r="I97" s="667" t="s">
        <v>293</v>
      </c>
      <c r="J97" s="667" t="s">
        <v>293</v>
      </c>
      <c r="K97" s="667" t="s">
        <v>293</v>
      </c>
      <c r="L97" s="667" t="s">
        <v>293</v>
      </c>
      <c r="M97" s="667" t="s">
        <v>293</v>
      </c>
      <c r="N97" s="667" t="s">
        <v>293</v>
      </c>
      <c r="O97" s="667" t="s">
        <v>293</v>
      </c>
      <c r="P97" s="667" t="s">
        <v>293</v>
      </c>
      <c r="Q97" s="667" t="s">
        <v>293</v>
      </c>
      <c r="R97" s="667" t="s">
        <v>293</v>
      </c>
      <c r="S97" s="667" t="s">
        <v>293</v>
      </c>
      <c r="T97" s="667" t="s">
        <v>293</v>
      </c>
      <c r="U97" s="667" t="s">
        <v>293</v>
      </c>
      <c r="V97" s="667" t="s">
        <v>293</v>
      </c>
      <c r="W97" s="667" t="s">
        <v>293</v>
      </c>
      <c r="X97" s="667" t="s">
        <v>293</v>
      </c>
      <c r="Y97" s="662">
        <v>15</v>
      </c>
      <c r="Z97" s="667" t="s">
        <v>293</v>
      </c>
      <c r="AA97" s="667" t="s">
        <v>293</v>
      </c>
      <c r="AB97" s="667" t="s">
        <v>293</v>
      </c>
      <c r="AC97" s="667" t="s">
        <v>293</v>
      </c>
      <c r="AD97" s="667" t="s">
        <v>293</v>
      </c>
      <c r="AE97" s="667" t="s">
        <v>293</v>
      </c>
      <c r="AF97" s="667" t="s">
        <v>293</v>
      </c>
    </row>
    <row r="98" spans="1:32" ht="12.75">
      <c r="A98" s="728" t="s">
        <v>688</v>
      </c>
      <c r="B98" s="667" t="s">
        <v>293</v>
      </c>
      <c r="C98" s="667" t="s">
        <v>293</v>
      </c>
      <c r="D98" s="667" t="s">
        <v>293</v>
      </c>
      <c r="E98" s="667" t="s">
        <v>293</v>
      </c>
      <c r="F98" s="667" t="s">
        <v>293</v>
      </c>
      <c r="G98" s="667" t="s">
        <v>293</v>
      </c>
      <c r="H98" s="667" t="s">
        <v>293</v>
      </c>
      <c r="I98" s="667" t="s">
        <v>293</v>
      </c>
      <c r="J98" s="667" t="s">
        <v>293</v>
      </c>
      <c r="K98" s="667" t="s">
        <v>293</v>
      </c>
      <c r="L98" s="667" t="s">
        <v>293</v>
      </c>
      <c r="M98" s="667" t="s">
        <v>293</v>
      </c>
      <c r="N98" s="667" t="s">
        <v>293</v>
      </c>
      <c r="O98" s="667" t="s">
        <v>293</v>
      </c>
      <c r="P98" s="667" t="s">
        <v>293</v>
      </c>
      <c r="Q98" s="667" t="s">
        <v>293</v>
      </c>
      <c r="R98" s="667" t="s">
        <v>293</v>
      </c>
      <c r="S98" s="667" t="s">
        <v>293</v>
      </c>
      <c r="T98" s="667" t="s">
        <v>293</v>
      </c>
      <c r="U98" s="667" t="s">
        <v>293</v>
      </c>
      <c r="V98" s="667" t="s">
        <v>293</v>
      </c>
      <c r="W98" s="667" t="s">
        <v>293</v>
      </c>
      <c r="X98" s="667" t="s">
        <v>293</v>
      </c>
      <c r="Y98" s="662">
        <v>-7.5</v>
      </c>
      <c r="Z98" s="667" t="s">
        <v>293</v>
      </c>
      <c r="AA98" s="667" t="s">
        <v>293</v>
      </c>
      <c r="AB98" s="667" t="s">
        <v>293</v>
      </c>
      <c r="AC98" s="667" t="s">
        <v>293</v>
      </c>
      <c r="AD98" s="667" t="s">
        <v>293</v>
      </c>
      <c r="AE98" s="667" t="s">
        <v>293</v>
      </c>
      <c r="AF98" s="667" t="s">
        <v>293</v>
      </c>
    </row>
    <row r="99" spans="1:32" ht="12.75">
      <c r="A99" s="785" t="s">
        <v>689</v>
      </c>
      <c r="B99" s="667" t="s">
        <v>293</v>
      </c>
      <c r="C99" s="667" t="s">
        <v>293</v>
      </c>
      <c r="D99" s="667" t="s">
        <v>293</v>
      </c>
      <c r="E99" s="667" t="s">
        <v>293</v>
      </c>
      <c r="F99" s="667" t="s">
        <v>293</v>
      </c>
      <c r="G99" s="667" t="s">
        <v>293</v>
      </c>
      <c r="H99" s="667" t="s">
        <v>293</v>
      </c>
      <c r="I99" s="667" t="s">
        <v>293</v>
      </c>
      <c r="J99" s="667" t="s">
        <v>293</v>
      </c>
      <c r="K99" s="667" t="s">
        <v>293</v>
      </c>
      <c r="L99" s="667" t="s">
        <v>293</v>
      </c>
      <c r="M99" s="667" t="s">
        <v>293</v>
      </c>
      <c r="N99" s="667" t="s">
        <v>293</v>
      </c>
      <c r="O99" s="667" t="s">
        <v>293</v>
      </c>
      <c r="P99" s="667" t="s">
        <v>293</v>
      </c>
      <c r="Q99" s="667" t="s">
        <v>293</v>
      </c>
      <c r="R99" s="667" t="s">
        <v>293</v>
      </c>
      <c r="S99" s="667" t="s">
        <v>293</v>
      </c>
      <c r="T99" s="667" t="s">
        <v>293</v>
      </c>
      <c r="U99" s="667" t="s">
        <v>293</v>
      </c>
      <c r="V99" s="667" t="s">
        <v>293</v>
      </c>
      <c r="W99" s="667" t="s">
        <v>293</v>
      </c>
      <c r="X99" s="667" t="s">
        <v>293</v>
      </c>
      <c r="Y99" s="662">
        <v>0.5</v>
      </c>
      <c r="Z99" s="667" t="s">
        <v>293</v>
      </c>
      <c r="AA99" s="667" t="s">
        <v>293</v>
      </c>
      <c r="AB99" s="667" t="s">
        <v>293</v>
      </c>
      <c r="AC99" s="667" t="s">
        <v>293</v>
      </c>
      <c r="AD99" s="667" t="s">
        <v>293</v>
      </c>
      <c r="AE99" s="667" t="s">
        <v>293</v>
      </c>
      <c r="AF99" s="667" t="s">
        <v>293</v>
      </c>
    </row>
    <row r="100" spans="1:32" ht="114.75">
      <c r="A100" s="722" t="s">
        <v>635</v>
      </c>
      <c r="B100" s="773"/>
      <c r="C100" s="773"/>
      <c r="D100" s="773"/>
      <c r="E100" s="773"/>
      <c r="F100" s="773" t="s">
        <v>800</v>
      </c>
      <c r="G100" s="773" t="s">
        <v>808</v>
      </c>
      <c r="H100" s="724" t="s">
        <v>807</v>
      </c>
      <c r="I100" s="724" t="s">
        <v>806</v>
      </c>
      <c r="J100" s="724" t="s">
        <v>805</v>
      </c>
      <c r="K100" s="724" t="s">
        <v>804</v>
      </c>
      <c r="L100" s="773"/>
      <c r="M100" s="773"/>
      <c r="N100" s="784" t="s">
        <v>693</v>
      </c>
      <c r="O100" s="773"/>
      <c r="P100" s="773"/>
      <c r="Q100" s="773"/>
      <c r="R100" s="773"/>
      <c r="S100" s="773" t="s">
        <v>803</v>
      </c>
      <c r="T100" s="773"/>
      <c r="U100" s="773" t="s">
        <v>802</v>
      </c>
      <c r="V100" s="773"/>
      <c r="W100" s="773" t="s">
        <v>696</v>
      </c>
      <c r="X100" s="774" t="s">
        <v>695</v>
      </c>
      <c r="Y100" s="724"/>
      <c r="Z100" s="773"/>
      <c r="AA100" s="773" t="s">
        <v>800</v>
      </c>
      <c r="AB100" s="773" t="s">
        <v>801</v>
      </c>
      <c r="AC100" s="783"/>
      <c r="AD100" s="773" t="s">
        <v>694</v>
      </c>
      <c r="AE100" s="773" t="s">
        <v>800</v>
      </c>
      <c r="AF100" s="773" t="s">
        <v>799</v>
      </c>
    </row>
    <row r="101" spans="1:32" ht="49.5" customHeight="1">
      <c r="A101" s="727"/>
      <c r="B101" s="661"/>
      <c r="C101" s="663"/>
      <c r="D101" s="661"/>
      <c r="E101" s="661"/>
      <c r="F101" s="661"/>
      <c r="G101" s="661"/>
      <c r="H101" s="711"/>
      <c r="I101" s="711"/>
      <c r="J101" s="711"/>
      <c r="K101" s="711"/>
      <c r="L101" s="751"/>
      <c r="M101" s="661"/>
      <c r="N101" s="661"/>
      <c r="O101" s="663"/>
      <c r="P101" s="663"/>
      <c r="Q101" s="663"/>
      <c r="R101" s="661"/>
      <c r="S101" s="661"/>
      <c r="T101" s="661"/>
      <c r="U101" s="725"/>
      <c r="V101" s="661"/>
      <c r="W101" s="725"/>
      <c r="X101" s="663"/>
      <c r="Y101" s="711"/>
      <c r="Z101" s="663"/>
      <c r="AA101" s="661"/>
      <c r="AB101" s="661"/>
      <c r="AC101" s="728"/>
      <c r="AD101" s="663"/>
      <c r="AE101" s="663"/>
      <c r="AF101" s="663"/>
    </row>
    <row r="102" spans="1:32" ht="36" customHeight="1">
      <c r="A102" s="729"/>
      <c r="B102" s="661"/>
      <c r="C102" s="663"/>
      <c r="D102" s="661"/>
      <c r="E102" s="661"/>
      <c r="F102" s="661"/>
      <c r="G102" s="661"/>
      <c r="H102" s="711"/>
      <c r="I102" s="711"/>
      <c r="J102" s="711"/>
      <c r="K102" s="711"/>
      <c r="L102" s="752"/>
      <c r="M102" s="661"/>
      <c r="N102" s="661"/>
      <c r="O102" s="663"/>
      <c r="P102" s="663"/>
      <c r="Q102" s="663"/>
      <c r="R102" s="661"/>
      <c r="S102" s="661"/>
      <c r="T102" s="661"/>
      <c r="U102" s="661"/>
      <c r="V102" s="661"/>
      <c r="W102" s="661"/>
      <c r="X102" s="663"/>
      <c r="Y102" s="711"/>
      <c r="Z102" s="663"/>
      <c r="AA102" s="661"/>
      <c r="AB102" s="661"/>
      <c r="AC102" s="728"/>
      <c r="AD102" s="663"/>
      <c r="AE102" s="663"/>
      <c r="AF102" s="663"/>
    </row>
    <row r="103" spans="1:32" ht="53.25" customHeight="1">
      <c r="A103" s="682"/>
      <c r="B103" s="661"/>
      <c r="C103" s="663"/>
      <c r="D103" s="661"/>
      <c r="E103" s="661"/>
      <c r="F103" s="661"/>
      <c r="G103" s="661"/>
      <c r="H103" s="711"/>
      <c r="I103" s="711"/>
      <c r="J103" s="711"/>
      <c r="K103" s="711"/>
      <c r="L103" s="751"/>
      <c r="M103" s="661"/>
      <c r="N103" s="661"/>
      <c r="O103" s="663"/>
      <c r="P103" s="663"/>
      <c r="Q103" s="663"/>
      <c r="R103" s="661"/>
      <c r="S103" s="661"/>
      <c r="T103" s="661"/>
      <c r="U103" s="661"/>
      <c r="V103" s="661"/>
      <c r="W103" s="661"/>
      <c r="X103" s="663"/>
      <c r="Y103" s="711"/>
      <c r="Z103" s="663"/>
      <c r="AA103" s="661"/>
      <c r="AB103" s="661"/>
      <c r="AC103" s="728"/>
      <c r="AD103" s="663"/>
      <c r="AE103" s="663"/>
      <c r="AF103" s="663"/>
    </row>
    <row r="104" spans="1:32" ht="67.5" customHeight="1">
      <c r="A104" s="730"/>
      <c r="B104" s="661"/>
      <c r="C104" s="663"/>
      <c r="D104" s="661"/>
      <c r="E104" s="661"/>
      <c r="F104" s="661"/>
      <c r="G104" s="661"/>
      <c r="H104" s="711"/>
      <c r="I104" s="711"/>
      <c r="J104" s="711"/>
      <c r="K104" s="711"/>
      <c r="L104" s="663"/>
      <c r="M104" s="661"/>
      <c r="N104" s="661"/>
      <c r="O104" s="663"/>
      <c r="P104" s="663"/>
      <c r="Q104" s="663"/>
      <c r="R104" s="661"/>
      <c r="S104" s="661"/>
      <c r="T104" s="661"/>
      <c r="U104" s="661"/>
      <c r="V104" s="661"/>
      <c r="W104" s="661"/>
      <c r="X104" s="663"/>
      <c r="Y104" s="711"/>
      <c r="Z104" s="663"/>
      <c r="AA104" s="661"/>
      <c r="AB104" s="661"/>
      <c r="AC104" s="728"/>
      <c r="AD104" s="663"/>
      <c r="AE104" s="663"/>
      <c r="AF104" s="663"/>
    </row>
    <row r="105" spans="1:32" ht="15" customHeight="1">
      <c r="A105" s="661"/>
      <c r="B105" s="661"/>
      <c r="C105" s="663"/>
      <c r="D105" s="661"/>
      <c r="E105" s="661"/>
      <c r="F105" s="661"/>
      <c r="G105" s="661"/>
      <c r="H105" s="711"/>
      <c r="I105" s="711"/>
      <c r="J105" s="711"/>
      <c r="K105" s="711"/>
      <c r="L105" s="663"/>
      <c r="M105" s="661"/>
      <c r="N105" s="661"/>
      <c r="O105" s="663"/>
      <c r="P105" s="663"/>
      <c r="Q105" s="663"/>
      <c r="R105" s="661"/>
      <c r="S105" s="661"/>
      <c r="T105" s="661"/>
      <c r="U105" s="661"/>
      <c r="V105" s="661"/>
      <c r="W105" s="661"/>
      <c r="X105" s="663"/>
      <c r="Y105" s="711"/>
      <c r="Z105" s="663"/>
      <c r="AA105" s="661"/>
      <c r="AB105" s="661"/>
      <c r="AC105" s="728"/>
      <c r="AD105" s="663"/>
      <c r="AE105" s="663"/>
      <c r="AF105" s="663"/>
    </row>
    <row r="106" spans="1:32" ht="12.75">
      <c r="A106" s="661"/>
      <c r="B106" s="661"/>
      <c r="C106" s="663"/>
      <c r="D106" s="661"/>
      <c r="E106" s="661"/>
      <c r="F106" s="661"/>
      <c r="G106" s="661"/>
      <c r="H106" s="711"/>
      <c r="I106" s="711"/>
      <c r="J106" s="711"/>
      <c r="K106" s="711"/>
      <c r="L106" s="663"/>
      <c r="M106" s="661"/>
      <c r="N106" s="661"/>
      <c r="O106" s="663"/>
      <c r="P106" s="663"/>
      <c r="Q106" s="663"/>
      <c r="R106" s="661"/>
      <c r="S106" s="661"/>
      <c r="T106" s="661"/>
      <c r="U106" s="661"/>
      <c r="V106" s="661"/>
      <c r="W106" s="661"/>
      <c r="X106" s="663"/>
      <c r="Y106" s="711"/>
      <c r="Z106" s="663"/>
      <c r="AA106" s="661"/>
      <c r="AB106" s="661"/>
      <c r="AC106" s="728"/>
      <c r="AD106" s="663"/>
      <c r="AE106" s="663"/>
      <c r="AF106" s="663"/>
    </row>
    <row r="107" spans="1:32" ht="12.75">
      <c r="A107" s="661"/>
      <c r="B107" s="661"/>
      <c r="C107" s="663"/>
      <c r="D107" s="661"/>
      <c r="E107" s="661"/>
      <c r="F107" s="661"/>
      <c r="G107" s="661"/>
      <c r="H107" s="711"/>
      <c r="I107" s="711"/>
      <c r="J107" s="711"/>
      <c r="K107" s="711"/>
      <c r="L107" s="663"/>
      <c r="M107" s="661"/>
      <c r="N107" s="661"/>
      <c r="O107" s="663"/>
      <c r="P107" s="663"/>
      <c r="Q107" s="663"/>
      <c r="R107" s="661"/>
      <c r="S107" s="661"/>
      <c r="T107" s="661"/>
      <c r="U107" s="661"/>
      <c r="V107" s="661"/>
      <c r="W107" s="661"/>
      <c r="X107" s="663"/>
      <c r="Y107" s="711"/>
      <c r="Z107" s="663"/>
      <c r="AA107" s="661"/>
      <c r="AB107" s="661"/>
      <c r="AC107" s="728"/>
      <c r="AD107" s="663"/>
      <c r="AE107" s="663"/>
      <c r="AF107" s="663"/>
    </row>
    <row r="108" spans="1:32" ht="12.75">
      <c r="A108" s="661"/>
      <c r="B108" s="661"/>
      <c r="C108" s="663"/>
      <c r="D108" s="661"/>
      <c r="E108" s="661"/>
      <c r="F108" s="661"/>
      <c r="G108" s="661"/>
      <c r="H108" s="711"/>
      <c r="I108" s="711"/>
      <c r="J108" s="711"/>
      <c r="K108" s="711"/>
      <c r="L108" s="663"/>
      <c r="M108" s="661"/>
      <c r="N108" s="661"/>
      <c r="O108" s="663"/>
      <c r="P108" s="663"/>
      <c r="Q108" s="663"/>
      <c r="R108" s="661"/>
      <c r="S108" s="661"/>
      <c r="T108" s="661"/>
      <c r="U108" s="661"/>
      <c r="V108" s="661"/>
      <c r="W108" s="661"/>
      <c r="X108" s="663"/>
      <c r="Y108" s="711"/>
      <c r="Z108" s="663"/>
      <c r="AA108" s="661"/>
      <c r="AB108" s="661"/>
      <c r="AC108" s="728"/>
      <c r="AD108" s="663"/>
      <c r="AE108" s="663"/>
      <c r="AF108" s="663"/>
    </row>
    <row r="109" spans="1:32" ht="12.75">
      <c r="A109" s="661"/>
      <c r="B109" s="661"/>
      <c r="C109" s="663"/>
      <c r="D109" s="661"/>
      <c r="E109" s="661"/>
      <c r="F109" s="661"/>
      <c r="G109" s="661"/>
      <c r="H109" s="711"/>
      <c r="I109" s="711"/>
      <c r="J109" s="711"/>
      <c r="K109" s="711"/>
      <c r="L109" s="663"/>
      <c r="M109" s="661"/>
      <c r="N109" s="661"/>
      <c r="O109" s="663"/>
      <c r="P109" s="663"/>
      <c r="Q109" s="663"/>
      <c r="R109" s="661"/>
      <c r="S109" s="661"/>
      <c r="T109" s="661"/>
      <c r="U109" s="661"/>
      <c r="V109" s="661"/>
      <c r="W109" s="661"/>
      <c r="X109" s="663"/>
      <c r="Y109" s="711"/>
      <c r="Z109" s="663"/>
      <c r="AA109" s="661"/>
      <c r="AB109" s="661"/>
      <c r="AC109" s="728"/>
      <c r="AD109" s="663"/>
      <c r="AE109" s="663"/>
      <c r="AF109" s="663"/>
    </row>
    <row r="110" spans="1:32" ht="12.75">
      <c r="A110" s="661"/>
      <c r="B110" s="661"/>
      <c r="C110" s="663"/>
      <c r="D110" s="661"/>
      <c r="E110" s="661"/>
      <c r="F110" s="661"/>
      <c r="G110" s="661"/>
      <c r="H110" s="711"/>
      <c r="I110" s="711"/>
      <c r="J110" s="711"/>
      <c r="K110" s="711"/>
      <c r="L110" s="663"/>
      <c r="M110" s="661"/>
      <c r="N110" s="661"/>
      <c r="O110" s="663"/>
      <c r="P110" s="663"/>
      <c r="Q110" s="663"/>
      <c r="R110" s="661"/>
      <c r="S110" s="661"/>
      <c r="T110" s="661"/>
      <c r="U110" s="661"/>
      <c r="V110" s="661"/>
      <c r="W110" s="661"/>
      <c r="X110" s="663"/>
      <c r="Y110" s="711"/>
      <c r="Z110" s="663"/>
      <c r="AA110" s="661"/>
      <c r="AB110" s="661"/>
      <c r="AC110" s="728"/>
      <c r="AD110" s="663"/>
      <c r="AE110" s="663"/>
      <c r="AF110" s="663"/>
    </row>
  </sheetData>
  <conditionalFormatting sqref="A1:AF1 A3:AF7 A9:AF19 A21:AF29 A31:AF75 A77:AF110">
    <cfRule type="expression" dxfId="64" priority="1">
      <formula>ISODD(COLUMN())</formula>
    </cfRule>
    <cfRule type="expression" dxfId="63" priority="2">
      <formula>ISEVEN(COLUMN())</formula>
    </cfRule>
  </conditionalFormatting>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68A51-C022-425A-9FA8-F66901D048B5}">
  <sheetPr>
    <tabColor rgb="FF980000"/>
    <outlinePr summaryBelow="0" summaryRight="0"/>
  </sheetPr>
  <dimension ref="A1:R113"/>
  <sheetViews>
    <sheetView zoomScale="60" zoomScaleNormal="60"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0.42578125" customWidth="1"/>
    <col min="2" max="18" width="16.7109375" customWidth="1"/>
  </cols>
  <sheetData>
    <row r="1" spans="1:18" ht="35.25" customHeight="1">
      <c r="A1" s="651" t="s">
        <v>551</v>
      </c>
      <c r="B1" s="653" t="s">
        <v>384</v>
      </c>
      <c r="C1" s="652" t="s">
        <v>863</v>
      </c>
      <c r="D1" s="652" t="s">
        <v>862</v>
      </c>
      <c r="E1" s="653" t="s">
        <v>861</v>
      </c>
      <c r="F1" s="653" t="s">
        <v>860</v>
      </c>
      <c r="G1" s="653" t="s">
        <v>859</v>
      </c>
      <c r="H1" s="653" t="s">
        <v>858</v>
      </c>
      <c r="I1" s="653" t="s">
        <v>857</v>
      </c>
      <c r="J1" s="653" t="s">
        <v>856</v>
      </c>
      <c r="K1" s="653" t="s">
        <v>381</v>
      </c>
      <c r="L1" s="653" t="s">
        <v>720</v>
      </c>
      <c r="M1" s="653" t="s">
        <v>718</v>
      </c>
      <c r="N1" s="653" t="s">
        <v>379</v>
      </c>
      <c r="O1" s="653" t="s">
        <v>855</v>
      </c>
      <c r="P1" s="653" t="s">
        <v>854</v>
      </c>
      <c r="Q1" s="653" t="s">
        <v>719</v>
      </c>
      <c r="R1" s="653" t="s">
        <v>721</v>
      </c>
    </row>
    <row r="2" spans="1:18" ht="151.5" customHeight="1">
      <c r="A2" s="656" t="s">
        <v>562</v>
      </c>
      <c r="B2" s="659"/>
      <c r="C2" s="657"/>
      <c r="D2" s="657"/>
      <c r="E2" s="657"/>
      <c r="F2" s="732"/>
      <c r="G2" s="732"/>
      <c r="H2" s="732"/>
      <c r="I2" s="659"/>
      <c r="J2" s="657"/>
      <c r="K2" s="659"/>
      <c r="L2" s="659"/>
      <c r="M2" s="732"/>
      <c r="N2" s="732"/>
      <c r="O2" s="732"/>
      <c r="P2" s="732"/>
      <c r="Q2" s="659"/>
      <c r="R2" s="659"/>
    </row>
    <row r="3" spans="1:18" ht="12.75">
      <c r="A3" s="661" t="s">
        <v>563</v>
      </c>
      <c r="B3" s="662">
        <v>222</v>
      </c>
      <c r="C3" s="661">
        <v>443.613</v>
      </c>
      <c r="D3" s="661">
        <v>443.613</v>
      </c>
      <c r="E3" s="662">
        <v>463</v>
      </c>
      <c r="F3" s="662">
        <v>147.87</v>
      </c>
      <c r="G3" s="662">
        <v>147.87</v>
      </c>
      <c r="H3" s="662">
        <v>157</v>
      </c>
      <c r="I3" s="662">
        <v>118</v>
      </c>
      <c r="J3" s="662">
        <v>637.29729999999995</v>
      </c>
      <c r="K3" s="662">
        <v>112</v>
      </c>
      <c r="L3" s="662">
        <v>198</v>
      </c>
      <c r="M3" s="662">
        <v>177</v>
      </c>
      <c r="N3" s="662">
        <v>190</v>
      </c>
      <c r="O3" s="662">
        <v>120</v>
      </c>
      <c r="P3" s="662">
        <v>147.87</v>
      </c>
      <c r="Q3" s="662">
        <v>177</v>
      </c>
      <c r="R3" s="662">
        <v>198</v>
      </c>
    </row>
    <row r="4" spans="1:18" ht="12.75">
      <c r="A4" s="661" t="s">
        <v>564</v>
      </c>
      <c r="B4" s="662">
        <v>175</v>
      </c>
      <c r="C4" s="704">
        <v>273.06299999999999</v>
      </c>
      <c r="D4" s="704">
        <v>273.06299999999999</v>
      </c>
      <c r="E4" s="662">
        <v>293</v>
      </c>
      <c r="F4" s="662">
        <v>131.75</v>
      </c>
      <c r="G4" s="662">
        <v>131.75</v>
      </c>
      <c r="H4" s="662">
        <v>105.7441</v>
      </c>
      <c r="I4" s="662">
        <v>92.94</v>
      </c>
      <c r="J4" s="662">
        <v>455.29730000000001</v>
      </c>
      <c r="K4" s="662">
        <v>88.3</v>
      </c>
      <c r="L4" s="662">
        <v>160</v>
      </c>
      <c r="M4" s="662">
        <v>117</v>
      </c>
      <c r="N4" s="662">
        <v>160</v>
      </c>
      <c r="O4" s="662">
        <v>94.94</v>
      </c>
      <c r="P4" s="662">
        <v>131.75</v>
      </c>
      <c r="Q4" s="662">
        <v>117</v>
      </c>
      <c r="R4" s="662">
        <v>160</v>
      </c>
    </row>
    <row r="5" spans="1:18" ht="12.75">
      <c r="A5" s="661" t="s">
        <v>565</v>
      </c>
      <c r="B5" s="662">
        <v>155</v>
      </c>
      <c r="C5" s="667" t="s">
        <v>293</v>
      </c>
      <c r="D5" s="667" t="s">
        <v>293</v>
      </c>
      <c r="E5" s="668" t="s">
        <v>293</v>
      </c>
      <c r="F5" s="662">
        <v>101.33</v>
      </c>
      <c r="G5" s="662">
        <v>101.33</v>
      </c>
      <c r="H5" s="668" t="s">
        <v>293</v>
      </c>
      <c r="I5" s="662">
        <v>74.75</v>
      </c>
      <c r="J5" s="662">
        <v>342.29730000000001</v>
      </c>
      <c r="K5" s="662">
        <v>70.099999999999994</v>
      </c>
      <c r="L5" s="662">
        <v>132</v>
      </c>
      <c r="M5" s="668" t="s">
        <v>293</v>
      </c>
      <c r="N5" s="662">
        <v>120</v>
      </c>
      <c r="O5" s="662">
        <v>76.75</v>
      </c>
      <c r="P5" s="662">
        <v>101.33</v>
      </c>
      <c r="Q5" s="668" t="s">
        <v>293</v>
      </c>
      <c r="R5" s="662">
        <v>132</v>
      </c>
    </row>
    <row r="6" spans="1:18" ht="12.75">
      <c r="A6" s="661" t="s">
        <v>566</v>
      </c>
      <c r="B6" s="662">
        <v>203</v>
      </c>
      <c r="C6" s="661">
        <v>380</v>
      </c>
      <c r="D6" s="661">
        <v>380</v>
      </c>
      <c r="E6" s="662">
        <v>380</v>
      </c>
      <c r="F6" s="662">
        <v>177.8</v>
      </c>
      <c r="G6" s="662">
        <v>177.8</v>
      </c>
      <c r="H6" s="662">
        <v>177.8</v>
      </c>
      <c r="I6" s="662">
        <v>160</v>
      </c>
      <c r="J6" s="662">
        <v>370</v>
      </c>
      <c r="K6" s="662">
        <v>165</v>
      </c>
      <c r="L6" s="662">
        <v>203</v>
      </c>
      <c r="M6" s="662">
        <v>200</v>
      </c>
      <c r="N6" s="662">
        <v>200</v>
      </c>
      <c r="O6" s="662">
        <v>160</v>
      </c>
      <c r="P6" s="662">
        <v>177.8</v>
      </c>
      <c r="Q6" s="662">
        <v>200</v>
      </c>
      <c r="R6" s="662">
        <v>203</v>
      </c>
    </row>
    <row r="7" spans="1:18" ht="12.75">
      <c r="A7" s="661" t="s">
        <v>567</v>
      </c>
      <c r="B7" s="662">
        <v>3.6669999999999998</v>
      </c>
      <c r="C7" s="661">
        <v>3.96</v>
      </c>
      <c r="D7" s="661">
        <v>3.96</v>
      </c>
      <c r="E7" s="662">
        <v>3.96</v>
      </c>
      <c r="F7" s="662">
        <v>3.66</v>
      </c>
      <c r="G7" s="662">
        <v>3.66</v>
      </c>
      <c r="H7" s="662">
        <v>3.66</v>
      </c>
      <c r="I7" s="662">
        <v>3.62</v>
      </c>
      <c r="J7" s="662">
        <v>4.25</v>
      </c>
      <c r="K7" s="662">
        <v>3.1</v>
      </c>
      <c r="L7" s="662">
        <v>3.93</v>
      </c>
      <c r="M7" s="662">
        <v>3.6</v>
      </c>
      <c r="N7" s="662">
        <v>3.71</v>
      </c>
      <c r="O7" s="662">
        <v>3.62</v>
      </c>
      <c r="P7" s="662">
        <v>3.66</v>
      </c>
      <c r="Q7" s="662">
        <v>3.6</v>
      </c>
      <c r="R7" s="662">
        <v>3.93</v>
      </c>
    </row>
    <row r="8" spans="1:18" ht="20.25" customHeight="1">
      <c r="A8" s="671" t="s">
        <v>568</v>
      </c>
      <c r="B8" s="673"/>
      <c r="C8" s="672"/>
      <c r="D8" s="672"/>
      <c r="E8" s="673"/>
      <c r="F8" s="673"/>
      <c r="G8" s="673"/>
      <c r="H8" s="673"/>
      <c r="I8" s="673"/>
      <c r="J8" s="673"/>
      <c r="K8" s="673"/>
      <c r="L8" s="673"/>
      <c r="M8" s="673"/>
      <c r="N8" s="673"/>
      <c r="O8" s="673"/>
      <c r="P8" s="673"/>
      <c r="Q8" s="673"/>
      <c r="R8" s="673"/>
    </row>
    <row r="9" spans="1:18" ht="12.75">
      <c r="A9" s="661" t="s">
        <v>569</v>
      </c>
      <c r="B9" s="662">
        <v>36800</v>
      </c>
      <c r="C9" s="661">
        <v>14350</v>
      </c>
      <c r="D9" s="661">
        <v>14350</v>
      </c>
      <c r="E9" s="662">
        <v>14350</v>
      </c>
      <c r="F9" s="662">
        <v>22300</v>
      </c>
      <c r="G9" s="662">
        <v>22300</v>
      </c>
      <c r="H9" s="662">
        <v>15542</v>
      </c>
      <c r="I9" s="662">
        <v>21500</v>
      </c>
      <c r="J9" s="662">
        <v>83900</v>
      </c>
      <c r="K9" s="662">
        <v>20250</v>
      </c>
      <c r="L9" s="662">
        <v>34960</v>
      </c>
      <c r="M9" s="662">
        <v>23000</v>
      </c>
      <c r="N9" s="662">
        <v>34500</v>
      </c>
      <c r="O9" s="662">
        <v>21500</v>
      </c>
      <c r="P9" s="662">
        <v>22300</v>
      </c>
      <c r="Q9" s="662">
        <v>23000</v>
      </c>
      <c r="R9" s="662">
        <v>34960</v>
      </c>
    </row>
    <row r="10" spans="1:18" ht="16.5" customHeight="1">
      <c r="A10" s="661" t="s">
        <v>570</v>
      </c>
      <c r="B10" s="662">
        <v>3</v>
      </c>
      <c r="C10" s="661">
        <v>30</v>
      </c>
      <c r="D10" s="661">
        <v>30</v>
      </c>
      <c r="E10" s="662">
        <v>30</v>
      </c>
      <c r="F10" s="662">
        <v>1.7</v>
      </c>
      <c r="G10" s="662">
        <v>1.7</v>
      </c>
      <c r="H10" s="662">
        <v>7.75</v>
      </c>
      <c r="I10" s="662">
        <v>2.74</v>
      </c>
      <c r="J10" s="662">
        <v>5</v>
      </c>
      <c r="K10" s="662">
        <v>2.75</v>
      </c>
      <c r="L10" s="662">
        <v>2.5</v>
      </c>
      <c r="M10" s="662">
        <v>6</v>
      </c>
      <c r="N10" s="662">
        <v>2</v>
      </c>
      <c r="O10" s="662">
        <v>2.74</v>
      </c>
      <c r="P10" s="662">
        <v>1.7</v>
      </c>
      <c r="Q10" s="662">
        <v>6</v>
      </c>
      <c r="R10" s="662">
        <v>2.5</v>
      </c>
    </row>
    <row r="11" spans="1:18" ht="12.75">
      <c r="A11" s="661" t="str">
        <f>"Raw acceleration at ignition: [m/s"&amp;CHAR(178)&amp;"]"</f>
        <v>Raw acceleration at ignition: [m/s²]</v>
      </c>
      <c r="B11" s="676">
        <f t="shared" ref="B11:R11" si="0">B9/B3</f>
        <v>165.76576576576576</v>
      </c>
      <c r="C11" s="675">
        <f t="shared" si="0"/>
        <v>32.348015049153204</v>
      </c>
      <c r="D11" s="675">
        <f t="shared" si="0"/>
        <v>32.348015049153204</v>
      </c>
      <c r="E11" s="676">
        <f t="shared" si="0"/>
        <v>30.99352051835853</v>
      </c>
      <c r="F11" s="676">
        <f t="shared" si="0"/>
        <v>150.80814228714411</v>
      </c>
      <c r="G11" s="676">
        <f t="shared" si="0"/>
        <v>150.80814228714411</v>
      </c>
      <c r="H11" s="676">
        <f t="shared" si="0"/>
        <v>98.99363057324841</v>
      </c>
      <c r="I11" s="676">
        <f t="shared" si="0"/>
        <v>182.20338983050848</v>
      </c>
      <c r="J11" s="676">
        <f t="shared" si="0"/>
        <v>131.6497025799419</v>
      </c>
      <c r="K11" s="676">
        <f t="shared" si="0"/>
        <v>180.80357142857142</v>
      </c>
      <c r="L11" s="676">
        <f t="shared" si="0"/>
        <v>176.56565656565655</v>
      </c>
      <c r="M11" s="676">
        <f t="shared" si="0"/>
        <v>129.94350282485877</v>
      </c>
      <c r="N11" s="676">
        <f t="shared" si="0"/>
        <v>181.57894736842104</v>
      </c>
      <c r="O11" s="676">
        <f t="shared" si="0"/>
        <v>179.16666666666666</v>
      </c>
      <c r="P11" s="676">
        <f t="shared" si="0"/>
        <v>150.80814228714411</v>
      </c>
      <c r="Q11" s="676">
        <f t="shared" si="0"/>
        <v>129.94350282485877</v>
      </c>
      <c r="R11" s="676">
        <f t="shared" si="0"/>
        <v>176.56565656565655</v>
      </c>
    </row>
    <row r="12" spans="1:18" ht="12.75">
      <c r="A12" s="661" t="s">
        <v>571</v>
      </c>
      <c r="B12" s="676">
        <f t="shared" ref="B12:R12" si="1">B10*B9/(9.81*(B3-B4))</f>
        <v>239.44303468020038</v>
      </c>
      <c r="C12" s="678">
        <f t="shared" si="1"/>
        <v>257.30748782720411</v>
      </c>
      <c r="D12" s="678">
        <f t="shared" si="1"/>
        <v>257.30748782720411</v>
      </c>
      <c r="E12" s="676">
        <f t="shared" si="1"/>
        <v>258.13995322899802</v>
      </c>
      <c r="F12" s="676">
        <f t="shared" si="1"/>
        <v>239.72853952137754</v>
      </c>
      <c r="G12" s="676">
        <f t="shared" si="1"/>
        <v>239.72853952137754</v>
      </c>
      <c r="H12" s="676">
        <f t="shared" si="1"/>
        <v>239.54975778736286</v>
      </c>
      <c r="I12" s="676">
        <f t="shared" si="1"/>
        <v>239.62876456341681</v>
      </c>
      <c r="J12" s="676">
        <f t="shared" si="1"/>
        <v>234.95872119725337</v>
      </c>
      <c r="K12" s="676">
        <f t="shared" si="1"/>
        <v>239.51921960283354</v>
      </c>
      <c r="L12" s="676">
        <f t="shared" si="1"/>
        <v>234.45463812436287</v>
      </c>
      <c r="M12" s="676">
        <f t="shared" si="1"/>
        <v>234.45463812436287</v>
      </c>
      <c r="N12" s="676">
        <f t="shared" si="1"/>
        <v>234.45463812436287</v>
      </c>
      <c r="O12" s="676">
        <f t="shared" si="1"/>
        <v>239.62876456341681</v>
      </c>
      <c r="P12" s="676">
        <f t="shared" si="1"/>
        <v>239.72853952137754</v>
      </c>
      <c r="Q12" s="676">
        <f t="shared" si="1"/>
        <v>234.45463812436287</v>
      </c>
      <c r="R12" s="676">
        <f t="shared" si="1"/>
        <v>234.45463812436287</v>
      </c>
    </row>
    <row r="13" spans="1:18" ht="12.75">
      <c r="A13" s="661" t="s">
        <v>572</v>
      </c>
      <c r="B13" s="676">
        <f t="shared" ref="B13:R13" si="2">B12*9.81*LN(B3/B4)</f>
        <v>558.79173271369552</v>
      </c>
      <c r="C13" s="678">
        <f t="shared" si="2"/>
        <v>1224.8615354647673</v>
      </c>
      <c r="D13" s="678">
        <f t="shared" si="2"/>
        <v>1224.8615354647673</v>
      </c>
      <c r="E13" s="676">
        <f t="shared" si="2"/>
        <v>1158.6893447192724</v>
      </c>
      <c r="F13" s="676">
        <f t="shared" si="2"/>
        <v>271.45470072285178</v>
      </c>
      <c r="G13" s="676">
        <f t="shared" si="2"/>
        <v>271.45470072285178</v>
      </c>
      <c r="H13" s="676">
        <f t="shared" si="2"/>
        <v>928.76921537182454</v>
      </c>
      <c r="I13" s="676">
        <f t="shared" si="2"/>
        <v>561.19767767950236</v>
      </c>
      <c r="J13" s="676">
        <f t="shared" si="2"/>
        <v>775.11995413175191</v>
      </c>
      <c r="K13" s="676">
        <f t="shared" si="2"/>
        <v>558.65785454508318</v>
      </c>
      <c r="L13" s="676">
        <f t="shared" si="2"/>
        <v>490.11439555962926</v>
      </c>
      <c r="M13" s="676">
        <f t="shared" si="2"/>
        <v>952.14433488496798</v>
      </c>
      <c r="N13" s="676">
        <f t="shared" si="2"/>
        <v>395.25559093131625</v>
      </c>
      <c r="O13" s="676">
        <f t="shared" si="2"/>
        <v>550.65718089402515</v>
      </c>
      <c r="P13" s="676">
        <f t="shared" si="2"/>
        <v>271.45470072285178</v>
      </c>
      <c r="Q13" s="676">
        <f t="shared" si="2"/>
        <v>952.14433488496798</v>
      </c>
      <c r="R13" s="676">
        <f t="shared" si="2"/>
        <v>490.11439555962926</v>
      </c>
    </row>
    <row r="14" spans="1:18" ht="18" customHeight="1">
      <c r="A14" s="728" t="s">
        <v>573</v>
      </c>
      <c r="B14" s="662">
        <v>0</v>
      </c>
      <c r="C14" s="704">
        <v>0.5</v>
      </c>
      <c r="D14" s="704">
        <v>0.5</v>
      </c>
      <c r="E14" s="704">
        <v>0.5</v>
      </c>
      <c r="F14" s="662">
        <v>0</v>
      </c>
      <c r="G14" s="662">
        <v>0</v>
      </c>
      <c r="H14" s="662">
        <v>0</v>
      </c>
      <c r="I14" s="662">
        <v>0</v>
      </c>
      <c r="J14" s="662">
        <v>0.5</v>
      </c>
      <c r="K14" s="662">
        <v>0</v>
      </c>
      <c r="L14" s="662">
        <v>0</v>
      </c>
      <c r="M14" s="668" t="s">
        <v>293</v>
      </c>
      <c r="N14" s="662">
        <v>0</v>
      </c>
      <c r="O14" s="662">
        <v>0</v>
      </c>
      <c r="P14" s="662">
        <v>0</v>
      </c>
      <c r="Q14" s="668" t="s">
        <v>293</v>
      </c>
      <c r="R14" s="662">
        <v>0</v>
      </c>
    </row>
    <row r="15" spans="1:18" ht="16.5" customHeight="1">
      <c r="A15" s="682" t="s">
        <v>574</v>
      </c>
      <c r="B15" s="688">
        <v>10400</v>
      </c>
      <c r="C15" s="683" t="s">
        <v>293</v>
      </c>
      <c r="D15" s="683" t="s">
        <v>293</v>
      </c>
      <c r="E15" s="684" t="s">
        <v>293</v>
      </c>
      <c r="F15" s="676">
        <v>13485</v>
      </c>
      <c r="G15" s="676">
        <v>13485</v>
      </c>
      <c r="H15" s="668" t="s">
        <v>293</v>
      </c>
      <c r="I15" s="688">
        <v>11280</v>
      </c>
      <c r="J15" s="676">
        <v>12400</v>
      </c>
      <c r="K15" s="688">
        <v>10720</v>
      </c>
      <c r="L15" s="688">
        <v>12880</v>
      </c>
      <c r="M15" s="719" t="s">
        <v>293</v>
      </c>
      <c r="N15" s="688">
        <v>18400</v>
      </c>
      <c r="O15" s="688">
        <v>11280</v>
      </c>
      <c r="P15" s="676">
        <v>13485</v>
      </c>
      <c r="Q15" s="719" t="s">
        <v>293</v>
      </c>
      <c r="R15" s="688">
        <v>12880</v>
      </c>
    </row>
    <row r="16" spans="1:18" ht="18" customHeight="1">
      <c r="A16" s="682" t="s">
        <v>575</v>
      </c>
      <c r="B16" s="691">
        <v>4.5</v>
      </c>
      <c r="C16" s="683" t="s">
        <v>293</v>
      </c>
      <c r="D16" s="683" t="s">
        <v>293</v>
      </c>
      <c r="E16" s="684" t="s">
        <v>293</v>
      </c>
      <c r="F16" s="691">
        <v>5.3</v>
      </c>
      <c r="G16" s="691">
        <v>5.3</v>
      </c>
      <c r="H16" s="668" t="s">
        <v>293</v>
      </c>
      <c r="I16" s="676">
        <v>3.79</v>
      </c>
      <c r="J16" s="691">
        <v>21</v>
      </c>
      <c r="K16" s="688">
        <v>4</v>
      </c>
      <c r="L16" s="688">
        <v>5</v>
      </c>
      <c r="M16" s="668" t="s">
        <v>293</v>
      </c>
      <c r="N16" s="662">
        <v>5</v>
      </c>
      <c r="O16" s="676">
        <v>3.79</v>
      </c>
      <c r="P16" s="691">
        <v>5.3</v>
      </c>
      <c r="Q16" s="719" t="s">
        <v>293</v>
      </c>
      <c r="R16" s="688">
        <v>5</v>
      </c>
    </row>
    <row r="17" spans="1:18" ht="18" customHeight="1">
      <c r="A17" s="728" t="s">
        <v>576</v>
      </c>
      <c r="B17" s="676">
        <f>B16*B15/(9.81*(B4-B5))</f>
        <v>238.53211009174311</v>
      </c>
      <c r="C17" s="683" t="s">
        <v>293</v>
      </c>
      <c r="D17" s="683" t="s">
        <v>293</v>
      </c>
      <c r="E17" s="684" t="s">
        <v>293</v>
      </c>
      <c r="F17" s="676">
        <f>F16*F15/(9.81*(F4-F5))</f>
        <v>239.4961869203224</v>
      </c>
      <c r="G17" s="676">
        <f>G16*G15/(9.81*(G4-G5))</f>
        <v>239.4961869203224</v>
      </c>
      <c r="H17" s="668" t="s">
        <v>293</v>
      </c>
      <c r="I17" s="676">
        <f>I16*I15/(9.81*(I4-I5))</f>
        <v>239.57781689371282</v>
      </c>
      <c r="J17" s="676">
        <f>J16*J15/(9.81*(J4-J5))</f>
        <v>234.90568590836514</v>
      </c>
      <c r="K17" s="676">
        <f>K16*K15/(9.81*(K4-K5))</f>
        <v>240.16757961712085</v>
      </c>
      <c r="L17" s="676">
        <f>L16*L15/(9.81*(L4-L5))</f>
        <v>234.4546381243629</v>
      </c>
      <c r="M17" s="668" t="s">
        <v>293</v>
      </c>
      <c r="N17" s="662">
        <f>N16*N15/(9.81*(N4-N5))</f>
        <v>234.45463812436287</v>
      </c>
      <c r="O17" s="676">
        <f>O16*O15/(9.81*(O4-O5))</f>
        <v>239.57781689371282</v>
      </c>
      <c r="P17" s="676">
        <f>P16*P15/(9.81*(P4-P5))</f>
        <v>239.4961869203224</v>
      </c>
      <c r="Q17" s="684" t="s">
        <v>293</v>
      </c>
      <c r="R17" s="676">
        <f>R16*R15/(9.81*(R4-R5))</f>
        <v>234.4546381243629</v>
      </c>
    </row>
    <row r="18" spans="1:18" ht="18" customHeight="1">
      <c r="A18" s="728" t="s">
        <v>577</v>
      </c>
      <c r="B18" s="676">
        <f>B17*9.81*LN(B4/B5)</f>
        <v>283.98440538998602</v>
      </c>
      <c r="C18" s="683" t="s">
        <v>293</v>
      </c>
      <c r="D18" s="683" t="s">
        <v>293</v>
      </c>
      <c r="E18" s="684" t="s">
        <v>293</v>
      </c>
      <c r="F18" s="676">
        <f>F17*9.81*LN(F4/F5)</f>
        <v>616.78822991338575</v>
      </c>
      <c r="G18" s="676">
        <f>G17*9.81*LN(G4/G5)</f>
        <v>616.78822991338575</v>
      </c>
      <c r="H18" s="668" t="s">
        <v>293</v>
      </c>
      <c r="I18" s="676">
        <f>I17*9.81*LN(I4/I5)</f>
        <v>511.89781900201876</v>
      </c>
      <c r="J18" s="676">
        <f>J17*9.81*LN(J4/J5)</f>
        <v>657.38545616426597</v>
      </c>
      <c r="K18" s="676">
        <f>K17*9.81*LN(K4/K5)</f>
        <v>543.81573658541674</v>
      </c>
      <c r="L18" s="676">
        <f>L17*9.81*LN(L4/L5)</f>
        <v>442.45535308914901</v>
      </c>
      <c r="M18" s="668" t="s">
        <v>293</v>
      </c>
      <c r="N18" s="662">
        <f>N17*9.81*LN(N4/N5)</f>
        <v>661.66876663909591</v>
      </c>
      <c r="O18" s="676">
        <f>O17*9.81*LN(O4/O5)</f>
        <v>499.88051372238778</v>
      </c>
      <c r="P18" s="676">
        <f>P17*9.81*LN(P4/P5)</f>
        <v>616.78822991338575</v>
      </c>
      <c r="Q18" s="684" t="s">
        <v>293</v>
      </c>
      <c r="R18" s="676">
        <f>R17*9.81*LN(R4/R5)</f>
        <v>442.45535308914901</v>
      </c>
    </row>
    <row r="19" spans="1:18" ht="18" customHeight="1">
      <c r="A19" s="728" t="s">
        <v>578</v>
      </c>
      <c r="B19" s="676">
        <f t="shared" ref="B19:R19" si="3">IF(ISNUMBER(B18),B13+B18,B13)</f>
        <v>842.77613810368155</v>
      </c>
      <c r="C19" s="692">
        <f t="shared" si="3"/>
        <v>1224.8615354647673</v>
      </c>
      <c r="D19" s="692">
        <f t="shared" si="3"/>
        <v>1224.8615354647673</v>
      </c>
      <c r="E19" s="676">
        <f t="shared" si="3"/>
        <v>1158.6893447192724</v>
      </c>
      <c r="F19" s="676">
        <f t="shared" si="3"/>
        <v>888.24293063623759</v>
      </c>
      <c r="G19" s="676">
        <f t="shared" si="3"/>
        <v>888.24293063623759</v>
      </c>
      <c r="H19" s="676">
        <f t="shared" si="3"/>
        <v>928.76921537182454</v>
      </c>
      <c r="I19" s="676">
        <f t="shared" si="3"/>
        <v>1073.0954966815211</v>
      </c>
      <c r="J19" s="676">
        <f t="shared" si="3"/>
        <v>1432.505410296018</v>
      </c>
      <c r="K19" s="676">
        <f t="shared" si="3"/>
        <v>1102.4735911304999</v>
      </c>
      <c r="L19" s="676">
        <f t="shared" si="3"/>
        <v>932.56974864877827</v>
      </c>
      <c r="M19" s="676">
        <f t="shared" si="3"/>
        <v>952.14433488496798</v>
      </c>
      <c r="N19" s="676">
        <f t="shared" si="3"/>
        <v>1056.9243575704122</v>
      </c>
      <c r="O19" s="676">
        <f t="shared" si="3"/>
        <v>1050.5376946164129</v>
      </c>
      <c r="P19" s="676">
        <f t="shared" si="3"/>
        <v>888.24293063623759</v>
      </c>
      <c r="Q19" s="676">
        <f t="shared" si="3"/>
        <v>952.14433488496798</v>
      </c>
      <c r="R19" s="676">
        <f t="shared" si="3"/>
        <v>932.56974864877827</v>
      </c>
    </row>
    <row r="20" spans="1:18" ht="18">
      <c r="A20" s="695" t="s">
        <v>579</v>
      </c>
      <c r="B20" s="697"/>
      <c r="C20" s="696"/>
      <c r="D20" s="696"/>
      <c r="E20" s="697"/>
      <c r="F20" s="697"/>
      <c r="G20" s="697"/>
      <c r="H20" s="697"/>
      <c r="I20" s="697"/>
      <c r="J20" s="697"/>
      <c r="K20" s="697"/>
      <c r="L20" s="697"/>
      <c r="M20" s="697"/>
      <c r="N20" s="697"/>
      <c r="O20" s="697"/>
      <c r="P20" s="697"/>
      <c r="Q20" s="697"/>
      <c r="R20" s="697"/>
    </row>
    <row r="21" spans="1:18" ht="12.75">
      <c r="A21" s="661" t="s">
        <v>580</v>
      </c>
      <c r="B21" s="662">
        <f>1.28*12.64</f>
        <v>16.179200000000002</v>
      </c>
      <c r="C21" s="704">
        <f>1.28*47.3</f>
        <v>60.543999999999997</v>
      </c>
      <c r="D21" s="704">
        <f>1.28*47.3</f>
        <v>60.543999999999997</v>
      </c>
      <c r="E21" s="662">
        <f>1.28*42.6876</f>
        <v>54.640128000000004</v>
      </c>
      <c r="F21" s="662">
        <f>1.28*7.665711</f>
        <v>9.8121100800000001</v>
      </c>
      <c r="G21" s="662">
        <f>1.28*7.665711</f>
        <v>9.8121100800000001</v>
      </c>
      <c r="H21" s="662">
        <f>1.28*8.6183</f>
        <v>11.031423999999999</v>
      </c>
      <c r="I21" s="662">
        <f>1.6*5</f>
        <v>8</v>
      </c>
      <c r="J21" s="662">
        <f>1.28*
36.2874</f>
        <v>46.447871999999997</v>
      </c>
      <c r="K21" s="662">
        <f>1.28*3.7</f>
        <v>4.7360000000000007</v>
      </c>
      <c r="L21" s="662">
        <f>1.28*9.2</f>
        <v>11.776</v>
      </c>
      <c r="M21" s="662">
        <f>1.6*9.725</f>
        <v>15.56</v>
      </c>
      <c r="N21" s="662">
        <f>1.6*9.725</f>
        <v>15.56</v>
      </c>
      <c r="O21" s="662">
        <f>1.6*5</f>
        <v>8</v>
      </c>
      <c r="P21" s="662">
        <f>1.28*7.665711</f>
        <v>9.8121100800000001</v>
      </c>
      <c r="Q21" s="662">
        <f>1.6*9.725</f>
        <v>15.56</v>
      </c>
      <c r="R21" s="662">
        <f>1.28*9.2</f>
        <v>11.776</v>
      </c>
    </row>
    <row r="22" spans="1:18" ht="12.75">
      <c r="A22" s="775" t="s">
        <v>764</v>
      </c>
      <c r="B22" s="668" t="s">
        <v>763</v>
      </c>
      <c r="C22" s="668" t="s">
        <v>763</v>
      </c>
      <c r="D22" s="668" t="s">
        <v>763</v>
      </c>
      <c r="E22" s="668" t="s">
        <v>763</v>
      </c>
      <c r="F22" s="668" t="s">
        <v>763</v>
      </c>
      <c r="G22" s="668" t="s">
        <v>763</v>
      </c>
      <c r="H22" s="668" t="s">
        <v>763</v>
      </c>
      <c r="I22" s="668" t="s">
        <v>763</v>
      </c>
      <c r="J22" s="668" t="s">
        <v>763</v>
      </c>
      <c r="K22" s="668" t="s">
        <v>763</v>
      </c>
      <c r="L22" s="668" t="s">
        <v>763</v>
      </c>
      <c r="M22" s="668" t="s">
        <v>763</v>
      </c>
      <c r="N22" s="668" t="s">
        <v>763</v>
      </c>
      <c r="O22" s="668" t="s">
        <v>763</v>
      </c>
      <c r="P22" s="668" t="s">
        <v>763</v>
      </c>
      <c r="Q22" s="668" t="s">
        <v>763</v>
      </c>
      <c r="R22" s="668" t="s">
        <v>763</v>
      </c>
    </row>
    <row r="23" spans="1:18" ht="12.75">
      <c r="A23" s="776" t="s">
        <v>762</v>
      </c>
      <c r="B23" s="662">
        <v>63.739885714300001</v>
      </c>
      <c r="C23" s="704">
        <v>73.081599999999995</v>
      </c>
      <c r="D23" s="704">
        <v>73.081599999999995</v>
      </c>
      <c r="E23" s="662">
        <v>72.196019199999995</v>
      </c>
      <c r="F23" s="662">
        <v>61.812110079999997</v>
      </c>
      <c r="G23" s="662">
        <v>61.812110079999997</v>
      </c>
      <c r="H23" s="662">
        <v>63.004489142899999</v>
      </c>
      <c r="I23" s="662">
        <v>60</v>
      </c>
      <c r="J23" s="662">
        <v>70.967180799999994</v>
      </c>
      <c r="K23" s="662">
        <v>39.369999999999997</v>
      </c>
      <c r="L23" s="662">
        <v>63.110857142900002</v>
      </c>
      <c r="M23" s="662">
        <v>63.651428571399997</v>
      </c>
      <c r="N23" s="662">
        <v>63.651428571399997</v>
      </c>
      <c r="O23" s="662">
        <v>60</v>
      </c>
      <c r="P23" s="662">
        <v>61.812110079999997</v>
      </c>
      <c r="Q23" s="662">
        <v>63.651428571399997</v>
      </c>
      <c r="R23" s="662">
        <v>63.110857142900002</v>
      </c>
    </row>
    <row r="24" spans="1:18" ht="12.75">
      <c r="A24" s="661" t="s">
        <v>581</v>
      </c>
      <c r="B24" s="668" t="s">
        <v>328</v>
      </c>
      <c r="C24" s="667" t="s">
        <v>328</v>
      </c>
      <c r="D24" s="667" t="s">
        <v>328</v>
      </c>
      <c r="E24" s="668" t="s">
        <v>328</v>
      </c>
      <c r="F24" s="668" t="s">
        <v>328</v>
      </c>
      <c r="G24" s="668" t="s">
        <v>328</v>
      </c>
      <c r="H24" s="668" t="s">
        <v>328</v>
      </c>
      <c r="I24" s="668" t="s">
        <v>328</v>
      </c>
      <c r="J24" s="668" t="s">
        <v>328</v>
      </c>
      <c r="K24" s="668" t="s">
        <v>328</v>
      </c>
      <c r="L24" s="668" t="s">
        <v>328</v>
      </c>
      <c r="M24" s="668" t="s">
        <v>328</v>
      </c>
      <c r="N24" s="668" t="s">
        <v>328</v>
      </c>
      <c r="O24" s="668" t="s">
        <v>328</v>
      </c>
      <c r="P24" s="668" t="s">
        <v>328</v>
      </c>
      <c r="Q24" s="668" t="s">
        <v>328</v>
      </c>
      <c r="R24" s="668" t="s">
        <v>328</v>
      </c>
    </row>
    <row r="25" spans="1:18" ht="12.75">
      <c r="A25" s="661" t="s">
        <v>582</v>
      </c>
      <c r="B25" s="662">
        <v>12</v>
      </c>
      <c r="C25" s="704">
        <v>20</v>
      </c>
      <c r="D25" s="704">
        <v>20</v>
      </c>
      <c r="E25" s="662">
        <v>20</v>
      </c>
      <c r="F25" s="662">
        <v>12</v>
      </c>
      <c r="G25" s="662">
        <v>12</v>
      </c>
      <c r="H25" s="662">
        <v>12</v>
      </c>
      <c r="I25" s="662">
        <v>12</v>
      </c>
      <c r="J25" s="662">
        <v>20</v>
      </c>
      <c r="K25" s="662">
        <v>12</v>
      </c>
      <c r="L25" s="662">
        <v>10</v>
      </c>
      <c r="M25" s="662">
        <v>10</v>
      </c>
      <c r="N25" s="662">
        <v>10</v>
      </c>
      <c r="O25" s="662">
        <v>12</v>
      </c>
      <c r="P25" s="662">
        <v>12</v>
      </c>
      <c r="Q25" s="662">
        <v>10</v>
      </c>
      <c r="R25" s="662">
        <v>10</v>
      </c>
    </row>
    <row r="26" spans="1:18" ht="12.75">
      <c r="A26" s="775" t="s">
        <v>583</v>
      </c>
      <c r="B26" s="668" t="s">
        <v>328</v>
      </c>
      <c r="C26" s="667" t="s">
        <v>328</v>
      </c>
      <c r="D26" s="667" t="s">
        <v>328</v>
      </c>
      <c r="E26" s="668" t="s">
        <v>328</v>
      </c>
      <c r="F26" s="668" t="s">
        <v>328</v>
      </c>
      <c r="G26" s="668" t="s">
        <v>328</v>
      </c>
      <c r="H26" s="668" t="s">
        <v>328</v>
      </c>
      <c r="I26" s="668" t="s">
        <v>328</v>
      </c>
      <c r="J26" s="668" t="s">
        <v>328</v>
      </c>
      <c r="K26" s="668" t="s">
        <v>328</v>
      </c>
      <c r="L26" s="668" t="s">
        <v>328</v>
      </c>
      <c r="M26" s="668" t="s">
        <v>328</v>
      </c>
      <c r="N26" s="668" t="s">
        <v>328</v>
      </c>
      <c r="O26" s="668" t="s">
        <v>328</v>
      </c>
      <c r="P26" s="668" t="s">
        <v>328</v>
      </c>
      <c r="Q26" s="668" t="s">
        <v>328</v>
      </c>
      <c r="R26" s="668" t="s">
        <v>328</v>
      </c>
    </row>
    <row r="27" spans="1:18" ht="12.75">
      <c r="A27" s="661" t="s">
        <v>584</v>
      </c>
      <c r="B27" s="662">
        <v>1.8</v>
      </c>
      <c r="C27" s="704">
        <v>5</v>
      </c>
      <c r="D27" s="704">
        <v>5</v>
      </c>
      <c r="E27" s="662">
        <v>5</v>
      </c>
      <c r="F27" s="662">
        <v>1.8</v>
      </c>
      <c r="G27" s="662">
        <v>1.8</v>
      </c>
      <c r="H27" s="662">
        <v>1.8</v>
      </c>
      <c r="I27" s="662">
        <v>1.8</v>
      </c>
      <c r="J27" s="662">
        <v>5</v>
      </c>
      <c r="K27" s="662">
        <v>1.8</v>
      </c>
      <c r="L27" s="662">
        <v>1.7</v>
      </c>
      <c r="M27" s="662">
        <v>1.7</v>
      </c>
      <c r="N27" s="662">
        <v>1.7</v>
      </c>
      <c r="O27" s="662">
        <v>1.8</v>
      </c>
      <c r="P27" s="662">
        <v>1.8</v>
      </c>
      <c r="Q27" s="662">
        <v>1.7</v>
      </c>
      <c r="R27" s="662">
        <v>1.7</v>
      </c>
    </row>
    <row r="28" spans="1:18" ht="12.75">
      <c r="A28" s="661" t="s">
        <v>761</v>
      </c>
      <c r="B28" s="666">
        <v>0.1</v>
      </c>
      <c r="C28" s="666">
        <v>0.1</v>
      </c>
      <c r="D28" s="666">
        <v>0.1</v>
      </c>
      <c r="E28" s="666">
        <v>0.1</v>
      </c>
      <c r="F28" s="666">
        <v>0.1</v>
      </c>
      <c r="G28" s="666">
        <v>0.1</v>
      </c>
      <c r="H28" s="666">
        <v>0.1</v>
      </c>
      <c r="I28" s="666">
        <v>0.1</v>
      </c>
      <c r="J28" s="666">
        <v>0.1</v>
      </c>
      <c r="K28" s="666">
        <v>0.1</v>
      </c>
      <c r="L28" s="666">
        <v>0.1</v>
      </c>
      <c r="M28" s="666">
        <v>0.1</v>
      </c>
      <c r="N28" s="666">
        <v>0.1</v>
      </c>
      <c r="O28" s="666">
        <v>0.1</v>
      </c>
      <c r="P28" s="666">
        <v>0.1</v>
      </c>
      <c r="Q28" s="666">
        <v>0.1</v>
      </c>
      <c r="R28" s="666">
        <v>0.1</v>
      </c>
    </row>
    <row r="29" spans="1:18" ht="12.75">
      <c r="A29" s="661" t="s">
        <v>760</v>
      </c>
      <c r="B29" s="666">
        <v>1</v>
      </c>
      <c r="C29" s="666">
        <v>1</v>
      </c>
      <c r="D29" s="666">
        <v>1</v>
      </c>
      <c r="E29" s="666">
        <v>1</v>
      </c>
      <c r="F29" s="666">
        <v>1</v>
      </c>
      <c r="G29" s="666">
        <v>1</v>
      </c>
      <c r="H29" s="666">
        <v>1</v>
      </c>
      <c r="I29" s="666">
        <v>1</v>
      </c>
      <c r="J29" s="666">
        <v>1</v>
      </c>
      <c r="K29" s="666">
        <v>1</v>
      </c>
      <c r="L29" s="666">
        <v>1</v>
      </c>
      <c r="M29" s="666">
        <v>1</v>
      </c>
      <c r="N29" s="666">
        <v>1</v>
      </c>
      <c r="O29" s="666">
        <v>1</v>
      </c>
      <c r="P29" s="666">
        <v>1</v>
      </c>
      <c r="Q29" s="666">
        <v>1</v>
      </c>
      <c r="R29" s="666">
        <v>1</v>
      </c>
    </row>
    <row r="30" spans="1:18" ht="18">
      <c r="A30" s="700" t="s">
        <v>585</v>
      </c>
      <c r="B30" s="702"/>
      <c r="C30" s="701"/>
      <c r="D30" s="701"/>
      <c r="E30" s="702"/>
      <c r="F30" s="702"/>
      <c r="G30" s="702"/>
      <c r="H30" s="702"/>
      <c r="I30" s="702"/>
      <c r="J30" s="702"/>
      <c r="K30" s="702"/>
      <c r="L30" s="702"/>
      <c r="M30" s="702"/>
      <c r="N30" s="702"/>
      <c r="O30" s="702"/>
      <c r="P30" s="702"/>
      <c r="Q30" s="702"/>
      <c r="R30" s="702"/>
    </row>
    <row r="31" spans="1:18" ht="12.75">
      <c r="A31" s="661" t="s">
        <v>586</v>
      </c>
      <c r="B31" s="668" t="s">
        <v>373</v>
      </c>
      <c r="C31" s="667" t="s">
        <v>373</v>
      </c>
      <c r="D31" s="667" t="s">
        <v>373</v>
      </c>
      <c r="E31" s="668" t="s">
        <v>373</v>
      </c>
      <c r="F31" s="668" t="s">
        <v>373</v>
      </c>
      <c r="G31" s="668" t="s">
        <v>373</v>
      </c>
      <c r="H31" s="668" t="s">
        <v>373</v>
      </c>
      <c r="I31" s="668" t="s">
        <v>373</v>
      </c>
      <c r="J31" s="668" t="s">
        <v>373</v>
      </c>
      <c r="K31" s="668" t="s">
        <v>373</v>
      </c>
      <c r="L31" s="668" t="s">
        <v>373</v>
      </c>
      <c r="M31" s="668" t="s">
        <v>373</v>
      </c>
      <c r="N31" s="668" t="s">
        <v>373</v>
      </c>
      <c r="O31" s="668" t="s">
        <v>373</v>
      </c>
      <c r="P31" s="668" t="s">
        <v>373</v>
      </c>
      <c r="Q31" s="668" t="s">
        <v>373</v>
      </c>
      <c r="R31" s="668" t="s">
        <v>373</v>
      </c>
    </row>
    <row r="32" spans="1:18" ht="12.75">
      <c r="A32" s="661" t="s">
        <v>587</v>
      </c>
      <c r="B32" s="662">
        <v>0.3</v>
      </c>
      <c r="C32" s="667" t="s">
        <v>293</v>
      </c>
      <c r="D32" s="662">
        <v>2.5</v>
      </c>
      <c r="E32" s="662">
        <v>2.5</v>
      </c>
      <c r="F32" s="662">
        <v>0.6</v>
      </c>
      <c r="G32" s="662">
        <v>0.6</v>
      </c>
      <c r="H32" s="662">
        <v>0.3</v>
      </c>
      <c r="I32" s="662">
        <v>0.3</v>
      </c>
      <c r="J32" s="662">
        <v>1.5</v>
      </c>
      <c r="K32" s="662">
        <v>0.15</v>
      </c>
      <c r="L32" s="662">
        <v>0.3</v>
      </c>
      <c r="M32" s="662">
        <v>0.3</v>
      </c>
      <c r="N32" s="662">
        <v>0.3</v>
      </c>
      <c r="O32" s="662">
        <v>0.3</v>
      </c>
      <c r="P32" s="662">
        <v>0.6</v>
      </c>
      <c r="Q32" s="662">
        <v>0.3</v>
      </c>
      <c r="R32" s="662">
        <v>0.3</v>
      </c>
    </row>
    <row r="33" spans="1:18" ht="12.75">
      <c r="A33" s="661" t="s">
        <v>588</v>
      </c>
      <c r="B33" s="662">
        <v>100</v>
      </c>
      <c r="C33" s="661">
        <v>160</v>
      </c>
      <c r="D33" s="661">
        <v>160</v>
      </c>
      <c r="E33" s="662">
        <v>160</v>
      </c>
      <c r="F33" s="662">
        <v>80</v>
      </c>
      <c r="G33" s="662">
        <v>80</v>
      </c>
      <c r="H33" s="662">
        <v>120</v>
      </c>
      <c r="I33" s="662">
        <v>90</v>
      </c>
      <c r="J33" s="662">
        <v>150</v>
      </c>
      <c r="K33" s="662">
        <v>70</v>
      </c>
      <c r="L33" s="662">
        <v>80</v>
      </c>
      <c r="M33" s="662">
        <v>90</v>
      </c>
      <c r="N33" s="662">
        <v>120</v>
      </c>
      <c r="O33" s="662">
        <v>90</v>
      </c>
      <c r="P33" s="662">
        <v>80</v>
      </c>
      <c r="Q33" s="662">
        <v>90</v>
      </c>
      <c r="R33" s="662">
        <v>80</v>
      </c>
    </row>
    <row r="34" spans="1:18" ht="12.75">
      <c r="A34" s="661" t="s">
        <v>589</v>
      </c>
      <c r="B34" s="663">
        <v>0.5</v>
      </c>
      <c r="C34" s="663">
        <v>0.5</v>
      </c>
      <c r="D34" s="663">
        <v>0.5</v>
      </c>
      <c r="E34" s="663">
        <v>0.5</v>
      </c>
      <c r="F34" s="663">
        <v>0.5</v>
      </c>
      <c r="G34" s="663">
        <v>0.5</v>
      </c>
      <c r="H34" s="663">
        <v>0.5</v>
      </c>
      <c r="I34" s="663">
        <v>0.5</v>
      </c>
      <c r="J34" s="663">
        <v>0.5</v>
      </c>
      <c r="K34" s="663">
        <v>0.5</v>
      </c>
      <c r="L34" s="663">
        <v>0.5</v>
      </c>
      <c r="M34" s="663">
        <v>0.5</v>
      </c>
      <c r="N34" s="663">
        <v>0.5</v>
      </c>
      <c r="O34" s="663">
        <v>0.5</v>
      </c>
      <c r="P34" s="663">
        <v>0.5</v>
      </c>
      <c r="Q34" s="663">
        <v>0.5</v>
      </c>
      <c r="R34" s="662">
        <v>0.5</v>
      </c>
    </row>
    <row r="35" spans="1:18" ht="12.75">
      <c r="A35" s="661" t="s">
        <v>590</v>
      </c>
      <c r="B35" s="662">
        <v>100</v>
      </c>
      <c r="C35" s="661">
        <v>100</v>
      </c>
      <c r="D35" s="661">
        <v>100</v>
      </c>
      <c r="E35" s="662">
        <v>100</v>
      </c>
      <c r="F35" s="662">
        <v>100</v>
      </c>
      <c r="G35" s="662">
        <v>100</v>
      </c>
      <c r="H35" s="662">
        <v>100</v>
      </c>
      <c r="I35" s="662">
        <v>100</v>
      </c>
      <c r="J35" s="662">
        <v>100</v>
      </c>
      <c r="K35" s="662">
        <v>100</v>
      </c>
      <c r="L35" s="662">
        <v>100</v>
      </c>
      <c r="M35" s="662">
        <v>100</v>
      </c>
      <c r="N35" s="662">
        <v>100</v>
      </c>
      <c r="O35" s="662">
        <v>100</v>
      </c>
      <c r="P35" s="662">
        <v>100</v>
      </c>
      <c r="Q35" s="662">
        <v>100</v>
      </c>
      <c r="R35" s="662">
        <v>100</v>
      </c>
    </row>
    <row r="36" spans="1:18" ht="12.75">
      <c r="A36" s="661" t="s">
        <v>592</v>
      </c>
      <c r="B36" s="662">
        <v>55</v>
      </c>
      <c r="C36" s="661">
        <v>60</v>
      </c>
      <c r="D36" s="661">
        <v>60</v>
      </c>
      <c r="E36" s="662">
        <v>60</v>
      </c>
      <c r="F36" s="662">
        <v>55</v>
      </c>
      <c r="G36" s="662">
        <v>55</v>
      </c>
      <c r="H36" s="662">
        <v>55</v>
      </c>
      <c r="I36" s="662">
        <v>55</v>
      </c>
      <c r="J36" s="662">
        <v>60</v>
      </c>
      <c r="K36" s="662">
        <v>55</v>
      </c>
      <c r="L36" s="662">
        <v>60</v>
      </c>
      <c r="M36" s="662">
        <v>55</v>
      </c>
      <c r="N36" s="662">
        <v>55</v>
      </c>
      <c r="O36" s="662">
        <v>55</v>
      </c>
      <c r="P36" s="662">
        <v>55</v>
      </c>
      <c r="Q36" s="662">
        <v>55</v>
      </c>
      <c r="R36" s="662">
        <v>60</v>
      </c>
    </row>
    <row r="37" spans="1:18" ht="12.75">
      <c r="A37" s="661" t="s">
        <v>593</v>
      </c>
      <c r="B37" s="662">
        <v>60</v>
      </c>
      <c r="C37" s="661">
        <v>20</v>
      </c>
      <c r="D37" s="661">
        <v>20</v>
      </c>
      <c r="E37" s="662">
        <v>20</v>
      </c>
      <c r="F37" s="662">
        <v>60</v>
      </c>
      <c r="G37" s="662">
        <v>60</v>
      </c>
      <c r="H37" s="662">
        <v>60</v>
      </c>
      <c r="I37" s="662">
        <v>60</v>
      </c>
      <c r="J37" s="662">
        <v>20</v>
      </c>
      <c r="K37" s="662">
        <v>60</v>
      </c>
      <c r="L37" s="662">
        <v>60</v>
      </c>
      <c r="M37" s="662">
        <v>60</v>
      </c>
      <c r="N37" s="662">
        <v>60</v>
      </c>
      <c r="O37" s="662">
        <v>60</v>
      </c>
      <c r="P37" s="662">
        <v>60</v>
      </c>
      <c r="Q37" s="662">
        <v>60</v>
      </c>
      <c r="R37" s="662">
        <v>60</v>
      </c>
    </row>
    <row r="38" spans="1:18" ht="17.25" customHeight="1">
      <c r="A38" s="661" t="s">
        <v>594</v>
      </c>
      <c r="B38" s="668" t="s">
        <v>328</v>
      </c>
      <c r="C38" s="667" t="s">
        <v>328</v>
      </c>
      <c r="D38" s="667" t="s">
        <v>328</v>
      </c>
      <c r="E38" s="668" t="s">
        <v>328</v>
      </c>
      <c r="F38" s="668" t="s">
        <v>328</v>
      </c>
      <c r="G38" s="668" t="s">
        <v>328</v>
      </c>
      <c r="H38" s="668" t="s">
        <v>328</v>
      </c>
      <c r="I38" s="668" t="s">
        <v>328</v>
      </c>
      <c r="J38" s="668" t="s">
        <v>328</v>
      </c>
      <c r="K38" s="668" t="s">
        <v>328</v>
      </c>
      <c r="L38" s="668" t="s">
        <v>328</v>
      </c>
      <c r="M38" s="668" t="s">
        <v>328</v>
      </c>
      <c r="N38" s="668" t="s">
        <v>328</v>
      </c>
      <c r="O38" s="668" t="s">
        <v>328</v>
      </c>
      <c r="P38" s="668" t="s">
        <v>328</v>
      </c>
      <c r="Q38" s="668" t="s">
        <v>328</v>
      </c>
      <c r="R38" s="668" t="s">
        <v>328</v>
      </c>
    </row>
    <row r="39" spans="1:18" ht="17.25" customHeight="1">
      <c r="A39" s="661" t="s">
        <v>595</v>
      </c>
      <c r="B39" s="662">
        <v>55</v>
      </c>
      <c r="C39" s="704">
        <v>60</v>
      </c>
      <c r="D39" s="704">
        <v>60</v>
      </c>
      <c r="E39" s="662">
        <v>60</v>
      </c>
      <c r="F39" s="662">
        <v>55</v>
      </c>
      <c r="G39" s="662">
        <v>55</v>
      </c>
      <c r="H39" s="662">
        <v>55</v>
      </c>
      <c r="I39" s="662">
        <v>55</v>
      </c>
      <c r="J39" s="662">
        <v>60</v>
      </c>
      <c r="K39" s="662">
        <v>55</v>
      </c>
      <c r="L39" s="662">
        <v>60</v>
      </c>
      <c r="M39" s="662">
        <v>55</v>
      </c>
      <c r="N39" s="662">
        <v>55</v>
      </c>
      <c r="O39" s="662">
        <v>55</v>
      </c>
      <c r="P39" s="662">
        <v>55</v>
      </c>
      <c r="Q39" s="662">
        <v>55</v>
      </c>
      <c r="R39" s="662">
        <v>60</v>
      </c>
    </row>
    <row r="40" spans="1:18" ht="12.75">
      <c r="A40" s="661" t="s">
        <v>598</v>
      </c>
      <c r="B40" s="662">
        <v>16</v>
      </c>
      <c r="C40" s="704">
        <v>16</v>
      </c>
      <c r="D40" s="704">
        <v>16</v>
      </c>
      <c r="E40" s="662">
        <v>16</v>
      </c>
      <c r="F40" s="662">
        <v>16</v>
      </c>
      <c r="G40" s="662">
        <v>16</v>
      </c>
      <c r="H40" s="662">
        <v>16</v>
      </c>
      <c r="I40" s="662">
        <v>16</v>
      </c>
      <c r="J40" s="662">
        <v>16</v>
      </c>
      <c r="K40" s="662">
        <v>16</v>
      </c>
      <c r="L40" s="662">
        <v>16</v>
      </c>
      <c r="M40" s="662">
        <v>16</v>
      </c>
      <c r="N40" s="662">
        <v>16</v>
      </c>
      <c r="O40" s="662">
        <v>16</v>
      </c>
      <c r="P40" s="662">
        <v>16</v>
      </c>
      <c r="Q40" s="662">
        <v>16</v>
      </c>
      <c r="R40" s="662">
        <v>16</v>
      </c>
    </row>
    <row r="41" spans="1:18" ht="12.75">
      <c r="A41" s="661" t="s">
        <v>606</v>
      </c>
      <c r="B41" s="662">
        <v>100</v>
      </c>
      <c r="C41" s="704">
        <v>160</v>
      </c>
      <c r="D41" s="704">
        <v>160</v>
      </c>
      <c r="E41" s="662">
        <v>160</v>
      </c>
      <c r="F41" s="662">
        <v>100</v>
      </c>
      <c r="G41" s="662">
        <v>100</v>
      </c>
      <c r="H41" s="662">
        <v>100</v>
      </c>
      <c r="I41" s="662">
        <v>100</v>
      </c>
      <c r="J41" s="662">
        <v>160</v>
      </c>
      <c r="K41" s="662">
        <v>100</v>
      </c>
      <c r="L41" s="662">
        <v>100</v>
      </c>
      <c r="M41" s="662">
        <v>100</v>
      </c>
      <c r="N41" s="662">
        <v>100</v>
      </c>
      <c r="O41" s="662">
        <v>100</v>
      </c>
      <c r="P41" s="662">
        <v>100</v>
      </c>
      <c r="Q41" s="662">
        <v>100</v>
      </c>
      <c r="R41" s="662">
        <v>100</v>
      </c>
    </row>
    <row r="42" spans="1:18" ht="12.75">
      <c r="A42" s="661" t="s">
        <v>649</v>
      </c>
      <c r="B42" s="668" t="s">
        <v>328</v>
      </c>
      <c r="C42" s="667" t="s">
        <v>328</v>
      </c>
      <c r="D42" s="667" t="s">
        <v>328</v>
      </c>
      <c r="E42" s="668" t="s">
        <v>328</v>
      </c>
      <c r="F42" s="668" t="s">
        <v>328</v>
      </c>
      <c r="G42" s="668" t="s">
        <v>328</v>
      </c>
      <c r="H42" s="668" t="s">
        <v>328</v>
      </c>
      <c r="I42" s="668" t="s">
        <v>328</v>
      </c>
      <c r="J42" s="668" t="s">
        <v>328</v>
      </c>
      <c r="K42" s="668" t="s">
        <v>328</v>
      </c>
      <c r="L42" s="668" t="s">
        <v>328</v>
      </c>
      <c r="M42" s="668" t="s">
        <v>328</v>
      </c>
      <c r="N42" s="668" t="s">
        <v>328</v>
      </c>
      <c r="O42" s="668" t="s">
        <v>328</v>
      </c>
      <c r="P42" s="668" t="s">
        <v>328</v>
      </c>
      <c r="Q42" s="668" t="s">
        <v>328</v>
      </c>
      <c r="R42" s="668" t="s">
        <v>328</v>
      </c>
    </row>
    <row r="43" spans="1:18" ht="12.75">
      <c r="A43" s="661" t="s">
        <v>650</v>
      </c>
      <c r="B43" s="662" t="s">
        <v>651</v>
      </c>
      <c r="C43" s="704" t="s">
        <v>651</v>
      </c>
      <c r="D43" s="704" t="s">
        <v>651</v>
      </c>
      <c r="E43" s="662" t="s">
        <v>651</v>
      </c>
      <c r="F43" s="662" t="s">
        <v>651</v>
      </c>
      <c r="G43" s="662" t="s">
        <v>651</v>
      </c>
      <c r="H43" s="662" t="s">
        <v>651</v>
      </c>
      <c r="I43" s="662" t="s">
        <v>651</v>
      </c>
      <c r="J43" s="662" t="s">
        <v>651</v>
      </c>
      <c r="K43" s="662" t="s">
        <v>651</v>
      </c>
      <c r="L43" s="662" t="s">
        <v>651</v>
      </c>
      <c r="M43" s="662" t="s">
        <v>651</v>
      </c>
      <c r="N43" s="662" t="s">
        <v>651</v>
      </c>
      <c r="O43" s="662" t="s">
        <v>651</v>
      </c>
      <c r="P43" s="662" t="s">
        <v>651</v>
      </c>
      <c r="Q43" s="662" t="s">
        <v>651</v>
      </c>
      <c r="R43" s="662" t="s">
        <v>651</v>
      </c>
    </row>
    <row r="44" spans="1:18" ht="12.75">
      <c r="A44" s="661" t="s">
        <v>652</v>
      </c>
      <c r="B44" s="704">
        <v>30</v>
      </c>
      <c r="C44" s="704">
        <v>30</v>
      </c>
      <c r="D44" s="704">
        <v>30</v>
      </c>
      <c r="E44" s="704">
        <v>30</v>
      </c>
      <c r="F44" s="704">
        <v>30</v>
      </c>
      <c r="G44" s="704">
        <v>30</v>
      </c>
      <c r="H44" s="704">
        <v>30</v>
      </c>
      <c r="I44" s="704">
        <v>30</v>
      </c>
      <c r="J44" s="704">
        <v>30</v>
      </c>
      <c r="K44" s="704">
        <v>30</v>
      </c>
      <c r="L44" s="704">
        <v>30</v>
      </c>
      <c r="M44" s="704">
        <v>30</v>
      </c>
      <c r="N44" s="704">
        <v>30</v>
      </c>
      <c r="O44" s="704">
        <v>30</v>
      </c>
      <c r="P44" s="704">
        <v>30</v>
      </c>
      <c r="Q44" s="704">
        <v>30</v>
      </c>
      <c r="R44" s="704">
        <v>30</v>
      </c>
    </row>
    <row r="45" spans="1:18" ht="12.75">
      <c r="A45" s="661" t="s">
        <v>653</v>
      </c>
      <c r="B45" s="668" t="s">
        <v>293</v>
      </c>
      <c r="C45" s="704" t="s">
        <v>654</v>
      </c>
      <c r="D45" s="704" t="s">
        <v>654</v>
      </c>
      <c r="E45" s="704" t="s">
        <v>654</v>
      </c>
      <c r="F45" s="668" t="s">
        <v>293</v>
      </c>
      <c r="G45" s="668" t="s">
        <v>293</v>
      </c>
      <c r="H45" s="668" t="s">
        <v>293</v>
      </c>
      <c r="I45" s="668" t="s">
        <v>293</v>
      </c>
      <c r="J45" s="704" t="s">
        <v>654</v>
      </c>
      <c r="K45" s="668" t="s">
        <v>293</v>
      </c>
      <c r="L45" s="668" t="s">
        <v>293</v>
      </c>
      <c r="M45" s="668" t="s">
        <v>293</v>
      </c>
      <c r="N45" s="668" t="s">
        <v>293</v>
      </c>
      <c r="O45" s="668" t="s">
        <v>293</v>
      </c>
      <c r="P45" s="668" t="s">
        <v>293</v>
      </c>
      <c r="Q45" s="668" t="s">
        <v>293</v>
      </c>
      <c r="R45" s="668" t="s">
        <v>293</v>
      </c>
    </row>
    <row r="46" spans="1:18" ht="12.75">
      <c r="A46" s="661" t="s">
        <v>832</v>
      </c>
      <c r="B46" s="662">
        <v>2</v>
      </c>
      <c r="C46" s="704">
        <v>10</v>
      </c>
      <c r="D46" s="704">
        <v>10</v>
      </c>
      <c r="E46" s="662">
        <v>2</v>
      </c>
      <c r="F46" s="662">
        <v>2</v>
      </c>
      <c r="G46" s="662">
        <v>2</v>
      </c>
      <c r="H46" s="662">
        <v>2</v>
      </c>
      <c r="I46" s="662">
        <v>2</v>
      </c>
      <c r="J46" s="662">
        <v>10</v>
      </c>
      <c r="K46" s="662">
        <v>2</v>
      </c>
      <c r="L46" s="662">
        <v>2</v>
      </c>
      <c r="M46" s="662">
        <v>2</v>
      </c>
      <c r="N46" s="662">
        <v>2</v>
      </c>
      <c r="O46" s="662">
        <v>2</v>
      </c>
      <c r="P46" s="662">
        <v>2</v>
      </c>
      <c r="Q46" s="662">
        <v>2</v>
      </c>
      <c r="R46" s="662">
        <v>2</v>
      </c>
    </row>
    <row r="47" spans="1:18" ht="12.75">
      <c r="A47" s="661" t="s">
        <v>831</v>
      </c>
      <c r="B47" s="668" t="s">
        <v>328</v>
      </c>
      <c r="C47" s="667" t="s">
        <v>328</v>
      </c>
      <c r="D47" s="667" t="s">
        <v>328</v>
      </c>
      <c r="E47" s="667" t="s">
        <v>328</v>
      </c>
      <c r="F47" s="668" t="s">
        <v>328</v>
      </c>
      <c r="G47" s="668" t="s">
        <v>328</v>
      </c>
      <c r="H47" s="668" t="s">
        <v>328</v>
      </c>
      <c r="I47" s="668" t="s">
        <v>328</v>
      </c>
      <c r="J47" s="667" t="s">
        <v>328</v>
      </c>
      <c r="K47" s="668" t="s">
        <v>328</v>
      </c>
      <c r="L47" s="668" t="s">
        <v>328</v>
      </c>
      <c r="M47" s="668" t="s">
        <v>328</v>
      </c>
      <c r="N47" s="668" t="s">
        <v>328</v>
      </c>
      <c r="O47" s="668" t="s">
        <v>328</v>
      </c>
      <c r="P47" s="668" t="s">
        <v>328</v>
      </c>
      <c r="Q47" s="668" t="s">
        <v>328</v>
      </c>
      <c r="R47" s="668" t="s">
        <v>328</v>
      </c>
    </row>
    <row r="48" spans="1:18" ht="12.75">
      <c r="A48" s="661" t="s">
        <v>830</v>
      </c>
      <c r="B48" s="668" t="s">
        <v>324</v>
      </c>
      <c r="C48" s="667" t="s">
        <v>324</v>
      </c>
      <c r="D48" s="667" t="s">
        <v>324</v>
      </c>
      <c r="E48" s="667" t="s">
        <v>324</v>
      </c>
      <c r="F48" s="668" t="s">
        <v>324</v>
      </c>
      <c r="G48" s="668" t="s">
        <v>324</v>
      </c>
      <c r="H48" s="668" t="s">
        <v>324</v>
      </c>
      <c r="I48" s="668" t="s">
        <v>324</v>
      </c>
      <c r="J48" s="667" t="s">
        <v>324</v>
      </c>
      <c r="K48" s="668" t="s">
        <v>324</v>
      </c>
      <c r="L48" s="668" t="s">
        <v>324</v>
      </c>
      <c r="M48" s="668" t="s">
        <v>324</v>
      </c>
      <c r="N48" s="668" t="s">
        <v>324</v>
      </c>
      <c r="O48" s="668" t="s">
        <v>324</v>
      </c>
      <c r="P48" s="668" t="s">
        <v>324</v>
      </c>
      <c r="Q48" s="668" t="s">
        <v>324</v>
      </c>
      <c r="R48" s="668" t="s">
        <v>324</v>
      </c>
    </row>
    <row r="49" spans="1:18" ht="12.75">
      <c r="A49" s="661" t="s">
        <v>656</v>
      </c>
      <c r="B49" s="662">
        <v>-30</v>
      </c>
      <c r="C49" s="704">
        <v>-20</v>
      </c>
      <c r="D49" s="704">
        <v>-20</v>
      </c>
      <c r="E49" s="662">
        <v>-20</v>
      </c>
      <c r="F49" s="662">
        <v>-30</v>
      </c>
      <c r="G49" s="662">
        <v>-30</v>
      </c>
      <c r="H49" s="662">
        <v>-30</v>
      </c>
      <c r="I49" s="662">
        <v>-30</v>
      </c>
      <c r="J49" s="662">
        <v>-20</v>
      </c>
      <c r="K49" s="662">
        <v>-30</v>
      </c>
      <c r="L49" s="662">
        <v>-30</v>
      </c>
      <c r="M49" s="662">
        <v>-30</v>
      </c>
      <c r="N49" s="662">
        <v>-30</v>
      </c>
      <c r="O49" s="662">
        <v>-30</v>
      </c>
      <c r="P49" s="662">
        <v>-30</v>
      </c>
      <c r="Q49" s="662">
        <v>-30</v>
      </c>
      <c r="R49" s="662">
        <v>-30</v>
      </c>
    </row>
    <row r="50" spans="1:18" ht="12.75">
      <c r="A50" s="661" t="s">
        <v>657</v>
      </c>
      <c r="B50" s="662">
        <v>100</v>
      </c>
      <c r="C50" s="704">
        <v>100</v>
      </c>
      <c r="D50" s="704">
        <v>100</v>
      </c>
      <c r="E50" s="662">
        <v>100</v>
      </c>
      <c r="F50" s="662">
        <v>100</v>
      </c>
      <c r="G50" s="662">
        <v>100</v>
      </c>
      <c r="H50" s="662">
        <v>100</v>
      </c>
      <c r="I50" s="662">
        <v>100</v>
      </c>
      <c r="J50" s="662">
        <v>100</v>
      </c>
      <c r="K50" s="662">
        <v>100</v>
      </c>
      <c r="L50" s="662">
        <v>100</v>
      </c>
      <c r="M50" s="662">
        <v>100</v>
      </c>
      <c r="N50" s="662">
        <v>100</v>
      </c>
      <c r="O50" s="662">
        <v>100</v>
      </c>
      <c r="P50" s="662">
        <v>100</v>
      </c>
      <c r="Q50" s="662">
        <v>100</v>
      </c>
      <c r="R50" s="662">
        <v>100</v>
      </c>
    </row>
    <row r="51" spans="1:18" ht="12.75">
      <c r="A51" s="661" t="s">
        <v>658</v>
      </c>
      <c r="B51" s="662">
        <v>15</v>
      </c>
      <c r="C51" s="704">
        <v>9</v>
      </c>
      <c r="D51" s="704">
        <v>9</v>
      </c>
      <c r="E51" s="662">
        <v>9</v>
      </c>
      <c r="F51" s="662">
        <v>15</v>
      </c>
      <c r="G51" s="662">
        <v>15</v>
      </c>
      <c r="H51" s="662">
        <v>7.5</v>
      </c>
      <c r="I51" s="662">
        <v>15</v>
      </c>
      <c r="J51" s="662">
        <v>9</v>
      </c>
      <c r="K51" s="662">
        <v>15</v>
      </c>
      <c r="L51" s="662">
        <v>15</v>
      </c>
      <c r="M51" s="662">
        <v>15</v>
      </c>
      <c r="N51" s="662">
        <v>15</v>
      </c>
      <c r="O51" s="662">
        <v>15</v>
      </c>
      <c r="P51" s="662">
        <v>15</v>
      </c>
      <c r="Q51" s="662">
        <v>15</v>
      </c>
      <c r="R51" s="662">
        <v>15</v>
      </c>
    </row>
    <row r="52" spans="1:18" ht="12.75">
      <c r="A52" s="661" t="s">
        <v>659</v>
      </c>
      <c r="B52" s="662">
        <v>-30</v>
      </c>
      <c r="C52" s="704">
        <v>-19</v>
      </c>
      <c r="D52" s="704">
        <v>-19</v>
      </c>
      <c r="E52" s="662">
        <v>-19</v>
      </c>
      <c r="F52" s="662">
        <v>-30</v>
      </c>
      <c r="G52" s="662">
        <v>-30</v>
      </c>
      <c r="H52" s="662">
        <v>-30</v>
      </c>
      <c r="I52" s="662">
        <v>-30</v>
      </c>
      <c r="J52" s="662">
        <v>-19</v>
      </c>
      <c r="K52" s="662">
        <v>-30</v>
      </c>
      <c r="L52" s="662">
        <v>-30</v>
      </c>
      <c r="M52" s="662">
        <v>-30</v>
      </c>
      <c r="N52" s="662">
        <v>-30</v>
      </c>
      <c r="O52" s="662">
        <v>-30</v>
      </c>
      <c r="P52" s="662">
        <v>-30</v>
      </c>
      <c r="Q52" s="662">
        <v>-30</v>
      </c>
      <c r="R52" s="662">
        <v>-30</v>
      </c>
    </row>
    <row r="53" spans="1:18" ht="12.75">
      <c r="A53" s="661" t="s">
        <v>660</v>
      </c>
      <c r="B53" s="662">
        <v>15</v>
      </c>
      <c r="C53" s="704">
        <v>9</v>
      </c>
      <c r="D53" s="704">
        <v>9</v>
      </c>
      <c r="E53" s="662">
        <v>9</v>
      </c>
      <c r="F53" s="662">
        <v>15</v>
      </c>
      <c r="G53" s="662">
        <v>15</v>
      </c>
      <c r="H53" s="662">
        <v>7.5</v>
      </c>
      <c r="I53" s="662">
        <v>15</v>
      </c>
      <c r="J53" s="662">
        <v>9</v>
      </c>
      <c r="K53" s="662">
        <v>15</v>
      </c>
      <c r="L53" s="662">
        <v>15</v>
      </c>
      <c r="M53" s="662">
        <v>15</v>
      </c>
      <c r="N53" s="662">
        <v>15</v>
      </c>
      <c r="O53" s="662">
        <v>15</v>
      </c>
      <c r="P53" s="662">
        <v>15</v>
      </c>
      <c r="Q53" s="662">
        <v>15</v>
      </c>
      <c r="R53" s="662">
        <v>15</v>
      </c>
    </row>
    <row r="54" spans="1:18" ht="12.75">
      <c r="A54" s="661" t="s">
        <v>661</v>
      </c>
      <c r="B54" s="662">
        <v>-30</v>
      </c>
      <c r="C54" s="704">
        <v>-19</v>
      </c>
      <c r="D54" s="704">
        <v>-19</v>
      </c>
      <c r="E54" s="662">
        <v>-19</v>
      </c>
      <c r="F54" s="662">
        <v>-30</v>
      </c>
      <c r="G54" s="662">
        <v>-30</v>
      </c>
      <c r="H54" s="662">
        <v>-30</v>
      </c>
      <c r="I54" s="662">
        <v>-30</v>
      </c>
      <c r="J54" s="662">
        <v>-19</v>
      </c>
      <c r="K54" s="662">
        <v>-30</v>
      </c>
      <c r="L54" s="662">
        <v>-30</v>
      </c>
      <c r="M54" s="662">
        <v>-30</v>
      </c>
      <c r="N54" s="662">
        <v>-30</v>
      </c>
      <c r="O54" s="662">
        <v>-30</v>
      </c>
      <c r="P54" s="662">
        <v>-30</v>
      </c>
      <c r="Q54" s="662">
        <v>-30</v>
      </c>
      <c r="R54" s="662">
        <v>-30</v>
      </c>
    </row>
    <row r="55" spans="1:18" ht="12.75">
      <c r="A55" s="661" t="s">
        <v>723</v>
      </c>
      <c r="B55" s="662">
        <v>300</v>
      </c>
      <c r="C55" s="667" t="s">
        <v>293</v>
      </c>
      <c r="D55" s="667" t="s">
        <v>293</v>
      </c>
      <c r="E55" s="668" t="s">
        <v>293</v>
      </c>
      <c r="F55" s="662">
        <v>300</v>
      </c>
      <c r="G55" s="662">
        <v>300</v>
      </c>
      <c r="H55" s="662">
        <v>300</v>
      </c>
      <c r="I55" s="662">
        <v>300</v>
      </c>
      <c r="J55" s="668" t="s">
        <v>293</v>
      </c>
      <c r="K55" s="662">
        <v>300</v>
      </c>
      <c r="L55" s="662">
        <v>300</v>
      </c>
      <c r="M55" s="662">
        <v>300</v>
      </c>
      <c r="N55" s="662">
        <v>300</v>
      </c>
      <c r="O55" s="662">
        <v>300</v>
      </c>
      <c r="P55" s="662">
        <v>300</v>
      </c>
      <c r="Q55" s="662">
        <v>300</v>
      </c>
      <c r="R55" s="662">
        <v>300</v>
      </c>
    </row>
    <row r="56" spans="1:18" ht="12.75">
      <c r="A56" s="661" t="s">
        <v>724</v>
      </c>
      <c r="B56" s="662">
        <v>150</v>
      </c>
      <c r="C56" s="667" t="s">
        <v>293</v>
      </c>
      <c r="D56" s="667" t="s">
        <v>293</v>
      </c>
      <c r="E56" s="668" t="s">
        <v>293</v>
      </c>
      <c r="F56" s="662">
        <v>150</v>
      </c>
      <c r="G56" s="662">
        <v>150</v>
      </c>
      <c r="H56" s="662">
        <v>150</v>
      </c>
      <c r="I56" s="662">
        <v>150</v>
      </c>
      <c r="J56" s="668" t="s">
        <v>293</v>
      </c>
      <c r="K56" s="662">
        <v>150</v>
      </c>
      <c r="L56" s="662">
        <v>150</v>
      </c>
      <c r="M56" s="662">
        <v>150</v>
      </c>
      <c r="N56" s="662">
        <v>150</v>
      </c>
      <c r="O56" s="662">
        <v>150</v>
      </c>
      <c r="P56" s="662">
        <v>150</v>
      </c>
      <c r="Q56" s="662">
        <v>150</v>
      </c>
      <c r="R56" s="662">
        <v>150</v>
      </c>
    </row>
    <row r="57" spans="1:18" ht="12.75">
      <c r="A57" s="661" t="s">
        <v>725</v>
      </c>
      <c r="B57" s="662">
        <v>300</v>
      </c>
      <c r="C57" s="667" t="s">
        <v>293</v>
      </c>
      <c r="D57" s="667" t="s">
        <v>293</v>
      </c>
      <c r="E57" s="668" t="s">
        <v>293</v>
      </c>
      <c r="F57" s="662">
        <v>300</v>
      </c>
      <c r="G57" s="662">
        <v>300</v>
      </c>
      <c r="H57" s="662">
        <v>300</v>
      </c>
      <c r="I57" s="662">
        <v>300</v>
      </c>
      <c r="J57" s="668" t="s">
        <v>293</v>
      </c>
      <c r="K57" s="662">
        <v>300</v>
      </c>
      <c r="L57" s="662">
        <v>300</v>
      </c>
      <c r="M57" s="662">
        <v>300</v>
      </c>
      <c r="N57" s="662">
        <v>300</v>
      </c>
      <c r="O57" s="662">
        <v>300</v>
      </c>
      <c r="P57" s="662">
        <v>300</v>
      </c>
      <c r="Q57" s="662">
        <v>300</v>
      </c>
      <c r="R57" s="662">
        <v>300</v>
      </c>
    </row>
    <row r="58" spans="1:18" ht="12.75">
      <c r="A58" s="661" t="s">
        <v>726</v>
      </c>
      <c r="B58" s="662">
        <v>300</v>
      </c>
      <c r="C58" s="667" t="s">
        <v>293</v>
      </c>
      <c r="D58" s="667" t="s">
        <v>293</v>
      </c>
      <c r="E58" s="667" t="s">
        <v>293</v>
      </c>
      <c r="F58" s="662">
        <v>300</v>
      </c>
      <c r="G58" s="662">
        <v>300</v>
      </c>
      <c r="H58" s="662">
        <v>300</v>
      </c>
      <c r="I58" s="662">
        <v>300</v>
      </c>
      <c r="J58" s="667" t="s">
        <v>293</v>
      </c>
      <c r="K58" s="662">
        <v>300</v>
      </c>
      <c r="L58" s="662">
        <v>300</v>
      </c>
      <c r="M58" s="662">
        <v>300</v>
      </c>
      <c r="N58" s="662">
        <v>300</v>
      </c>
      <c r="O58" s="662">
        <v>300</v>
      </c>
      <c r="P58" s="662">
        <v>300</v>
      </c>
      <c r="Q58" s="662">
        <v>300</v>
      </c>
      <c r="R58" s="662">
        <v>300</v>
      </c>
    </row>
    <row r="59" spans="1:18" ht="12.75">
      <c r="A59" s="661" t="s">
        <v>727</v>
      </c>
      <c r="B59" s="662">
        <v>1200</v>
      </c>
      <c r="C59" s="667" t="s">
        <v>293</v>
      </c>
      <c r="D59" s="667" t="s">
        <v>293</v>
      </c>
      <c r="E59" s="668" t="s">
        <v>293</v>
      </c>
      <c r="F59" s="662">
        <v>1200</v>
      </c>
      <c r="G59" s="662">
        <v>1200</v>
      </c>
      <c r="H59" s="662">
        <v>900</v>
      </c>
      <c r="I59" s="662">
        <v>1200</v>
      </c>
      <c r="J59" s="668" t="s">
        <v>293</v>
      </c>
      <c r="K59" s="662">
        <v>1200</v>
      </c>
      <c r="L59" s="662">
        <v>1200</v>
      </c>
      <c r="M59" s="662">
        <v>1200</v>
      </c>
      <c r="N59" s="662">
        <v>1200</v>
      </c>
      <c r="O59" s="662">
        <v>1200</v>
      </c>
      <c r="P59" s="662">
        <v>1200</v>
      </c>
      <c r="Q59" s="662">
        <v>1200</v>
      </c>
      <c r="R59" s="662">
        <v>1200</v>
      </c>
    </row>
    <row r="60" spans="1:18" ht="12.75">
      <c r="A60" s="661" t="s">
        <v>728</v>
      </c>
      <c r="B60" s="662">
        <v>5000</v>
      </c>
      <c r="C60" s="667" t="s">
        <v>293</v>
      </c>
      <c r="D60" s="667" t="s">
        <v>293</v>
      </c>
      <c r="E60" s="668" t="s">
        <v>293</v>
      </c>
      <c r="F60" s="662">
        <v>5000</v>
      </c>
      <c r="G60" s="662">
        <v>5000</v>
      </c>
      <c r="H60" s="662">
        <v>5000</v>
      </c>
      <c r="I60" s="662">
        <v>5000</v>
      </c>
      <c r="J60" s="668" t="s">
        <v>293</v>
      </c>
      <c r="K60" s="662">
        <v>5000</v>
      </c>
      <c r="L60" s="662">
        <v>5000</v>
      </c>
      <c r="M60" s="662">
        <v>5000</v>
      </c>
      <c r="N60" s="662">
        <v>5000</v>
      </c>
      <c r="O60" s="662">
        <v>5000</v>
      </c>
      <c r="P60" s="662">
        <v>5000</v>
      </c>
      <c r="Q60" s="662">
        <v>5000</v>
      </c>
      <c r="R60" s="662">
        <v>5000</v>
      </c>
    </row>
    <row r="61" spans="1:18" ht="12.75">
      <c r="A61" s="661" t="s">
        <v>667</v>
      </c>
      <c r="B61" s="662">
        <v>0.8</v>
      </c>
      <c r="C61" s="667" t="s">
        <v>293</v>
      </c>
      <c r="D61" s="667" t="s">
        <v>293</v>
      </c>
      <c r="E61" s="667" t="s">
        <v>293</v>
      </c>
      <c r="F61" s="662">
        <v>0.8</v>
      </c>
      <c r="G61" s="662">
        <v>0.8</v>
      </c>
      <c r="H61" s="662">
        <v>0.8</v>
      </c>
      <c r="I61" s="662">
        <v>0.8</v>
      </c>
      <c r="J61" s="667" t="s">
        <v>293</v>
      </c>
      <c r="K61" s="662">
        <v>0.8</v>
      </c>
      <c r="L61" s="662">
        <v>0.8</v>
      </c>
      <c r="M61" s="662">
        <v>0.8</v>
      </c>
      <c r="N61" s="662">
        <v>0.8</v>
      </c>
      <c r="O61" s="662">
        <v>0.8</v>
      </c>
      <c r="P61" s="662">
        <v>0.8</v>
      </c>
      <c r="Q61" s="662">
        <v>0.8</v>
      </c>
      <c r="R61" s="662">
        <v>0.8</v>
      </c>
    </row>
    <row r="62" spans="1:18" ht="12.75">
      <c r="A62" s="661" t="s">
        <v>668</v>
      </c>
      <c r="B62" s="662">
        <v>0.05</v>
      </c>
      <c r="C62" s="667" t="s">
        <v>293</v>
      </c>
      <c r="D62" s="667" t="s">
        <v>293</v>
      </c>
      <c r="E62" s="667" t="s">
        <v>293</v>
      </c>
      <c r="F62" s="662">
        <v>0.05</v>
      </c>
      <c r="G62" s="662">
        <v>0.05</v>
      </c>
      <c r="H62" s="662">
        <v>0.05</v>
      </c>
      <c r="I62" s="662">
        <v>0.05</v>
      </c>
      <c r="J62" s="667" t="s">
        <v>293</v>
      </c>
      <c r="K62" s="662">
        <v>0.05</v>
      </c>
      <c r="L62" s="662">
        <v>0.05</v>
      </c>
      <c r="M62" s="662">
        <v>0.05</v>
      </c>
      <c r="N62" s="662">
        <v>0.05</v>
      </c>
      <c r="O62" s="662">
        <v>0.05</v>
      </c>
      <c r="P62" s="662">
        <v>0.05</v>
      </c>
      <c r="Q62" s="662">
        <v>0.05</v>
      </c>
      <c r="R62" s="662">
        <v>0.05</v>
      </c>
    </row>
    <row r="63" spans="1:18" ht="12.75">
      <c r="A63" s="661" t="s">
        <v>669</v>
      </c>
      <c r="B63" s="662">
        <v>-3000</v>
      </c>
      <c r="C63" s="704">
        <v>-3000</v>
      </c>
      <c r="D63" s="704">
        <v>-3000</v>
      </c>
      <c r="E63" s="662">
        <v>-3000</v>
      </c>
      <c r="F63" s="662">
        <v>-3000</v>
      </c>
      <c r="G63" s="662">
        <v>-3000</v>
      </c>
      <c r="H63" s="662">
        <v>-3000</v>
      </c>
      <c r="I63" s="662">
        <v>-3000</v>
      </c>
      <c r="J63" s="662">
        <v>-3000</v>
      </c>
      <c r="K63" s="662">
        <v>-3000</v>
      </c>
      <c r="L63" s="662">
        <v>-3000</v>
      </c>
      <c r="M63" s="662">
        <v>-3000</v>
      </c>
      <c r="N63" s="662">
        <v>-3000</v>
      </c>
      <c r="O63" s="662">
        <v>-3000</v>
      </c>
      <c r="P63" s="662">
        <v>-3000</v>
      </c>
      <c r="Q63" s="662">
        <v>-3000</v>
      </c>
      <c r="R63" s="662">
        <v>-3000</v>
      </c>
    </row>
    <row r="64" spans="1:18" ht="12.75">
      <c r="A64" s="661" t="s">
        <v>670</v>
      </c>
      <c r="B64" s="662">
        <v>3000</v>
      </c>
      <c r="C64" s="704">
        <v>3000</v>
      </c>
      <c r="D64" s="704">
        <v>3000</v>
      </c>
      <c r="E64" s="662">
        <v>3000</v>
      </c>
      <c r="F64" s="662">
        <v>3000</v>
      </c>
      <c r="G64" s="662">
        <v>3000</v>
      </c>
      <c r="H64" s="662">
        <v>3000</v>
      </c>
      <c r="I64" s="662">
        <v>3000</v>
      </c>
      <c r="J64" s="662">
        <v>3000</v>
      </c>
      <c r="K64" s="662">
        <v>3000</v>
      </c>
      <c r="L64" s="662">
        <v>3000</v>
      </c>
      <c r="M64" s="662">
        <v>3000</v>
      </c>
      <c r="N64" s="662">
        <v>3000</v>
      </c>
      <c r="O64" s="662">
        <v>3000</v>
      </c>
      <c r="P64" s="662">
        <v>3000</v>
      </c>
      <c r="Q64" s="662">
        <v>3000</v>
      </c>
      <c r="R64" s="662">
        <v>3000</v>
      </c>
    </row>
    <row r="65" spans="1:18" ht="12.75">
      <c r="A65" s="661" t="s">
        <v>671</v>
      </c>
      <c r="B65" s="662">
        <v>20</v>
      </c>
      <c r="C65" s="704">
        <v>20</v>
      </c>
      <c r="D65" s="704">
        <v>20</v>
      </c>
      <c r="E65" s="662">
        <v>20</v>
      </c>
      <c r="F65" s="662">
        <v>20</v>
      </c>
      <c r="G65" s="662">
        <v>20</v>
      </c>
      <c r="H65" s="662">
        <v>20</v>
      </c>
      <c r="I65" s="662">
        <v>20</v>
      </c>
      <c r="J65" s="662">
        <v>20</v>
      </c>
      <c r="K65" s="662">
        <v>20</v>
      </c>
      <c r="L65" s="662">
        <v>20</v>
      </c>
      <c r="M65" s="662">
        <v>20</v>
      </c>
      <c r="N65" s="662">
        <v>20</v>
      </c>
      <c r="O65" s="662">
        <v>20</v>
      </c>
      <c r="P65" s="662">
        <v>20</v>
      </c>
      <c r="Q65" s="662">
        <v>20</v>
      </c>
      <c r="R65" s="662">
        <v>20</v>
      </c>
    </row>
    <row r="66" spans="1:18" ht="12.75">
      <c r="A66" s="661" t="s">
        <v>672</v>
      </c>
      <c r="B66" s="662">
        <v>80</v>
      </c>
      <c r="C66" s="662">
        <v>80</v>
      </c>
      <c r="D66" s="662">
        <v>80</v>
      </c>
      <c r="E66" s="662">
        <v>80</v>
      </c>
      <c r="F66" s="662">
        <v>80</v>
      </c>
      <c r="G66" s="662">
        <v>80</v>
      </c>
      <c r="H66" s="662">
        <v>60</v>
      </c>
      <c r="I66" s="662">
        <v>80</v>
      </c>
      <c r="J66" s="662">
        <v>80</v>
      </c>
      <c r="K66" s="662">
        <v>80</v>
      </c>
      <c r="L66" s="662">
        <v>80</v>
      </c>
      <c r="M66" s="662">
        <v>80</v>
      </c>
      <c r="N66" s="662">
        <v>80</v>
      </c>
      <c r="O66" s="662">
        <v>80</v>
      </c>
      <c r="P66" s="662">
        <v>80</v>
      </c>
      <c r="Q66" s="662">
        <v>80</v>
      </c>
      <c r="R66" s="662">
        <v>80</v>
      </c>
    </row>
    <row r="67" spans="1:18" ht="12.75">
      <c r="A67" s="661" t="s">
        <v>673</v>
      </c>
      <c r="B67" s="662">
        <v>5</v>
      </c>
      <c r="C67" s="704">
        <v>5</v>
      </c>
      <c r="D67" s="704">
        <v>5</v>
      </c>
      <c r="E67" s="662">
        <v>5</v>
      </c>
      <c r="F67" s="662">
        <v>5</v>
      </c>
      <c r="G67" s="662">
        <v>5</v>
      </c>
      <c r="H67" s="662">
        <v>5</v>
      </c>
      <c r="I67" s="662">
        <v>5</v>
      </c>
      <c r="J67" s="662">
        <v>5</v>
      </c>
      <c r="K67" s="662">
        <v>5</v>
      </c>
      <c r="L67" s="662">
        <v>5</v>
      </c>
      <c r="M67" s="662">
        <v>5</v>
      </c>
      <c r="N67" s="662">
        <v>5</v>
      </c>
      <c r="O67" s="662">
        <v>5</v>
      </c>
      <c r="P67" s="662">
        <v>5</v>
      </c>
      <c r="Q67" s="662">
        <v>5</v>
      </c>
      <c r="R67" s="662">
        <v>5</v>
      </c>
    </row>
    <row r="68" spans="1:18" ht="12.75">
      <c r="A68" s="661" t="s">
        <v>674</v>
      </c>
      <c r="B68" s="662">
        <v>300</v>
      </c>
      <c r="C68" s="704">
        <v>300</v>
      </c>
      <c r="D68" s="704">
        <v>300</v>
      </c>
      <c r="E68" s="662">
        <v>300</v>
      </c>
      <c r="F68" s="662">
        <v>300</v>
      </c>
      <c r="G68" s="662">
        <v>300</v>
      </c>
      <c r="H68" s="662">
        <v>300</v>
      </c>
      <c r="I68" s="662">
        <v>300</v>
      </c>
      <c r="J68" s="662">
        <v>300</v>
      </c>
      <c r="K68" s="662">
        <v>300</v>
      </c>
      <c r="L68" s="662">
        <v>300</v>
      </c>
      <c r="M68" s="662">
        <v>300</v>
      </c>
      <c r="N68" s="662">
        <v>300</v>
      </c>
      <c r="O68" s="662">
        <v>300</v>
      </c>
      <c r="P68" s="662">
        <v>300</v>
      </c>
      <c r="Q68" s="662">
        <v>300</v>
      </c>
      <c r="R68" s="662">
        <v>300</v>
      </c>
    </row>
    <row r="69" spans="1:18" ht="12.75">
      <c r="A69" s="661" t="s">
        <v>675</v>
      </c>
      <c r="B69" s="662">
        <v>0.8</v>
      </c>
      <c r="C69" s="704">
        <v>0.8</v>
      </c>
      <c r="D69" s="704">
        <v>0.8</v>
      </c>
      <c r="E69" s="662">
        <v>0.8</v>
      </c>
      <c r="F69" s="662">
        <v>0.8</v>
      </c>
      <c r="G69" s="662">
        <v>0.8</v>
      </c>
      <c r="H69" s="662">
        <v>0.8</v>
      </c>
      <c r="I69" s="662">
        <v>0.8</v>
      </c>
      <c r="J69" s="662">
        <v>0.8</v>
      </c>
      <c r="K69" s="662">
        <v>0.8</v>
      </c>
      <c r="L69" s="662">
        <v>0.8</v>
      </c>
      <c r="M69" s="662">
        <v>0.8</v>
      </c>
      <c r="N69" s="662">
        <v>0.8</v>
      </c>
      <c r="O69" s="662">
        <v>0.8</v>
      </c>
      <c r="P69" s="662">
        <v>0.8</v>
      </c>
      <c r="Q69" s="662">
        <v>0.8</v>
      </c>
      <c r="R69" s="662">
        <v>0.8</v>
      </c>
    </row>
    <row r="70" spans="1:18" ht="12.75">
      <c r="A70" s="661" t="s">
        <v>676</v>
      </c>
      <c r="B70" s="662">
        <v>0.05</v>
      </c>
      <c r="C70" s="704">
        <v>0.05</v>
      </c>
      <c r="D70" s="704">
        <v>0.05</v>
      </c>
      <c r="E70" s="662">
        <v>0.05</v>
      </c>
      <c r="F70" s="662">
        <v>0.05</v>
      </c>
      <c r="G70" s="662">
        <v>0.05</v>
      </c>
      <c r="H70" s="662">
        <v>0.05</v>
      </c>
      <c r="I70" s="662">
        <v>0.05</v>
      </c>
      <c r="J70" s="662">
        <v>0.05</v>
      </c>
      <c r="K70" s="662">
        <v>0.05</v>
      </c>
      <c r="L70" s="662">
        <v>0.05</v>
      </c>
      <c r="M70" s="662">
        <v>0.05</v>
      </c>
      <c r="N70" s="662">
        <v>0.05</v>
      </c>
      <c r="O70" s="662">
        <v>0.05</v>
      </c>
      <c r="P70" s="662">
        <v>0.05</v>
      </c>
      <c r="Q70" s="662">
        <v>0.05</v>
      </c>
      <c r="R70" s="662">
        <v>0.05</v>
      </c>
    </row>
    <row r="71" spans="1:18" ht="25.5">
      <c r="A71" s="682" t="s">
        <v>607</v>
      </c>
      <c r="B71" s="662">
        <v>4</v>
      </c>
      <c r="C71" s="704">
        <v>4</v>
      </c>
      <c r="D71" s="704">
        <v>4</v>
      </c>
      <c r="E71" s="704">
        <v>4</v>
      </c>
      <c r="F71" s="662">
        <v>4</v>
      </c>
      <c r="G71" s="662">
        <v>4</v>
      </c>
      <c r="H71" s="662">
        <v>4</v>
      </c>
      <c r="I71" s="662">
        <v>4</v>
      </c>
      <c r="J71" s="704">
        <v>4</v>
      </c>
      <c r="K71" s="662">
        <v>4</v>
      </c>
      <c r="L71" s="662">
        <v>4</v>
      </c>
      <c r="M71" s="662">
        <v>4</v>
      </c>
      <c r="N71" s="662">
        <v>4</v>
      </c>
      <c r="O71" s="662">
        <v>4</v>
      </c>
      <c r="P71" s="662">
        <v>4</v>
      </c>
      <c r="Q71" s="662">
        <v>4</v>
      </c>
      <c r="R71" s="662">
        <v>4</v>
      </c>
    </row>
    <row r="72" spans="1:18" ht="12.75">
      <c r="A72" s="682" t="s">
        <v>608</v>
      </c>
      <c r="B72" s="662">
        <v>1800</v>
      </c>
      <c r="C72" s="704">
        <v>1800</v>
      </c>
      <c r="D72" s="704">
        <v>1800</v>
      </c>
      <c r="E72" s="662">
        <v>1800</v>
      </c>
      <c r="F72" s="662">
        <v>1800</v>
      </c>
      <c r="G72" s="662">
        <v>1800</v>
      </c>
      <c r="H72" s="662">
        <v>1800</v>
      </c>
      <c r="I72" s="662">
        <v>1800</v>
      </c>
      <c r="J72" s="662">
        <v>1800</v>
      </c>
      <c r="K72" s="662">
        <v>1800</v>
      </c>
      <c r="L72" s="662">
        <v>1800</v>
      </c>
      <c r="M72" s="662">
        <v>1800</v>
      </c>
      <c r="N72" s="662">
        <v>1800</v>
      </c>
      <c r="O72" s="662">
        <v>1800</v>
      </c>
      <c r="P72" s="662">
        <v>1800</v>
      </c>
      <c r="Q72" s="662">
        <v>1800</v>
      </c>
      <c r="R72" s="662">
        <v>1800</v>
      </c>
    </row>
    <row r="73" spans="1:18" ht="12.75">
      <c r="A73" s="661" t="s">
        <v>609</v>
      </c>
      <c r="B73" s="662">
        <v>6.1000000000000004E-3</v>
      </c>
      <c r="C73" s="704">
        <v>2.2100000000000002E-2</v>
      </c>
      <c r="D73" s="704">
        <v>2.2100000000000002E-2</v>
      </c>
      <c r="E73" s="662">
        <v>2.2100000000000002E-2</v>
      </c>
      <c r="F73" s="662">
        <v>8.6E-3</v>
      </c>
      <c r="G73" s="662">
        <v>8.6E-3</v>
      </c>
      <c r="H73" s="662">
        <v>1.1000000000000001E-3</v>
      </c>
      <c r="I73" s="662">
        <v>1.01E-2</v>
      </c>
      <c r="J73" s="662">
        <v>3.1099999999999999E-2</v>
      </c>
      <c r="K73" s="664">
        <v>3.0999999999999999E-3</v>
      </c>
      <c r="L73" s="662">
        <v>4.5999999999999999E-3</v>
      </c>
      <c r="M73" s="662">
        <v>7.6E-3</v>
      </c>
      <c r="N73" s="662">
        <v>2.0999999999999999E-3</v>
      </c>
      <c r="O73" s="662">
        <v>1.01E-2</v>
      </c>
      <c r="P73" s="662">
        <v>8.6E-3</v>
      </c>
      <c r="Q73" s="662">
        <v>7.6E-3</v>
      </c>
      <c r="R73" s="662">
        <v>4.5999999999999999E-3</v>
      </c>
    </row>
    <row r="74" spans="1:18" ht="12.75">
      <c r="A74" s="661" t="s">
        <v>611</v>
      </c>
      <c r="B74" s="662">
        <v>4.4499999999999998E-2</v>
      </c>
      <c r="C74" s="704">
        <v>9.8100000000000007E-2</v>
      </c>
      <c r="D74" s="704">
        <v>9.8100000000000007E-2</v>
      </c>
      <c r="E74" s="662">
        <v>9.8100000000000007E-2</v>
      </c>
      <c r="F74" s="662">
        <v>5.6500000000000002E-2</v>
      </c>
      <c r="G74" s="662">
        <v>5.6500000000000002E-2</v>
      </c>
      <c r="H74" s="662">
        <v>2.9100000000000001E-2</v>
      </c>
      <c r="I74" s="662">
        <v>6.4999999999999997E-3</v>
      </c>
      <c r="J74" s="662">
        <v>1.6E-2</v>
      </c>
      <c r="K74" s="664">
        <v>2.5499999999999998E-2</v>
      </c>
      <c r="L74" s="662">
        <v>3.7499999999999999E-2</v>
      </c>
      <c r="M74" s="662">
        <v>5.0000000000000001E-3</v>
      </c>
      <c r="N74" s="662">
        <v>5.0000000000000001E-3</v>
      </c>
      <c r="O74" s="662">
        <v>6.4999999999999997E-3</v>
      </c>
      <c r="P74" s="662">
        <v>5.6500000000000002E-2</v>
      </c>
      <c r="Q74" s="662">
        <v>5.0000000000000001E-3</v>
      </c>
      <c r="R74" s="662">
        <v>3.7499999999999999E-2</v>
      </c>
    </row>
    <row r="75" spans="1:18" ht="12.75">
      <c r="A75" s="661" t="s">
        <v>613</v>
      </c>
      <c r="B75" s="662">
        <v>1</v>
      </c>
      <c r="C75" s="704">
        <v>1</v>
      </c>
      <c r="D75" s="704">
        <v>1</v>
      </c>
      <c r="E75" s="662">
        <v>1</v>
      </c>
      <c r="F75" s="662">
        <v>1</v>
      </c>
      <c r="G75" s="662">
        <v>1</v>
      </c>
      <c r="H75" s="662">
        <v>1</v>
      </c>
      <c r="I75" s="662">
        <v>1</v>
      </c>
      <c r="J75" s="662">
        <v>1</v>
      </c>
      <c r="K75" s="664">
        <v>1</v>
      </c>
      <c r="L75" s="662">
        <v>1</v>
      </c>
      <c r="M75" s="662">
        <v>1</v>
      </c>
      <c r="N75" s="662">
        <v>1</v>
      </c>
      <c r="O75" s="662">
        <v>1</v>
      </c>
      <c r="P75" s="662">
        <v>1</v>
      </c>
      <c r="Q75" s="662">
        <v>1</v>
      </c>
      <c r="R75" s="662">
        <v>1</v>
      </c>
    </row>
    <row r="76" spans="1:18" ht="12.75">
      <c r="A76" s="661" t="s">
        <v>615</v>
      </c>
      <c r="B76" s="662">
        <v>2.5000000000000001E-4</v>
      </c>
      <c r="C76" s="704">
        <v>4.4999999999999997E-3</v>
      </c>
      <c r="D76" s="704">
        <v>4.4999999999999997E-3</v>
      </c>
      <c r="E76" s="662">
        <v>4.4999999999999997E-3</v>
      </c>
      <c r="F76" s="662">
        <v>2.5000000000000001E-4</v>
      </c>
      <c r="G76" s="662">
        <v>2.5000000000000001E-4</v>
      </c>
      <c r="H76" s="662">
        <v>5.9999999999999995E-4</v>
      </c>
      <c r="I76" s="662">
        <v>1.4999999999999999E-4</v>
      </c>
      <c r="J76" s="662">
        <v>3.5E-4</v>
      </c>
      <c r="K76" s="664">
        <v>2.0000000000000001E-4</v>
      </c>
      <c r="L76" s="662">
        <v>1.4999999999999999E-4</v>
      </c>
      <c r="M76" s="662">
        <v>1.4999999999999999E-4</v>
      </c>
      <c r="N76" s="662">
        <v>1.4999999999999999E-4</v>
      </c>
      <c r="O76" s="662">
        <v>1.4999999999999999E-4</v>
      </c>
      <c r="P76" s="662">
        <v>2.5000000000000001E-4</v>
      </c>
      <c r="Q76" s="662">
        <v>1.4999999999999999E-4</v>
      </c>
      <c r="R76" s="662">
        <v>1.4999999999999999E-4</v>
      </c>
    </row>
    <row r="77" spans="1:18" ht="24" customHeight="1">
      <c r="A77" s="707" t="s">
        <v>617</v>
      </c>
      <c r="B77" s="709"/>
      <c r="C77" s="708"/>
      <c r="D77" s="708"/>
      <c r="E77" s="709"/>
      <c r="F77" s="709"/>
      <c r="G77" s="709"/>
      <c r="H77" s="709"/>
      <c r="I77" s="709"/>
      <c r="J77" s="709"/>
      <c r="K77" s="709"/>
      <c r="L77" s="709"/>
      <c r="M77" s="709"/>
      <c r="N77" s="709"/>
      <c r="O77" s="709"/>
      <c r="P77" s="709"/>
      <c r="Q77" s="709"/>
      <c r="R77" s="709"/>
    </row>
    <row r="78" spans="1:18" ht="12.75">
      <c r="A78" s="661" t="s">
        <v>618</v>
      </c>
      <c r="B78" s="661">
        <f>90*0.366471</f>
        <v>32.982390000000002</v>
      </c>
      <c r="C78" s="661">
        <f>90*0.217616</f>
        <v>19.585440000000002</v>
      </c>
      <c r="D78" s="661">
        <f>90*0.217616</f>
        <v>19.585440000000002</v>
      </c>
      <c r="E78" s="661">
        <f>90*0.217616</f>
        <v>19.585440000000002</v>
      </c>
      <c r="F78" s="661">
        <f>90*0.268941</f>
        <v>24.204689999999999</v>
      </c>
      <c r="G78" s="661">
        <f>90*0.268941</f>
        <v>24.204689999999999</v>
      </c>
      <c r="H78" s="661">
        <f>90*0.33381</f>
        <v>30.042899999999999</v>
      </c>
      <c r="I78" s="661">
        <f>90*0.330668</f>
        <v>29.760120000000001</v>
      </c>
      <c r="J78" s="661">
        <f>90*0.244082</f>
        <v>21.967379999999999</v>
      </c>
      <c r="K78" s="661">
        <f>90*0.351321</f>
        <v>31.61889</v>
      </c>
      <c r="L78" s="661">
        <f>90*0.375092</f>
        <v>33.758279999999999</v>
      </c>
      <c r="M78" s="661">
        <f>90*0.460812</f>
        <v>41.473080000000003</v>
      </c>
      <c r="N78" s="661">
        <f>90*0.460812</f>
        <v>41.473080000000003</v>
      </c>
      <c r="O78" s="661">
        <f>90*0.330668</f>
        <v>29.760120000000001</v>
      </c>
      <c r="P78" s="661">
        <f>90*0.268941</f>
        <v>24.204689999999999</v>
      </c>
      <c r="Q78" s="661">
        <f>90*0.460812</f>
        <v>41.473080000000003</v>
      </c>
      <c r="R78" s="662">
        <f>90*0.375092</f>
        <v>33.758279999999999</v>
      </c>
    </row>
    <row r="79" spans="1:18" ht="12.75">
      <c r="A79" s="661" t="s">
        <v>619</v>
      </c>
      <c r="B79" s="661">
        <v>32.111400000000003</v>
      </c>
      <c r="C79" s="661">
        <v>21.14</v>
      </c>
      <c r="D79" s="661">
        <v>21.14</v>
      </c>
      <c r="E79" s="661">
        <v>21.14</v>
      </c>
      <c r="F79" s="661">
        <v>42.257899999999999</v>
      </c>
      <c r="G79" s="661">
        <v>42.257899999999999</v>
      </c>
      <c r="H79" s="661">
        <v>38.481200000000001</v>
      </c>
      <c r="I79" s="661">
        <v>46.746899999999997</v>
      </c>
      <c r="J79" s="661">
        <v>25.088000000000001</v>
      </c>
      <c r="K79" s="661">
        <v>61.0884</v>
      </c>
      <c r="L79" s="661">
        <v>41.403599999999997</v>
      </c>
      <c r="M79" s="661">
        <v>53.586399999999998</v>
      </c>
      <c r="N79" s="661">
        <v>53.586399999999998</v>
      </c>
      <c r="O79" s="661">
        <v>46.746899999999997</v>
      </c>
      <c r="P79" s="661">
        <v>42.257899999999999</v>
      </c>
      <c r="Q79" s="661">
        <v>53.586399999999998</v>
      </c>
      <c r="R79" s="662">
        <v>41.403599999999997</v>
      </c>
    </row>
    <row r="80" spans="1:18" ht="12.75">
      <c r="A80" s="661" t="s">
        <v>621</v>
      </c>
      <c r="B80" s="662">
        <v>1.4</v>
      </c>
      <c r="C80" s="661">
        <v>1.2</v>
      </c>
      <c r="D80" s="661">
        <v>1.2</v>
      </c>
      <c r="E80" s="662">
        <v>1.2</v>
      </c>
      <c r="F80" s="662">
        <v>1.2749999999999999</v>
      </c>
      <c r="G80" s="662">
        <v>1.2749999999999999</v>
      </c>
      <c r="H80" s="662">
        <v>1.2749999999999999</v>
      </c>
      <c r="I80" s="662">
        <v>1.4</v>
      </c>
      <c r="J80" s="662">
        <v>1.2</v>
      </c>
      <c r="K80" s="662">
        <v>1.4</v>
      </c>
      <c r="L80" s="662">
        <v>1.4</v>
      </c>
      <c r="M80" s="662">
        <v>1.45</v>
      </c>
      <c r="N80" s="662">
        <v>1.45</v>
      </c>
      <c r="O80" s="662">
        <v>1.4</v>
      </c>
      <c r="P80" s="662">
        <v>1.2749999999999999</v>
      </c>
      <c r="Q80" s="662">
        <v>1.45</v>
      </c>
      <c r="R80" s="662">
        <v>1.4</v>
      </c>
    </row>
    <row r="81" spans="1:18" ht="12.75">
      <c r="A81" s="661" t="s">
        <v>622</v>
      </c>
      <c r="B81" s="668" t="s">
        <v>293</v>
      </c>
      <c r="C81" s="669" t="s">
        <v>293</v>
      </c>
      <c r="D81" s="669" t="s">
        <v>293</v>
      </c>
      <c r="E81" s="668" t="s">
        <v>293</v>
      </c>
      <c r="F81" s="668" t="s">
        <v>293</v>
      </c>
      <c r="G81" s="668" t="s">
        <v>293</v>
      </c>
      <c r="H81" s="668" t="s">
        <v>293</v>
      </c>
      <c r="I81" s="668" t="s">
        <v>293</v>
      </c>
      <c r="J81" s="668" t="s">
        <v>293</v>
      </c>
      <c r="K81" s="668" t="s">
        <v>293</v>
      </c>
      <c r="L81" s="668" t="s">
        <v>293</v>
      </c>
      <c r="M81" s="668" t="s">
        <v>293</v>
      </c>
      <c r="N81" s="668" t="s">
        <v>293</v>
      </c>
      <c r="O81" s="668" t="s">
        <v>293</v>
      </c>
      <c r="P81" s="668" t="s">
        <v>293</v>
      </c>
      <c r="Q81" s="668" t="s">
        <v>293</v>
      </c>
      <c r="R81" s="668" t="s">
        <v>293</v>
      </c>
    </row>
    <row r="82" spans="1:18" ht="12.75">
      <c r="A82" s="661" t="s">
        <v>623</v>
      </c>
      <c r="B82" s="662">
        <v>1500</v>
      </c>
      <c r="C82" s="661">
        <v>1800</v>
      </c>
      <c r="D82" s="661">
        <v>1800</v>
      </c>
      <c r="E82" s="662">
        <v>1800</v>
      </c>
      <c r="F82" s="662">
        <v>1500</v>
      </c>
      <c r="G82" s="662">
        <v>1500</v>
      </c>
      <c r="H82" s="662">
        <v>1500</v>
      </c>
      <c r="I82" s="662">
        <v>1500</v>
      </c>
      <c r="J82" s="662">
        <v>1800</v>
      </c>
      <c r="K82" s="662">
        <v>1500</v>
      </c>
      <c r="L82" s="662">
        <v>1500</v>
      </c>
      <c r="M82" s="662">
        <v>1500</v>
      </c>
      <c r="N82" s="662">
        <v>1500</v>
      </c>
      <c r="O82" s="662">
        <v>1500</v>
      </c>
      <c r="P82" s="662">
        <v>1500</v>
      </c>
      <c r="Q82" s="662">
        <v>1500</v>
      </c>
      <c r="R82" s="662">
        <v>1500</v>
      </c>
    </row>
    <row r="83" spans="1:18" ht="12.75">
      <c r="A83" s="661" t="s">
        <v>624</v>
      </c>
      <c r="B83" s="662">
        <v>4</v>
      </c>
      <c r="C83" s="661">
        <v>4.3</v>
      </c>
      <c r="D83" s="661">
        <v>4.3</v>
      </c>
      <c r="E83" s="662">
        <v>4.3</v>
      </c>
      <c r="F83" s="662">
        <v>4</v>
      </c>
      <c r="G83" s="662">
        <v>4</v>
      </c>
      <c r="H83" s="662">
        <v>4</v>
      </c>
      <c r="I83" s="662">
        <v>4</v>
      </c>
      <c r="J83" s="662">
        <v>4</v>
      </c>
      <c r="K83" s="662">
        <v>4</v>
      </c>
      <c r="L83" s="662">
        <v>4</v>
      </c>
      <c r="M83" s="662">
        <v>4</v>
      </c>
      <c r="N83" s="662">
        <v>4</v>
      </c>
      <c r="O83" s="662">
        <v>4</v>
      </c>
      <c r="P83" s="662">
        <v>4</v>
      </c>
      <c r="Q83" s="662">
        <v>4</v>
      </c>
      <c r="R83" s="662">
        <v>4</v>
      </c>
    </row>
    <row r="84" spans="1:18" ht="12.75">
      <c r="A84" s="661" t="s">
        <v>625</v>
      </c>
      <c r="B84" s="662">
        <v>100</v>
      </c>
      <c r="C84" s="661">
        <v>150</v>
      </c>
      <c r="D84" s="661">
        <v>150</v>
      </c>
      <c r="E84" s="662">
        <v>150</v>
      </c>
      <c r="F84" s="662">
        <v>80</v>
      </c>
      <c r="G84" s="662">
        <v>80</v>
      </c>
      <c r="H84" s="662">
        <v>180</v>
      </c>
      <c r="I84" s="662">
        <v>80</v>
      </c>
      <c r="J84" s="662">
        <v>150</v>
      </c>
      <c r="K84" s="662">
        <v>50</v>
      </c>
      <c r="L84" s="662">
        <v>80</v>
      </c>
      <c r="M84" s="662">
        <v>80</v>
      </c>
      <c r="N84" s="662">
        <v>120</v>
      </c>
      <c r="O84" s="662">
        <v>80</v>
      </c>
      <c r="P84" s="662">
        <v>80</v>
      </c>
      <c r="Q84" s="662">
        <v>80</v>
      </c>
      <c r="R84" s="662">
        <v>80</v>
      </c>
    </row>
    <row r="85" spans="1:18" ht="12.75">
      <c r="A85" s="661" t="s">
        <v>629</v>
      </c>
      <c r="B85" s="662">
        <v>30</v>
      </c>
      <c r="C85" s="661">
        <v>30</v>
      </c>
      <c r="D85" s="661">
        <v>30</v>
      </c>
      <c r="E85" s="662">
        <v>30</v>
      </c>
      <c r="F85" s="662">
        <v>30</v>
      </c>
      <c r="G85" s="662">
        <v>30</v>
      </c>
      <c r="H85" s="662">
        <v>30</v>
      </c>
      <c r="I85" s="662">
        <v>30</v>
      </c>
      <c r="J85" s="662">
        <v>30</v>
      </c>
      <c r="K85" s="662">
        <v>30</v>
      </c>
      <c r="L85" s="662">
        <v>30</v>
      </c>
      <c r="M85" s="662">
        <v>30</v>
      </c>
      <c r="N85" s="662">
        <v>30</v>
      </c>
      <c r="O85" s="662">
        <v>30</v>
      </c>
      <c r="P85" s="662">
        <v>30</v>
      </c>
      <c r="Q85" s="662">
        <v>30</v>
      </c>
      <c r="R85" s="662">
        <v>30</v>
      </c>
    </row>
    <row r="86" spans="1:18" ht="12.75">
      <c r="A86" s="661" t="s">
        <v>759</v>
      </c>
      <c r="B86" s="662">
        <v>100</v>
      </c>
      <c r="C86" s="661">
        <v>150</v>
      </c>
      <c r="D86" s="661">
        <v>150</v>
      </c>
      <c r="E86" s="662">
        <v>150</v>
      </c>
      <c r="F86" s="662">
        <v>80</v>
      </c>
      <c r="G86" s="662">
        <v>80</v>
      </c>
      <c r="H86" s="662">
        <v>180</v>
      </c>
      <c r="I86" s="662">
        <v>80</v>
      </c>
      <c r="J86" s="662">
        <v>110</v>
      </c>
      <c r="K86" s="662">
        <v>50</v>
      </c>
      <c r="L86" s="662">
        <v>80</v>
      </c>
      <c r="M86" s="662">
        <v>80</v>
      </c>
      <c r="N86" s="662">
        <v>120</v>
      </c>
      <c r="O86" s="662">
        <v>80</v>
      </c>
      <c r="P86" s="662">
        <v>80</v>
      </c>
      <c r="Q86" s="662">
        <v>80</v>
      </c>
      <c r="R86" s="662">
        <v>80</v>
      </c>
    </row>
    <row r="87" spans="1:18" ht="12.75">
      <c r="A87" s="661" t="s">
        <v>631</v>
      </c>
      <c r="B87" s="662">
        <v>32</v>
      </c>
      <c r="C87" s="661">
        <v>17</v>
      </c>
      <c r="D87" s="661">
        <v>17</v>
      </c>
      <c r="E87" s="662">
        <v>17</v>
      </c>
      <c r="F87" s="662">
        <v>35</v>
      </c>
      <c r="G87" s="662">
        <v>35</v>
      </c>
      <c r="H87" s="662">
        <v>35</v>
      </c>
      <c r="I87" s="662">
        <v>40</v>
      </c>
      <c r="J87" s="662">
        <v>20</v>
      </c>
      <c r="K87" s="662">
        <v>50</v>
      </c>
      <c r="L87" s="662">
        <v>38</v>
      </c>
      <c r="M87" s="662">
        <v>50</v>
      </c>
      <c r="N87" s="662">
        <v>50</v>
      </c>
      <c r="O87" s="662">
        <v>40</v>
      </c>
      <c r="P87" s="662">
        <v>35</v>
      </c>
      <c r="Q87" s="662">
        <v>50</v>
      </c>
      <c r="R87" s="662">
        <v>38</v>
      </c>
    </row>
    <row r="88" spans="1:18" ht="12.75">
      <c r="A88" s="661" t="s">
        <v>632</v>
      </c>
      <c r="B88" s="662">
        <v>32</v>
      </c>
      <c r="C88" s="661">
        <v>17</v>
      </c>
      <c r="D88" s="661">
        <v>17</v>
      </c>
      <c r="E88" s="661">
        <v>17</v>
      </c>
      <c r="F88" s="662">
        <v>35</v>
      </c>
      <c r="G88" s="662">
        <v>35</v>
      </c>
      <c r="H88" s="662">
        <v>35</v>
      </c>
      <c r="I88" s="662">
        <v>40</v>
      </c>
      <c r="J88" s="661">
        <v>20</v>
      </c>
      <c r="K88" s="662">
        <v>50</v>
      </c>
      <c r="L88" s="662">
        <v>38</v>
      </c>
      <c r="M88" s="662">
        <v>50</v>
      </c>
      <c r="N88" s="662">
        <v>50</v>
      </c>
      <c r="O88" s="662">
        <v>40</v>
      </c>
      <c r="P88" s="662">
        <v>35</v>
      </c>
      <c r="Q88" s="662">
        <v>50</v>
      </c>
      <c r="R88" s="662">
        <v>38</v>
      </c>
    </row>
    <row r="89" spans="1:18" ht="12.75">
      <c r="A89" s="661" t="s">
        <v>756</v>
      </c>
      <c r="B89" s="662" t="s">
        <v>757</v>
      </c>
      <c r="C89" s="704" t="s">
        <v>853</v>
      </c>
      <c r="D89" s="704" t="s">
        <v>853</v>
      </c>
      <c r="E89" s="704" t="s">
        <v>853</v>
      </c>
      <c r="F89" s="668" t="s">
        <v>293</v>
      </c>
      <c r="G89" s="668" t="s">
        <v>293</v>
      </c>
      <c r="H89" s="704" t="s">
        <v>757</v>
      </c>
      <c r="I89" s="704" t="s">
        <v>757</v>
      </c>
      <c r="J89" s="668" t="s">
        <v>293</v>
      </c>
      <c r="K89" s="704" t="s">
        <v>852</v>
      </c>
      <c r="L89" s="704" t="s">
        <v>757</v>
      </c>
      <c r="M89" s="704" t="s">
        <v>757</v>
      </c>
      <c r="N89" s="704" t="s">
        <v>757</v>
      </c>
      <c r="O89" s="704" t="s">
        <v>757</v>
      </c>
      <c r="P89" s="668" t="s">
        <v>293</v>
      </c>
      <c r="Q89" s="704" t="s">
        <v>757</v>
      </c>
      <c r="R89" s="704" t="s">
        <v>757</v>
      </c>
    </row>
    <row r="90" spans="1:18" ht="12.75">
      <c r="A90" s="661" t="s">
        <v>756</v>
      </c>
      <c r="B90" s="662" t="s">
        <v>849</v>
      </c>
      <c r="C90" s="704" t="s">
        <v>851</v>
      </c>
      <c r="D90" s="704" t="s">
        <v>851</v>
      </c>
      <c r="E90" s="704" t="s">
        <v>851</v>
      </c>
      <c r="F90" s="668" t="s">
        <v>293</v>
      </c>
      <c r="G90" s="668" t="s">
        <v>293</v>
      </c>
      <c r="H90" s="704" t="s">
        <v>849</v>
      </c>
      <c r="I90" s="704" t="s">
        <v>849</v>
      </c>
      <c r="J90" s="668" t="s">
        <v>293</v>
      </c>
      <c r="K90" s="704" t="s">
        <v>850</v>
      </c>
      <c r="L90" s="704" t="s">
        <v>849</v>
      </c>
      <c r="M90" s="704" t="s">
        <v>849</v>
      </c>
      <c r="N90" s="704" t="s">
        <v>849</v>
      </c>
      <c r="O90" s="704" t="s">
        <v>849</v>
      </c>
      <c r="P90" s="668" t="s">
        <v>293</v>
      </c>
      <c r="Q90" s="704" t="s">
        <v>849</v>
      </c>
      <c r="R90" s="704" t="s">
        <v>849</v>
      </c>
    </row>
    <row r="91" spans="1:18" ht="12.75">
      <c r="A91" s="661" t="s">
        <v>756</v>
      </c>
      <c r="B91" s="717" t="s">
        <v>293</v>
      </c>
      <c r="C91" s="667" t="s">
        <v>293</v>
      </c>
      <c r="D91" s="667" t="s">
        <v>293</v>
      </c>
      <c r="E91" s="667" t="s">
        <v>293</v>
      </c>
      <c r="F91" s="668" t="s">
        <v>293</v>
      </c>
      <c r="G91" s="668" t="s">
        <v>293</v>
      </c>
      <c r="H91" s="667" t="s">
        <v>293</v>
      </c>
      <c r="I91" s="667" t="s">
        <v>293</v>
      </c>
      <c r="J91" s="668" t="s">
        <v>293</v>
      </c>
      <c r="K91" s="667" t="s">
        <v>293</v>
      </c>
      <c r="L91" s="667" t="s">
        <v>293</v>
      </c>
      <c r="M91" s="667" t="s">
        <v>293</v>
      </c>
      <c r="N91" s="667" t="s">
        <v>293</v>
      </c>
      <c r="O91" s="667" t="s">
        <v>293</v>
      </c>
      <c r="P91" s="717" t="s">
        <v>293</v>
      </c>
      <c r="Q91" s="667" t="s">
        <v>293</v>
      </c>
      <c r="R91" s="667" t="s">
        <v>293</v>
      </c>
    </row>
    <row r="92" spans="1:18" ht="12.75">
      <c r="A92" s="661" t="s">
        <v>730</v>
      </c>
      <c r="B92" s="717" t="s">
        <v>293</v>
      </c>
      <c r="C92" s="667" t="s">
        <v>293</v>
      </c>
      <c r="D92" s="667" t="s">
        <v>293</v>
      </c>
      <c r="E92" s="667" t="s">
        <v>293</v>
      </c>
      <c r="F92" s="717" t="s">
        <v>293</v>
      </c>
      <c r="G92" s="717" t="s">
        <v>293</v>
      </c>
      <c r="H92" s="662" t="s">
        <v>848</v>
      </c>
      <c r="I92" s="718" t="s">
        <v>293</v>
      </c>
      <c r="J92" s="667" t="s">
        <v>293</v>
      </c>
      <c r="K92" s="718" t="s">
        <v>293</v>
      </c>
      <c r="L92" s="718" t="s">
        <v>293</v>
      </c>
      <c r="M92" s="717" t="s">
        <v>293</v>
      </c>
      <c r="N92" s="717" t="s">
        <v>293</v>
      </c>
      <c r="O92" s="718" t="s">
        <v>293</v>
      </c>
      <c r="P92" s="717" t="s">
        <v>293</v>
      </c>
      <c r="Q92" s="717" t="s">
        <v>293</v>
      </c>
      <c r="R92" s="719" t="s">
        <v>293</v>
      </c>
    </row>
    <row r="93" spans="1:18" ht="12.75">
      <c r="A93" s="661" t="s">
        <v>730</v>
      </c>
      <c r="B93" s="717" t="s">
        <v>293</v>
      </c>
      <c r="C93" s="667" t="s">
        <v>293</v>
      </c>
      <c r="D93" s="667" t="s">
        <v>293</v>
      </c>
      <c r="E93" s="667" t="s">
        <v>293</v>
      </c>
      <c r="F93" s="717" t="s">
        <v>293</v>
      </c>
      <c r="G93" s="717" t="s">
        <v>293</v>
      </c>
      <c r="H93" s="662" t="s">
        <v>847</v>
      </c>
      <c r="I93" s="718" t="s">
        <v>293</v>
      </c>
      <c r="J93" s="667" t="s">
        <v>293</v>
      </c>
      <c r="K93" s="718" t="s">
        <v>293</v>
      </c>
      <c r="L93" s="718" t="s">
        <v>293</v>
      </c>
      <c r="M93" s="717" t="s">
        <v>293</v>
      </c>
      <c r="N93" s="717" t="s">
        <v>293</v>
      </c>
      <c r="O93" s="718" t="s">
        <v>293</v>
      </c>
      <c r="P93" s="717" t="s">
        <v>293</v>
      </c>
      <c r="Q93" s="717" t="s">
        <v>293</v>
      </c>
      <c r="R93" s="719" t="s">
        <v>293</v>
      </c>
    </row>
    <row r="94" spans="1:18" ht="12.75">
      <c r="A94" s="661" t="s">
        <v>730</v>
      </c>
      <c r="B94" s="662" t="s">
        <v>846</v>
      </c>
      <c r="C94" s="667" t="s">
        <v>293</v>
      </c>
      <c r="D94" s="667" t="s">
        <v>293</v>
      </c>
      <c r="E94" s="667" t="s">
        <v>293</v>
      </c>
      <c r="F94" s="662" t="s">
        <v>846</v>
      </c>
      <c r="G94" s="662" t="s">
        <v>846</v>
      </c>
      <c r="H94" s="662" t="s">
        <v>846</v>
      </c>
      <c r="I94" s="662" t="s">
        <v>846</v>
      </c>
      <c r="J94" s="667" t="s">
        <v>293</v>
      </c>
      <c r="K94" s="718" t="s">
        <v>293</v>
      </c>
      <c r="L94" s="662" t="s">
        <v>846</v>
      </c>
      <c r="M94" s="662" t="s">
        <v>846</v>
      </c>
      <c r="N94" s="662" t="s">
        <v>846</v>
      </c>
      <c r="O94" s="662" t="s">
        <v>846</v>
      </c>
      <c r="P94" s="662" t="s">
        <v>846</v>
      </c>
      <c r="Q94" s="662" t="s">
        <v>846</v>
      </c>
      <c r="R94" s="662" t="s">
        <v>846</v>
      </c>
    </row>
    <row r="95" spans="1:18" ht="12.75">
      <c r="A95" s="661" t="s">
        <v>730</v>
      </c>
      <c r="B95" s="662" t="s">
        <v>845</v>
      </c>
      <c r="C95" s="667" t="s">
        <v>293</v>
      </c>
      <c r="D95" s="667" t="s">
        <v>293</v>
      </c>
      <c r="E95" s="667" t="s">
        <v>293</v>
      </c>
      <c r="F95" s="662" t="s">
        <v>845</v>
      </c>
      <c r="G95" s="662" t="s">
        <v>845</v>
      </c>
      <c r="H95" s="662" t="s">
        <v>845</v>
      </c>
      <c r="I95" s="662" t="s">
        <v>845</v>
      </c>
      <c r="J95" s="667" t="s">
        <v>293</v>
      </c>
      <c r="K95" s="718" t="s">
        <v>293</v>
      </c>
      <c r="L95" s="662" t="s">
        <v>845</v>
      </c>
      <c r="M95" s="662" t="s">
        <v>845</v>
      </c>
      <c r="N95" s="662" t="s">
        <v>845</v>
      </c>
      <c r="O95" s="662" t="s">
        <v>845</v>
      </c>
      <c r="P95" s="662" t="s">
        <v>845</v>
      </c>
      <c r="Q95" s="662" t="s">
        <v>845</v>
      </c>
      <c r="R95" s="662" t="s">
        <v>845</v>
      </c>
    </row>
    <row r="96" spans="1:18" ht="12.75">
      <c r="A96" s="661" t="s">
        <v>730</v>
      </c>
      <c r="B96" s="662" t="s">
        <v>844</v>
      </c>
      <c r="C96" s="667" t="s">
        <v>293</v>
      </c>
      <c r="D96" s="667" t="s">
        <v>293</v>
      </c>
      <c r="E96" s="667" t="s">
        <v>293</v>
      </c>
      <c r="F96" s="662" t="s">
        <v>844</v>
      </c>
      <c r="G96" s="662" t="s">
        <v>844</v>
      </c>
      <c r="H96" s="662" t="s">
        <v>844</v>
      </c>
      <c r="I96" s="662" t="s">
        <v>844</v>
      </c>
      <c r="J96" s="667" t="s">
        <v>293</v>
      </c>
      <c r="K96" s="718" t="s">
        <v>293</v>
      </c>
      <c r="L96" s="662" t="s">
        <v>844</v>
      </c>
      <c r="M96" s="662" t="s">
        <v>844</v>
      </c>
      <c r="N96" s="662" t="s">
        <v>844</v>
      </c>
      <c r="O96" s="662" t="s">
        <v>844</v>
      </c>
      <c r="P96" s="662" t="s">
        <v>844</v>
      </c>
      <c r="Q96" s="662" t="s">
        <v>844</v>
      </c>
      <c r="R96" s="662" t="s">
        <v>844</v>
      </c>
    </row>
    <row r="97" spans="1:18" ht="12.75">
      <c r="A97" s="661" t="s">
        <v>633</v>
      </c>
      <c r="B97" s="669" t="s">
        <v>324</v>
      </c>
      <c r="C97" s="667" t="s">
        <v>324</v>
      </c>
      <c r="D97" s="668" t="s">
        <v>324</v>
      </c>
      <c r="E97" s="669" t="s">
        <v>324</v>
      </c>
      <c r="F97" s="669" t="s">
        <v>324</v>
      </c>
      <c r="G97" s="669" t="s">
        <v>324</v>
      </c>
      <c r="H97" s="669" t="s">
        <v>324</v>
      </c>
      <c r="I97" s="668" t="s">
        <v>324</v>
      </c>
      <c r="J97" s="669" t="s">
        <v>324</v>
      </c>
      <c r="K97" s="669" t="s">
        <v>328</v>
      </c>
      <c r="L97" s="670" t="s">
        <v>324</v>
      </c>
      <c r="M97" s="669" t="s">
        <v>324</v>
      </c>
      <c r="N97" s="669" t="s">
        <v>324</v>
      </c>
      <c r="O97" s="668" t="s">
        <v>324</v>
      </c>
      <c r="P97" s="669" t="s">
        <v>324</v>
      </c>
      <c r="Q97" s="668" t="s">
        <v>324</v>
      </c>
      <c r="R97" s="668" t="s">
        <v>324</v>
      </c>
    </row>
    <row r="98" spans="1:18" ht="12.75">
      <c r="A98" s="661" t="s">
        <v>634</v>
      </c>
      <c r="B98" s="717" t="s">
        <v>293</v>
      </c>
      <c r="C98" s="667" t="s">
        <v>293</v>
      </c>
      <c r="D98" s="668" t="s">
        <v>293</v>
      </c>
      <c r="E98" s="717" t="s">
        <v>293</v>
      </c>
      <c r="F98" s="717" t="s">
        <v>293</v>
      </c>
      <c r="G98" s="717" t="s">
        <v>293</v>
      </c>
      <c r="H98" s="717" t="s">
        <v>293</v>
      </c>
      <c r="I98" s="719" t="s">
        <v>293</v>
      </c>
      <c r="J98" s="717" t="s">
        <v>293</v>
      </c>
      <c r="K98" s="778">
        <f>0.025*90</f>
        <v>2.25</v>
      </c>
      <c r="L98" s="718" t="s">
        <v>293</v>
      </c>
      <c r="M98" s="717" t="s">
        <v>293</v>
      </c>
      <c r="N98" s="717" t="s">
        <v>293</v>
      </c>
      <c r="O98" s="719" t="s">
        <v>293</v>
      </c>
      <c r="P98" s="717" t="s">
        <v>293</v>
      </c>
      <c r="Q98" s="719" t="s">
        <v>293</v>
      </c>
      <c r="R98" s="719" t="s">
        <v>293</v>
      </c>
    </row>
    <row r="99" spans="1:18" ht="12.75">
      <c r="A99" s="728" t="s">
        <v>686</v>
      </c>
      <c r="B99" s="719" t="s">
        <v>328</v>
      </c>
      <c r="C99" s="762" t="s">
        <v>328</v>
      </c>
      <c r="D99" s="762" t="s">
        <v>328</v>
      </c>
      <c r="E99" s="719" t="s">
        <v>328</v>
      </c>
      <c r="F99" s="719" t="s">
        <v>328</v>
      </c>
      <c r="G99" s="719" t="s">
        <v>328</v>
      </c>
      <c r="H99" s="719" t="s">
        <v>328</v>
      </c>
      <c r="I99" s="719" t="s">
        <v>328</v>
      </c>
      <c r="J99" s="719" t="s">
        <v>328</v>
      </c>
      <c r="K99" s="719" t="s">
        <v>328</v>
      </c>
      <c r="L99" s="719" t="s">
        <v>328</v>
      </c>
      <c r="M99" s="719" t="s">
        <v>328</v>
      </c>
      <c r="N99" s="719" t="s">
        <v>328</v>
      </c>
      <c r="O99" s="719" t="s">
        <v>328</v>
      </c>
      <c r="P99" s="719" t="s">
        <v>328</v>
      </c>
      <c r="Q99" s="719" t="s">
        <v>328</v>
      </c>
      <c r="R99" s="719" t="s">
        <v>328</v>
      </c>
    </row>
    <row r="100" spans="1:18" ht="12.75">
      <c r="A100" s="728" t="s">
        <v>687</v>
      </c>
      <c r="B100" s="662">
        <v>20</v>
      </c>
      <c r="C100" s="704">
        <v>17.5</v>
      </c>
      <c r="D100" s="704">
        <v>17.5</v>
      </c>
      <c r="E100" s="662">
        <v>17.5</v>
      </c>
      <c r="F100" s="662">
        <v>22.5</v>
      </c>
      <c r="G100" s="662">
        <v>22.5</v>
      </c>
      <c r="H100" s="662">
        <v>25</v>
      </c>
      <c r="I100" s="662">
        <v>27.5</v>
      </c>
      <c r="J100" s="662">
        <v>15</v>
      </c>
      <c r="K100" s="662">
        <v>5</v>
      </c>
      <c r="L100" s="662">
        <v>20</v>
      </c>
      <c r="M100" s="662">
        <v>24</v>
      </c>
      <c r="N100" s="662">
        <v>24</v>
      </c>
      <c r="O100" s="662">
        <v>27.5</v>
      </c>
      <c r="P100" s="662">
        <v>22.5</v>
      </c>
      <c r="Q100" s="662">
        <v>24</v>
      </c>
      <c r="R100" s="662">
        <v>20</v>
      </c>
    </row>
    <row r="101" spans="1:18" ht="12.75">
      <c r="A101" s="728" t="s">
        <v>688</v>
      </c>
      <c r="B101" s="662">
        <v>-2.25</v>
      </c>
      <c r="C101" s="704">
        <v>-7.75</v>
      </c>
      <c r="D101" s="785">
        <v>-7.75</v>
      </c>
      <c r="E101" s="662">
        <v>-7.75</v>
      </c>
      <c r="F101" s="662">
        <v>-3.5</v>
      </c>
      <c r="G101" s="662">
        <v>-3.5</v>
      </c>
      <c r="H101" s="662">
        <v>-15</v>
      </c>
      <c r="I101" s="662">
        <v>-3.5</v>
      </c>
      <c r="J101" s="662">
        <v>-7.5</v>
      </c>
      <c r="K101" s="662">
        <v>-5</v>
      </c>
      <c r="L101" s="662">
        <v>-2.25</v>
      </c>
      <c r="M101" s="662">
        <v>-3.5</v>
      </c>
      <c r="N101" s="662">
        <v>-3.5</v>
      </c>
      <c r="O101" s="662">
        <v>-3.5</v>
      </c>
      <c r="P101" s="662">
        <v>-3.5</v>
      </c>
      <c r="Q101" s="662">
        <v>-3.5</v>
      </c>
      <c r="R101" s="662">
        <v>-2.25</v>
      </c>
    </row>
    <row r="102" spans="1:18" ht="12.75">
      <c r="A102" s="785" t="s">
        <v>689</v>
      </c>
      <c r="B102" s="662">
        <v>0.5</v>
      </c>
      <c r="C102" s="704">
        <v>0.25</v>
      </c>
      <c r="D102" s="785">
        <v>0.25</v>
      </c>
      <c r="E102" s="662">
        <v>0.25</v>
      </c>
      <c r="F102" s="662">
        <v>0.75</v>
      </c>
      <c r="G102" s="662">
        <v>0.75</v>
      </c>
      <c r="H102" s="662">
        <v>0.75</v>
      </c>
      <c r="I102" s="662">
        <v>0.5</v>
      </c>
      <c r="J102" s="662">
        <v>0.5</v>
      </c>
      <c r="K102" s="662">
        <v>2.5</v>
      </c>
      <c r="L102" s="662">
        <v>0.5</v>
      </c>
      <c r="M102" s="662">
        <v>0.5</v>
      </c>
      <c r="N102" s="662">
        <v>0.5</v>
      </c>
      <c r="O102" s="662">
        <v>0.5</v>
      </c>
      <c r="P102" s="662">
        <v>0.75</v>
      </c>
      <c r="Q102" s="662">
        <v>0.5</v>
      </c>
      <c r="R102" s="662">
        <v>0.5</v>
      </c>
    </row>
    <row r="103" spans="1:18" ht="142.5" customHeight="1">
      <c r="A103" s="722" t="s">
        <v>635</v>
      </c>
      <c r="B103" s="724"/>
      <c r="C103" s="773"/>
      <c r="D103" s="682" t="s">
        <v>736</v>
      </c>
      <c r="E103" s="776" t="s">
        <v>737</v>
      </c>
      <c r="F103" s="724"/>
      <c r="G103" s="724" t="s">
        <v>738</v>
      </c>
      <c r="H103" s="724"/>
      <c r="I103" s="724"/>
      <c r="J103" s="776"/>
      <c r="K103" s="724"/>
      <c r="L103" s="724"/>
      <c r="M103" s="776" t="s">
        <v>737</v>
      </c>
      <c r="N103" s="776" t="s">
        <v>737</v>
      </c>
      <c r="O103" s="724"/>
      <c r="P103" s="724" t="s">
        <v>741</v>
      </c>
      <c r="Q103" s="724" t="s">
        <v>739</v>
      </c>
      <c r="R103" s="765" t="s">
        <v>740</v>
      </c>
    </row>
    <row r="104" spans="1:18">
      <c r="A104" s="727"/>
      <c r="B104" s="711"/>
      <c r="C104" s="661"/>
      <c r="D104" s="787"/>
      <c r="E104" s="711"/>
      <c r="F104" s="711"/>
      <c r="G104" s="711"/>
      <c r="H104" s="711"/>
      <c r="I104" s="711"/>
      <c r="J104" s="711"/>
      <c r="K104" s="711"/>
      <c r="L104" s="711"/>
      <c r="M104" s="711"/>
      <c r="N104" s="711"/>
      <c r="O104" s="711"/>
      <c r="P104" s="711"/>
      <c r="Q104" s="711"/>
      <c r="R104" s="711"/>
    </row>
    <row r="105" spans="1:18" ht="36" customHeight="1">
      <c r="A105" s="729"/>
      <c r="B105" s="711"/>
      <c r="C105" s="661"/>
      <c r="D105" s="661"/>
      <c r="E105" s="711"/>
      <c r="F105" s="711"/>
      <c r="G105" s="711"/>
      <c r="H105" s="711"/>
      <c r="I105" s="711"/>
      <c r="J105" s="711"/>
      <c r="K105" s="711"/>
      <c r="L105" s="711"/>
      <c r="M105" s="711"/>
      <c r="N105" s="711"/>
      <c r="O105" s="711"/>
      <c r="P105" s="711"/>
      <c r="Q105" s="711"/>
      <c r="R105" s="711"/>
    </row>
    <row r="106" spans="1:18" ht="53.25" customHeight="1">
      <c r="A106" s="682"/>
      <c r="B106" s="711"/>
      <c r="C106" s="661"/>
      <c r="D106" s="661"/>
      <c r="E106" s="711"/>
      <c r="F106" s="711"/>
      <c r="G106" s="711"/>
      <c r="H106" s="711"/>
      <c r="I106" s="711"/>
      <c r="J106" s="711"/>
      <c r="K106" s="711"/>
      <c r="L106" s="711"/>
      <c r="M106" s="711"/>
      <c r="N106" s="711"/>
      <c r="O106" s="711"/>
      <c r="P106" s="711"/>
      <c r="Q106" s="711"/>
      <c r="R106" s="711"/>
    </row>
    <row r="107" spans="1:18" ht="67.5" customHeight="1">
      <c r="A107" s="730"/>
      <c r="B107" s="711"/>
      <c r="C107" s="661"/>
      <c r="D107" s="661"/>
      <c r="E107" s="711"/>
      <c r="F107" s="711"/>
      <c r="G107" s="711"/>
      <c r="H107" s="711"/>
      <c r="I107" s="711"/>
      <c r="J107" s="711"/>
      <c r="K107" s="711"/>
      <c r="L107" s="711"/>
      <c r="M107" s="711"/>
      <c r="N107" s="711"/>
      <c r="O107" s="711"/>
      <c r="P107" s="711"/>
      <c r="Q107" s="711"/>
      <c r="R107" s="711"/>
    </row>
    <row r="108" spans="1:18" ht="15" customHeight="1">
      <c r="A108" s="661"/>
      <c r="B108" s="711"/>
      <c r="C108" s="661"/>
      <c r="D108" s="661"/>
      <c r="E108" s="711"/>
      <c r="F108" s="711"/>
      <c r="G108" s="711"/>
      <c r="H108" s="711"/>
      <c r="I108" s="711"/>
      <c r="J108" s="711"/>
      <c r="K108" s="711"/>
      <c r="L108" s="711"/>
      <c r="M108" s="711"/>
      <c r="N108" s="711"/>
      <c r="O108" s="711"/>
      <c r="P108" s="711"/>
      <c r="Q108" s="711"/>
      <c r="R108" s="711"/>
    </row>
    <row r="109" spans="1:18" ht="12.75">
      <c r="A109" s="661"/>
      <c r="B109" s="711"/>
      <c r="C109" s="661"/>
      <c r="D109" s="661"/>
      <c r="E109" s="711"/>
      <c r="F109" s="711"/>
      <c r="G109" s="711"/>
      <c r="H109" s="711"/>
      <c r="I109" s="711"/>
      <c r="J109" s="711"/>
      <c r="K109" s="711"/>
      <c r="L109" s="711"/>
      <c r="M109" s="711"/>
      <c r="N109" s="711"/>
      <c r="O109" s="711"/>
      <c r="P109" s="711"/>
      <c r="Q109" s="711"/>
      <c r="R109" s="711"/>
    </row>
    <row r="110" spans="1:18" ht="12.75">
      <c r="A110" s="661"/>
      <c r="B110" s="711"/>
      <c r="C110" s="661"/>
      <c r="D110" s="661"/>
      <c r="E110" s="711"/>
      <c r="F110" s="711"/>
      <c r="G110" s="711"/>
      <c r="H110" s="711"/>
      <c r="I110" s="711"/>
      <c r="J110" s="711"/>
      <c r="K110" s="711"/>
      <c r="L110" s="711"/>
      <c r="M110" s="711"/>
      <c r="N110" s="711"/>
      <c r="O110" s="711"/>
      <c r="P110" s="711"/>
      <c r="Q110" s="711"/>
      <c r="R110" s="711"/>
    </row>
    <row r="111" spans="1:18" ht="12.75">
      <c r="A111" s="661"/>
      <c r="B111" s="711"/>
      <c r="C111" s="661"/>
      <c r="D111" s="661"/>
      <c r="E111" s="711"/>
      <c r="F111" s="711"/>
      <c r="G111" s="711"/>
      <c r="H111" s="711"/>
      <c r="I111" s="711"/>
      <c r="J111" s="711"/>
      <c r="K111" s="711"/>
      <c r="L111" s="711"/>
      <c r="M111" s="711"/>
      <c r="N111" s="711"/>
      <c r="O111" s="711"/>
      <c r="P111" s="711"/>
      <c r="Q111" s="711"/>
      <c r="R111" s="711"/>
    </row>
    <row r="112" spans="1:18" ht="12.75">
      <c r="A112" s="661"/>
      <c r="B112" s="711"/>
      <c r="C112" s="661"/>
      <c r="D112" s="661"/>
      <c r="E112" s="711"/>
      <c r="F112" s="711"/>
      <c r="G112" s="711"/>
      <c r="H112" s="711"/>
      <c r="I112" s="711"/>
      <c r="J112" s="711"/>
      <c r="K112" s="711"/>
      <c r="L112" s="711"/>
      <c r="M112" s="711"/>
      <c r="N112" s="711"/>
      <c r="O112" s="711"/>
      <c r="P112" s="711"/>
      <c r="Q112" s="711"/>
      <c r="R112" s="711"/>
    </row>
    <row r="113" spans="1:18" ht="12.75">
      <c r="A113" s="661"/>
      <c r="B113" s="711"/>
      <c r="C113" s="661"/>
      <c r="D113" s="661"/>
      <c r="E113" s="711"/>
      <c r="F113" s="711"/>
      <c r="G113" s="711"/>
      <c r="H113" s="711"/>
      <c r="I113" s="711"/>
      <c r="J113" s="711"/>
      <c r="K113" s="711"/>
      <c r="L113" s="711"/>
      <c r="M113" s="711"/>
      <c r="N113" s="711"/>
      <c r="O113" s="711"/>
      <c r="P113" s="711"/>
      <c r="Q113" s="711"/>
      <c r="R113" s="711"/>
    </row>
  </sheetData>
  <conditionalFormatting sqref="A1:R1 A3:R7 A9:R19 A21:R29 A31:R76 A78:R113">
    <cfRule type="expression" dxfId="62" priority="1">
      <formula>ISODD(COLUMN())</formula>
    </cfRule>
    <cfRule type="expression" dxfId="61" priority="2">
      <formula>ISEVEN(COLUMN())</formula>
    </cfRule>
  </conditionalFormatting>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5EE1A-ABC0-4676-BDE7-80B2C63AC10E}">
  <sheetPr>
    <tabColor rgb="FF980000"/>
    <outlinePr summaryBelow="0" summaryRight="0"/>
  </sheetPr>
  <dimension ref="A1:E71"/>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5.140625" bestFit="1" customWidth="1"/>
    <col min="2" max="2" width="23.42578125" bestFit="1" customWidth="1"/>
    <col min="3" max="3" width="12.85546875" bestFit="1" customWidth="1"/>
    <col min="4" max="4" width="15.140625" bestFit="1" customWidth="1"/>
    <col min="5" max="5" width="23.140625" bestFit="1" customWidth="1"/>
  </cols>
  <sheetData>
    <row r="1" spans="1:5" ht="35.25" customHeight="1">
      <c r="A1" s="651" t="s">
        <v>551</v>
      </c>
      <c r="B1" s="654" t="s">
        <v>880</v>
      </c>
      <c r="C1" s="654" t="s">
        <v>879</v>
      </c>
      <c r="D1" s="653" t="s">
        <v>878</v>
      </c>
      <c r="E1" s="653" t="s">
        <v>877</v>
      </c>
    </row>
    <row r="2" spans="1:5" ht="72" customHeight="1">
      <c r="A2" s="656" t="s">
        <v>562</v>
      </c>
      <c r="B2" s="658"/>
      <c r="C2" s="657"/>
      <c r="D2" s="660"/>
      <c r="E2" s="660"/>
    </row>
    <row r="3" spans="1:5" ht="12.75">
      <c r="A3" s="661" t="s">
        <v>563</v>
      </c>
      <c r="B3" s="663">
        <v>133</v>
      </c>
      <c r="C3" s="663">
        <v>150</v>
      </c>
      <c r="D3" s="788">
        <v>14</v>
      </c>
      <c r="E3" s="788">
        <v>0.9</v>
      </c>
    </row>
    <row r="4" spans="1:5" ht="12.75">
      <c r="A4" s="661" t="s">
        <v>564</v>
      </c>
      <c r="B4" s="666">
        <v>108</v>
      </c>
      <c r="C4" s="663">
        <v>120</v>
      </c>
      <c r="D4" s="780">
        <v>13</v>
      </c>
      <c r="E4" s="790" t="s">
        <v>293</v>
      </c>
    </row>
    <row r="5" spans="1:5" ht="12.75">
      <c r="A5" s="661" t="s">
        <v>565</v>
      </c>
      <c r="B5" s="666">
        <v>97</v>
      </c>
      <c r="C5" s="669" t="s">
        <v>293</v>
      </c>
      <c r="D5" s="780">
        <v>7.5</v>
      </c>
      <c r="E5" s="790" t="s">
        <v>293</v>
      </c>
    </row>
    <row r="6" spans="1:5" ht="12.75">
      <c r="A6" s="661" t="s">
        <v>566</v>
      </c>
      <c r="B6" s="663">
        <v>250</v>
      </c>
      <c r="C6" s="663">
        <v>140</v>
      </c>
      <c r="D6" s="788">
        <v>130</v>
      </c>
      <c r="E6" s="788">
        <v>22</v>
      </c>
    </row>
    <row r="7" spans="1:5" ht="12.75">
      <c r="A7" s="661" t="s">
        <v>567</v>
      </c>
      <c r="B7" s="663">
        <v>3.12</v>
      </c>
      <c r="C7" s="663">
        <v>2.286</v>
      </c>
      <c r="D7" s="788">
        <v>1.4</v>
      </c>
      <c r="E7" s="788">
        <v>0.45</v>
      </c>
    </row>
    <row r="8" spans="1:5" ht="20.25" customHeight="1">
      <c r="A8" s="671" t="s">
        <v>568</v>
      </c>
      <c r="B8" s="672"/>
      <c r="C8" s="672"/>
      <c r="D8" s="794"/>
      <c r="E8" s="794"/>
    </row>
    <row r="9" spans="1:5" ht="12.75">
      <c r="A9" s="661" t="s">
        <v>569</v>
      </c>
      <c r="B9" s="663">
        <v>28000</v>
      </c>
      <c r="C9" s="663">
        <v>42000</v>
      </c>
      <c r="D9" s="788">
        <v>0</v>
      </c>
      <c r="E9" s="790" t="s">
        <v>293</v>
      </c>
    </row>
    <row r="10" spans="1:5" ht="16.5" customHeight="1">
      <c r="A10" s="661" t="s">
        <v>570</v>
      </c>
      <c r="B10" s="663">
        <v>1.8</v>
      </c>
      <c r="C10" s="663">
        <v>1.5</v>
      </c>
      <c r="D10" s="788">
        <v>0</v>
      </c>
      <c r="E10" s="790" t="s">
        <v>293</v>
      </c>
    </row>
    <row r="11" spans="1:5" ht="12.75">
      <c r="A11" s="661" t="str">
        <f>"Raw acceleration at ignition: [m/s"&amp;CHAR(178)&amp;"]"</f>
        <v>Raw acceleration at ignition: [m/s²]</v>
      </c>
      <c r="B11" s="678">
        <f>B9/B3</f>
        <v>210.52631578947367</v>
      </c>
      <c r="C11" s="678">
        <f>C9/C3</f>
        <v>280</v>
      </c>
      <c r="D11" s="793">
        <f>D9/D3</f>
        <v>0</v>
      </c>
      <c r="E11" s="790" t="s">
        <v>293</v>
      </c>
    </row>
    <row r="12" spans="1:5" ht="12.75">
      <c r="A12" s="661" t="s">
        <v>571</v>
      </c>
      <c r="B12" s="675">
        <f>B10*B9/(9.81*(B3-B4))</f>
        <v>205.50458715596329</v>
      </c>
      <c r="C12" s="678">
        <f>C10*C9/(9.81*(C3-C4))</f>
        <v>214.06727828746176</v>
      </c>
      <c r="D12" s="781">
        <f>D10*D9/(9.81*(D3-D4))</f>
        <v>0</v>
      </c>
      <c r="E12" s="790" t="s">
        <v>293</v>
      </c>
    </row>
    <row r="13" spans="1:5" ht="12.75">
      <c r="A13" s="661" t="s">
        <v>572</v>
      </c>
      <c r="B13" s="678">
        <f>B12*9.81*LN(B3/B4)</f>
        <v>419.76728861262853</v>
      </c>
      <c r="C13" s="678">
        <f>C12*9.81*LN(C3/C4)</f>
        <v>468.60145775984051</v>
      </c>
      <c r="D13" s="678">
        <f>D12*9.81*LN(D3/D4)</f>
        <v>0</v>
      </c>
      <c r="E13" s="790" t="s">
        <v>293</v>
      </c>
    </row>
    <row r="14" spans="1:5" ht="12.75">
      <c r="A14" s="728" t="s">
        <v>573</v>
      </c>
      <c r="B14" s="685" t="s">
        <v>293</v>
      </c>
      <c r="C14" s="685" t="s">
        <v>293</v>
      </c>
      <c r="D14" s="685" t="s">
        <v>293</v>
      </c>
      <c r="E14" s="685" t="s">
        <v>293</v>
      </c>
    </row>
    <row r="15" spans="1:5" ht="16.5" customHeight="1">
      <c r="A15" s="682" t="s">
        <v>574</v>
      </c>
      <c r="B15" s="663">
        <v>1480</v>
      </c>
      <c r="C15" s="685" t="s">
        <v>293</v>
      </c>
      <c r="D15" s="788">
        <v>20000</v>
      </c>
      <c r="E15" s="790" t="s">
        <v>293</v>
      </c>
    </row>
    <row r="16" spans="1:5" ht="18" customHeight="1">
      <c r="A16" s="682" t="s">
        <v>575</v>
      </c>
      <c r="B16" s="663">
        <v>14.5</v>
      </c>
      <c r="C16" s="685" t="s">
        <v>293</v>
      </c>
      <c r="D16" s="788">
        <v>0.57999999999999996</v>
      </c>
      <c r="E16" s="790" t="s">
        <v>293</v>
      </c>
    </row>
    <row r="17" spans="1:5" ht="18" customHeight="1">
      <c r="A17" s="728" t="s">
        <v>576</v>
      </c>
      <c r="B17" s="777">
        <f>B16*B15/(9.81*(B4-B5))</f>
        <v>198.86942822722636</v>
      </c>
      <c r="C17" s="790" t="s">
        <v>293</v>
      </c>
      <c r="D17" s="777">
        <f>D16*D15/(9.81*(D4-D5))</f>
        <v>214.99397646186634</v>
      </c>
      <c r="E17" s="790" t="s">
        <v>293</v>
      </c>
    </row>
    <row r="18" spans="1:5" ht="18" customHeight="1">
      <c r="A18" s="728" t="s">
        <v>577</v>
      </c>
      <c r="B18" s="777">
        <f>B17*9.81*LN(B4/B5)</f>
        <v>209.56713958210543</v>
      </c>
      <c r="C18" s="790" t="s">
        <v>293</v>
      </c>
      <c r="D18" s="777">
        <f>D17*9.81*LN(D4/D5)</f>
        <v>1160.0977287751916</v>
      </c>
      <c r="E18" s="790" t="s">
        <v>293</v>
      </c>
    </row>
    <row r="19" spans="1:5" ht="18" customHeight="1">
      <c r="A19" s="728" t="s">
        <v>578</v>
      </c>
      <c r="B19" s="692">
        <f>IF(ISNUMBER(B18),B13+B18,B13)</f>
        <v>629.33442819473396</v>
      </c>
      <c r="C19" s="692">
        <f>IF(ISNUMBER(C18),C13+C18,C13)</f>
        <v>468.60145775984051</v>
      </c>
      <c r="D19" s="692">
        <f>IF(ISNUMBER(D18),D13+D18,D13)</f>
        <v>1160.0977287751916</v>
      </c>
      <c r="E19" s="790" t="s">
        <v>293</v>
      </c>
    </row>
    <row r="20" spans="1:5" ht="18">
      <c r="A20" s="695" t="s">
        <v>579</v>
      </c>
      <c r="B20" s="696"/>
      <c r="C20" s="696"/>
      <c r="D20" s="792"/>
      <c r="E20" s="792"/>
    </row>
    <row r="21" spans="1:5" ht="12.75">
      <c r="A21" s="661" t="s">
        <v>580</v>
      </c>
      <c r="B21" s="663">
        <f>1.31*8</f>
        <v>10.48</v>
      </c>
      <c r="C21" s="663">
        <f>1*7</f>
        <v>7</v>
      </c>
      <c r="D21" s="788">
        <f>1.31*1.2</f>
        <v>1.5720000000000001</v>
      </c>
      <c r="E21" s="788">
        <f>1.31*0.4</f>
        <v>0.52400000000000002</v>
      </c>
    </row>
    <row r="22" spans="1:5" ht="12.75">
      <c r="A22" s="775" t="s">
        <v>764</v>
      </c>
      <c r="B22" s="669" t="s">
        <v>876</v>
      </c>
      <c r="C22" s="669" t="s">
        <v>763</v>
      </c>
      <c r="D22" s="790" t="s">
        <v>763</v>
      </c>
      <c r="E22" s="790" t="s">
        <v>763</v>
      </c>
    </row>
    <row r="23" spans="1:5" ht="12.75">
      <c r="A23" s="776" t="s">
        <v>762</v>
      </c>
      <c r="B23" s="666">
        <v>62.48</v>
      </c>
      <c r="C23" s="666">
        <v>55</v>
      </c>
      <c r="D23" s="780">
        <v>30</v>
      </c>
      <c r="E23" s="780">
        <v>50</v>
      </c>
    </row>
    <row r="24" spans="1:5" ht="12.75">
      <c r="A24" s="661" t="s">
        <v>581</v>
      </c>
      <c r="B24" s="669" t="s">
        <v>328</v>
      </c>
      <c r="C24" s="669" t="s">
        <v>328</v>
      </c>
      <c r="D24" s="790" t="s">
        <v>324</v>
      </c>
      <c r="E24" s="790" t="s">
        <v>324</v>
      </c>
    </row>
    <row r="25" spans="1:5" ht="12.75">
      <c r="A25" s="661" t="s">
        <v>582</v>
      </c>
      <c r="B25" s="663">
        <v>15</v>
      </c>
      <c r="C25" s="663">
        <v>10</v>
      </c>
      <c r="D25" s="790" t="s">
        <v>293</v>
      </c>
      <c r="E25" s="790" t="s">
        <v>293</v>
      </c>
    </row>
    <row r="26" spans="1:5" ht="12.75">
      <c r="A26" s="775" t="s">
        <v>583</v>
      </c>
      <c r="B26" s="669" t="s">
        <v>328</v>
      </c>
      <c r="C26" s="669" t="s">
        <v>328</v>
      </c>
      <c r="D26" s="790" t="s">
        <v>293</v>
      </c>
      <c r="E26" s="790" t="s">
        <v>293</v>
      </c>
    </row>
    <row r="27" spans="1:5" ht="12.75">
      <c r="A27" s="661" t="s">
        <v>584</v>
      </c>
      <c r="B27" s="663">
        <v>0.5</v>
      </c>
      <c r="C27" s="663">
        <v>0.5</v>
      </c>
      <c r="D27" s="790" t="s">
        <v>293</v>
      </c>
      <c r="E27" s="790" t="s">
        <v>293</v>
      </c>
    </row>
    <row r="28" spans="1:5" ht="12.75">
      <c r="A28" s="661" t="s">
        <v>761</v>
      </c>
      <c r="B28" s="666">
        <v>0.1</v>
      </c>
      <c r="C28" s="666">
        <v>0.1</v>
      </c>
      <c r="D28" s="666">
        <v>0.1</v>
      </c>
      <c r="E28" s="666">
        <v>0.5</v>
      </c>
    </row>
    <row r="29" spans="1:5" ht="12.75">
      <c r="A29" s="661" t="s">
        <v>760</v>
      </c>
      <c r="B29" s="666">
        <v>1</v>
      </c>
      <c r="C29" s="666">
        <v>1</v>
      </c>
      <c r="D29" s="666">
        <v>0.5</v>
      </c>
      <c r="E29" s="666">
        <v>0.7</v>
      </c>
    </row>
    <row r="30" spans="1:5" ht="18">
      <c r="A30" s="700" t="s">
        <v>585</v>
      </c>
      <c r="B30" s="701"/>
      <c r="C30" s="701"/>
      <c r="D30" s="701"/>
      <c r="E30" s="701"/>
    </row>
    <row r="31" spans="1:5" ht="12.75">
      <c r="A31" s="661" t="s">
        <v>586</v>
      </c>
      <c r="B31" s="669" t="s">
        <v>875</v>
      </c>
      <c r="C31" s="669" t="s">
        <v>874</v>
      </c>
      <c r="D31" s="790" t="s">
        <v>873</v>
      </c>
      <c r="E31" s="790" t="s">
        <v>873</v>
      </c>
    </row>
    <row r="32" spans="1:5" ht="12.75">
      <c r="A32" s="661" t="s">
        <v>587</v>
      </c>
      <c r="B32" s="669" t="s">
        <v>293</v>
      </c>
      <c r="C32" s="666">
        <v>1.5</v>
      </c>
      <c r="D32" s="669" t="s">
        <v>293</v>
      </c>
      <c r="E32" s="669" t="s">
        <v>293</v>
      </c>
    </row>
    <row r="33" spans="1:5" ht="12.75">
      <c r="A33" s="661" t="s">
        <v>588</v>
      </c>
      <c r="B33" s="663">
        <v>30</v>
      </c>
      <c r="C33" s="666">
        <v>30</v>
      </c>
      <c r="D33" s="666">
        <v>12</v>
      </c>
      <c r="E33" s="666">
        <v>12</v>
      </c>
    </row>
    <row r="34" spans="1:5" ht="12.75">
      <c r="A34" s="728" t="s">
        <v>872</v>
      </c>
      <c r="B34" s="666">
        <v>8</v>
      </c>
      <c r="C34" s="669" t="s">
        <v>293</v>
      </c>
      <c r="D34" s="666">
        <v>7</v>
      </c>
      <c r="E34" s="666">
        <v>7</v>
      </c>
    </row>
    <row r="35" spans="1:5" ht="12.75">
      <c r="A35" s="661" t="s">
        <v>871</v>
      </c>
      <c r="B35" s="669" t="s">
        <v>293</v>
      </c>
      <c r="C35" s="666">
        <v>15</v>
      </c>
      <c r="D35" s="669" t="s">
        <v>293</v>
      </c>
      <c r="E35" s="669" t="s">
        <v>293</v>
      </c>
    </row>
    <row r="36" spans="1:5" ht="12.75">
      <c r="A36" s="728" t="s">
        <v>870</v>
      </c>
      <c r="B36" s="669" t="s">
        <v>293</v>
      </c>
      <c r="C36" s="669" t="s">
        <v>293</v>
      </c>
      <c r="D36" s="666">
        <v>10</v>
      </c>
      <c r="E36" s="666">
        <v>10</v>
      </c>
    </row>
    <row r="37" spans="1:5" ht="12.75">
      <c r="A37" s="661" t="s">
        <v>869</v>
      </c>
      <c r="B37" s="666">
        <v>22.1</v>
      </c>
      <c r="C37" s="669" t="s">
        <v>293</v>
      </c>
      <c r="D37" s="669" t="s">
        <v>293</v>
      </c>
      <c r="E37" s="669" t="s">
        <v>293</v>
      </c>
    </row>
    <row r="38" spans="1:5" ht="12.75">
      <c r="A38" s="661" t="s">
        <v>606</v>
      </c>
      <c r="B38" s="669" t="s">
        <v>293</v>
      </c>
      <c r="C38" s="666">
        <v>5</v>
      </c>
      <c r="D38" s="669" t="s">
        <v>293</v>
      </c>
      <c r="E38" s="669" t="s">
        <v>293</v>
      </c>
    </row>
    <row r="39" spans="1:5" ht="12.75">
      <c r="A39" s="682" t="s">
        <v>608</v>
      </c>
      <c r="B39" s="669" t="s">
        <v>293</v>
      </c>
      <c r="C39" s="666">
        <v>1800</v>
      </c>
      <c r="D39" s="669" t="s">
        <v>293</v>
      </c>
      <c r="E39" s="669" t="s">
        <v>293</v>
      </c>
    </row>
    <row r="40" spans="1:5" ht="12.75">
      <c r="A40" s="661" t="s">
        <v>609</v>
      </c>
      <c r="B40" s="669" t="s">
        <v>293</v>
      </c>
      <c r="C40" s="666">
        <v>2.9600000000000001E-2</v>
      </c>
      <c r="D40" s="669" t="s">
        <v>293</v>
      </c>
      <c r="E40" s="669" t="s">
        <v>293</v>
      </c>
    </row>
    <row r="41" spans="1:5" ht="12.75">
      <c r="A41" s="661" t="s">
        <v>611</v>
      </c>
      <c r="B41" s="669" t="s">
        <v>293</v>
      </c>
      <c r="C41" s="666">
        <v>0</v>
      </c>
      <c r="D41" s="669" t="s">
        <v>293</v>
      </c>
      <c r="E41" s="669" t="s">
        <v>293</v>
      </c>
    </row>
    <row r="42" spans="1:5" ht="12.75">
      <c r="A42" s="661" t="s">
        <v>613</v>
      </c>
      <c r="B42" s="669" t="s">
        <v>293</v>
      </c>
      <c r="C42" s="666">
        <v>0</v>
      </c>
      <c r="D42" s="669" t="s">
        <v>293</v>
      </c>
      <c r="E42" s="669" t="s">
        <v>293</v>
      </c>
    </row>
    <row r="43" spans="1:5" ht="12.75">
      <c r="A43" s="661" t="s">
        <v>615</v>
      </c>
      <c r="B43" s="669" t="s">
        <v>293</v>
      </c>
      <c r="C43" s="666">
        <v>6.9999999999999999E-4</v>
      </c>
      <c r="D43" s="669" t="s">
        <v>293</v>
      </c>
      <c r="E43" s="669" t="s">
        <v>293</v>
      </c>
    </row>
    <row r="44" spans="1:5" ht="24" customHeight="1">
      <c r="A44" s="707" t="s">
        <v>617</v>
      </c>
      <c r="B44" s="708"/>
      <c r="C44" s="708"/>
      <c r="D44" s="791"/>
      <c r="E44" s="791"/>
    </row>
    <row r="45" spans="1:5" ht="12.75">
      <c r="A45" s="661" t="s">
        <v>868</v>
      </c>
      <c r="B45" s="666">
        <v>1</v>
      </c>
      <c r="C45" s="669" t="s">
        <v>293</v>
      </c>
      <c r="D45" s="664" t="s">
        <v>867</v>
      </c>
      <c r="E45" s="664">
        <v>1.5</v>
      </c>
    </row>
    <row r="46" spans="1:5" ht="12.75">
      <c r="A46" s="661" t="s">
        <v>618</v>
      </c>
      <c r="B46" s="666">
        <f>90*0.15</f>
        <v>13.5</v>
      </c>
      <c r="C46" s="666">
        <f>90*0.125</f>
        <v>11.25</v>
      </c>
      <c r="D46" s="669" t="s">
        <v>293</v>
      </c>
      <c r="E46" s="669" t="s">
        <v>293</v>
      </c>
    </row>
    <row r="47" spans="1:5" ht="12.75">
      <c r="A47" s="661" t="s">
        <v>619</v>
      </c>
      <c r="B47" s="669" t="s">
        <v>293</v>
      </c>
      <c r="C47" s="666">
        <v>15</v>
      </c>
      <c r="D47" s="669" t="s">
        <v>293</v>
      </c>
      <c r="E47" s="669" t="s">
        <v>293</v>
      </c>
    </row>
    <row r="48" spans="1:5" ht="12.75">
      <c r="A48" s="661" t="s">
        <v>866</v>
      </c>
      <c r="B48" s="666">
        <v>12</v>
      </c>
      <c r="C48" s="669" t="s">
        <v>293</v>
      </c>
      <c r="D48" s="669" t="s">
        <v>293</v>
      </c>
      <c r="E48" s="780">
        <v>47</v>
      </c>
    </row>
    <row r="49" spans="1:5" ht="12.75">
      <c r="A49" s="661" t="s">
        <v>621</v>
      </c>
      <c r="B49" s="666">
        <v>1.2</v>
      </c>
      <c r="C49" s="663">
        <v>1.25</v>
      </c>
      <c r="D49" s="669" t="s">
        <v>293</v>
      </c>
      <c r="E49" s="664">
        <v>1.075</v>
      </c>
    </row>
    <row r="50" spans="1:5" ht="12.75">
      <c r="A50" s="661" t="s">
        <v>622</v>
      </c>
      <c r="B50" s="669" t="s">
        <v>293</v>
      </c>
      <c r="C50" s="667" t="s">
        <v>293</v>
      </c>
      <c r="D50" s="788">
        <v>142</v>
      </c>
      <c r="E50" s="788">
        <v>1125</v>
      </c>
    </row>
    <row r="51" spans="1:5" ht="12.75">
      <c r="A51" s="661" t="s">
        <v>623</v>
      </c>
      <c r="B51" s="669" t="s">
        <v>293</v>
      </c>
      <c r="C51" s="663">
        <v>1500</v>
      </c>
      <c r="D51" s="788">
        <v>1125</v>
      </c>
      <c r="E51" s="788">
        <v>1125</v>
      </c>
    </row>
    <row r="52" spans="1:5" ht="12.75">
      <c r="A52" s="661" t="s">
        <v>865</v>
      </c>
      <c r="B52" s="663">
        <v>1.7</v>
      </c>
      <c r="C52" s="790" t="s">
        <v>293</v>
      </c>
      <c r="D52" s="790" t="s">
        <v>293</v>
      </c>
      <c r="E52" s="790" t="s">
        <v>293</v>
      </c>
    </row>
    <row r="53" spans="1:5" ht="12.75">
      <c r="A53" s="661" t="s">
        <v>625</v>
      </c>
      <c r="B53" s="669" t="s">
        <v>293</v>
      </c>
      <c r="C53" s="663">
        <v>4</v>
      </c>
      <c r="D53" s="790" t="s">
        <v>293</v>
      </c>
      <c r="E53" s="790" t="s">
        <v>293</v>
      </c>
    </row>
    <row r="54" spans="1:5" ht="12.75">
      <c r="A54" s="661" t="s">
        <v>629</v>
      </c>
      <c r="B54" s="663">
        <v>30</v>
      </c>
      <c r="C54" s="663">
        <v>600</v>
      </c>
      <c r="D54" s="788">
        <v>1500</v>
      </c>
      <c r="E54" s="788">
        <v>30</v>
      </c>
    </row>
    <row r="55" spans="1:5" ht="12.75">
      <c r="A55" s="661" t="s">
        <v>759</v>
      </c>
      <c r="B55" s="663">
        <v>10</v>
      </c>
      <c r="C55" s="663">
        <v>12</v>
      </c>
      <c r="D55" s="788">
        <v>7</v>
      </c>
      <c r="E55" s="788">
        <v>7</v>
      </c>
    </row>
    <row r="56" spans="1:5" ht="12.75">
      <c r="A56" s="661" t="s">
        <v>631</v>
      </c>
      <c r="B56" s="669" t="s">
        <v>293</v>
      </c>
      <c r="C56" s="663">
        <v>10</v>
      </c>
      <c r="D56" s="790" t="s">
        <v>293</v>
      </c>
      <c r="E56" s="669" t="s">
        <v>293</v>
      </c>
    </row>
    <row r="57" spans="1:5" ht="12.75">
      <c r="A57" s="661" t="s">
        <v>632</v>
      </c>
      <c r="B57" s="669" t="s">
        <v>293</v>
      </c>
      <c r="C57" s="663">
        <v>10</v>
      </c>
      <c r="D57" s="789">
        <v>47</v>
      </c>
      <c r="E57" s="780">
        <v>47</v>
      </c>
    </row>
    <row r="58" spans="1:5" ht="12.75">
      <c r="A58" s="661" t="s">
        <v>633</v>
      </c>
      <c r="B58" s="669" t="s">
        <v>324</v>
      </c>
      <c r="C58" s="669" t="s">
        <v>324</v>
      </c>
      <c r="D58" s="669" t="s">
        <v>324</v>
      </c>
      <c r="E58" s="669" t="s">
        <v>324</v>
      </c>
    </row>
    <row r="59" spans="1:5" ht="12.75">
      <c r="A59" s="661" t="s">
        <v>634</v>
      </c>
      <c r="B59" s="669" t="s">
        <v>293</v>
      </c>
      <c r="C59" s="717" t="s">
        <v>293</v>
      </c>
      <c r="D59" s="717" t="s">
        <v>293</v>
      </c>
      <c r="E59" s="717" t="s">
        <v>293</v>
      </c>
    </row>
    <row r="60" spans="1:5" ht="12.75">
      <c r="A60" s="775" t="s">
        <v>864</v>
      </c>
      <c r="B60" s="669" t="s">
        <v>328</v>
      </c>
      <c r="C60" s="669" t="s">
        <v>328</v>
      </c>
      <c r="D60" s="669" t="s">
        <v>324</v>
      </c>
      <c r="E60" s="669" t="s">
        <v>328</v>
      </c>
    </row>
    <row r="61" spans="1:5" ht="83.25" customHeight="1">
      <c r="A61" s="722" t="s">
        <v>635</v>
      </c>
      <c r="B61" s="773"/>
      <c r="C61" s="773"/>
      <c r="D61" s="60"/>
      <c r="E61" s="60"/>
    </row>
    <row r="62" spans="1:5" ht="12.75">
      <c r="A62" s="776"/>
      <c r="B62" s="663"/>
      <c r="C62" s="663"/>
      <c r="D62" s="788"/>
      <c r="E62" s="788"/>
    </row>
    <row r="63" spans="1:5" ht="36" customHeight="1">
      <c r="A63" s="729"/>
      <c r="B63" s="663"/>
      <c r="C63" s="663"/>
      <c r="D63" s="788"/>
      <c r="E63" s="788"/>
    </row>
    <row r="64" spans="1:5" ht="53.25" customHeight="1">
      <c r="A64" s="682"/>
      <c r="B64" s="663"/>
      <c r="C64" s="663"/>
      <c r="D64" s="788"/>
      <c r="E64" s="788"/>
    </row>
    <row r="65" spans="1:5" ht="67.5" customHeight="1">
      <c r="A65" s="730"/>
      <c r="B65" s="663"/>
      <c r="C65" s="663"/>
      <c r="D65" s="788"/>
      <c r="E65" s="788"/>
    </row>
    <row r="66" spans="1:5" ht="15" customHeight="1">
      <c r="A66" s="661"/>
      <c r="B66" s="663"/>
      <c r="C66" s="663"/>
      <c r="D66" s="788"/>
      <c r="E66" s="788"/>
    </row>
    <row r="67" spans="1:5" ht="12.75">
      <c r="A67" s="661"/>
      <c r="B67" s="663"/>
      <c r="C67" s="663"/>
      <c r="D67" s="788"/>
      <c r="E67" s="788"/>
    </row>
    <row r="68" spans="1:5" ht="12.75">
      <c r="A68" s="661"/>
      <c r="B68" s="663"/>
      <c r="C68" s="663"/>
      <c r="D68" s="788"/>
      <c r="E68" s="788"/>
    </row>
    <row r="69" spans="1:5" ht="12.75">
      <c r="A69" s="661"/>
      <c r="B69" s="663"/>
      <c r="C69" s="663"/>
      <c r="D69" s="728"/>
      <c r="E69" s="728"/>
    </row>
    <row r="70" spans="1:5" ht="12.75">
      <c r="A70" s="661"/>
      <c r="B70" s="663"/>
      <c r="C70" s="663"/>
      <c r="D70" s="728"/>
      <c r="E70" s="728"/>
    </row>
    <row r="71" spans="1:5" ht="12.75">
      <c r="A71" s="661"/>
      <c r="B71" s="663"/>
      <c r="C71" s="663"/>
      <c r="D71" s="663"/>
      <c r="E71" s="663"/>
    </row>
  </sheetData>
  <conditionalFormatting sqref="A1:E1 A3:E7 A9:E19 A21:E29 A31:E43 A45:E71">
    <cfRule type="expression" dxfId="60" priority="1">
      <formula>ISODD(COLUMN())</formula>
    </cfRule>
    <cfRule type="expression" dxfId="59" priority="2">
      <formula>ISEVEN(COLUMN())</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43829-61EE-471F-B661-486585D092F8}">
  <sheetPr>
    <tabColor rgb="FF5B0F00"/>
    <outlinePr summaryBelow="0" summaryRight="0"/>
  </sheetPr>
  <dimension ref="A1:O80"/>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50.42578125" bestFit="1" customWidth="1"/>
    <col min="2" max="2" width="27" bestFit="1" customWidth="1"/>
    <col min="3" max="3" width="27.140625" bestFit="1" customWidth="1"/>
    <col min="4" max="4" width="27" bestFit="1" customWidth="1"/>
    <col min="5" max="5" width="27.140625" bestFit="1" customWidth="1"/>
    <col min="6" max="6" width="15.28515625" bestFit="1" customWidth="1"/>
    <col min="7" max="7" width="19.42578125" bestFit="1" customWidth="1"/>
    <col min="8" max="8" width="20.5703125" bestFit="1" customWidth="1"/>
    <col min="9" max="9" width="11.85546875" bestFit="1" customWidth="1"/>
    <col min="10" max="10" width="12.85546875" bestFit="1" customWidth="1"/>
    <col min="11" max="11" width="12.7109375" bestFit="1" customWidth="1"/>
    <col min="12" max="13" width="16.5703125" bestFit="1" customWidth="1"/>
    <col min="14" max="14" width="13.5703125" bestFit="1" customWidth="1"/>
    <col min="15" max="15" width="10.85546875" bestFit="1" customWidth="1"/>
  </cols>
  <sheetData>
    <row r="1" spans="1:15" ht="35.25" customHeight="1">
      <c r="A1" s="811" t="s">
        <v>551</v>
      </c>
      <c r="B1" s="655" t="s">
        <v>908</v>
      </c>
      <c r="C1" s="653" t="s">
        <v>907</v>
      </c>
      <c r="D1" s="653" t="s">
        <v>906</v>
      </c>
      <c r="E1" s="653" t="s">
        <v>905</v>
      </c>
      <c r="F1" s="653" t="s">
        <v>904</v>
      </c>
      <c r="G1" s="655" t="s">
        <v>903</v>
      </c>
      <c r="H1" s="653" t="s">
        <v>902</v>
      </c>
      <c r="I1" s="655" t="s">
        <v>901</v>
      </c>
      <c r="J1" s="655" t="s">
        <v>900</v>
      </c>
      <c r="K1" s="655" t="s">
        <v>899</v>
      </c>
      <c r="L1" s="653" t="s">
        <v>898</v>
      </c>
      <c r="M1" s="653" t="s">
        <v>897</v>
      </c>
      <c r="N1" s="655" t="s">
        <v>896</v>
      </c>
      <c r="O1" s="655" t="s">
        <v>895</v>
      </c>
    </row>
    <row r="2" spans="1:15" ht="81.75" customHeight="1">
      <c r="A2" s="810" t="s">
        <v>562</v>
      </c>
      <c r="B2" s="660"/>
      <c r="C2" s="660"/>
      <c r="D2" s="660"/>
      <c r="E2" s="660"/>
      <c r="F2" s="659"/>
      <c r="G2" s="659"/>
      <c r="H2" s="660"/>
      <c r="I2" s="660"/>
      <c r="J2" s="660"/>
      <c r="K2" s="660"/>
      <c r="L2" s="660"/>
      <c r="M2" s="660"/>
      <c r="N2" s="660"/>
      <c r="O2" s="659"/>
    </row>
    <row r="3" spans="1:15" ht="15.75" customHeight="1">
      <c r="A3" s="728" t="s">
        <v>563</v>
      </c>
      <c r="B3" s="664">
        <v>210.46700000000001</v>
      </c>
      <c r="C3" s="662">
        <v>210.46700000000001</v>
      </c>
      <c r="D3" s="662">
        <v>226.79599999999999</v>
      </c>
      <c r="E3" s="662">
        <v>296.64940000000001</v>
      </c>
      <c r="F3" s="662">
        <v>1323</v>
      </c>
      <c r="G3" s="664">
        <v>550</v>
      </c>
      <c r="H3" s="662">
        <v>210.46700000000001</v>
      </c>
      <c r="I3" s="664">
        <v>670</v>
      </c>
      <c r="J3" s="664">
        <v>686</v>
      </c>
      <c r="K3" s="664">
        <v>690</v>
      </c>
      <c r="L3" s="662">
        <v>404</v>
      </c>
      <c r="M3" s="662">
        <v>1060</v>
      </c>
      <c r="N3" s="664">
        <v>210.46700000000001</v>
      </c>
      <c r="O3" s="662">
        <v>296.67939999999999</v>
      </c>
    </row>
    <row r="4" spans="1:15" ht="15.75" customHeight="1">
      <c r="A4" s="728" t="s">
        <v>564</v>
      </c>
      <c r="B4" s="664">
        <v>198.18199999999999</v>
      </c>
      <c r="C4" s="662">
        <v>198.18199999999999</v>
      </c>
      <c r="D4" s="662">
        <v>214.511</v>
      </c>
      <c r="E4" s="662">
        <v>284.36439999999999</v>
      </c>
      <c r="F4" s="662">
        <v>1188</v>
      </c>
      <c r="G4" s="664">
        <v>507</v>
      </c>
      <c r="H4" s="662">
        <v>198.18199999999999</v>
      </c>
      <c r="I4" s="664">
        <v>559.20000000000005</v>
      </c>
      <c r="J4" s="664">
        <v>575.20000000000005</v>
      </c>
      <c r="K4" s="664">
        <v>579.20000000000005</v>
      </c>
      <c r="L4" s="662">
        <v>384.5</v>
      </c>
      <c r="M4" s="662">
        <v>1021</v>
      </c>
      <c r="N4" s="664">
        <v>198.18199999999999</v>
      </c>
      <c r="O4" s="662">
        <v>284.36439999999999</v>
      </c>
    </row>
    <row r="5" spans="1:15" ht="15.75" customHeight="1">
      <c r="A5" s="728" t="s">
        <v>565</v>
      </c>
      <c r="B5" s="664">
        <v>180.98349999999999</v>
      </c>
      <c r="C5" s="662">
        <v>180.98349999999999</v>
      </c>
      <c r="D5" s="662">
        <v>197.3125</v>
      </c>
      <c r="E5" s="662">
        <v>267.16640000000001</v>
      </c>
      <c r="F5" s="662">
        <v>1140</v>
      </c>
      <c r="G5" s="664">
        <v>397</v>
      </c>
      <c r="H5" s="662">
        <v>180.98349999999999</v>
      </c>
      <c r="I5" s="670" t="s">
        <v>293</v>
      </c>
      <c r="J5" s="670" t="s">
        <v>293</v>
      </c>
      <c r="K5" s="670" t="s">
        <v>293</v>
      </c>
      <c r="L5" s="662" t="s">
        <v>293</v>
      </c>
      <c r="M5" s="662" t="s">
        <v>293</v>
      </c>
      <c r="N5" s="664">
        <v>180.98349999999999</v>
      </c>
      <c r="O5" s="662">
        <v>267.16640000000001</v>
      </c>
    </row>
    <row r="6" spans="1:15" ht="15.75" customHeight="1">
      <c r="A6" s="728" t="s">
        <v>566</v>
      </c>
      <c r="B6" s="664">
        <v>304.8</v>
      </c>
      <c r="C6" s="662">
        <v>304.8</v>
      </c>
      <c r="D6" s="662">
        <v>304.8</v>
      </c>
      <c r="E6" s="662">
        <v>304.8</v>
      </c>
      <c r="F6" s="662">
        <v>457.2</v>
      </c>
      <c r="G6" s="664">
        <v>400</v>
      </c>
      <c r="H6" s="662">
        <v>304.8</v>
      </c>
      <c r="I6" s="664">
        <v>380</v>
      </c>
      <c r="J6" s="664">
        <v>380</v>
      </c>
      <c r="K6" s="664">
        <v>380</v>
      </c>
      <c r="L6" s="662">
        <v>360</v>
      </c>
      <c r="M6" s="662">
        <v>457</v>
      </c>
      <c r="N6" s="664">
        <v>304.8</v>
      </c>
      <c r="O6" s="662">
        <v>304.8</v>
      </c>
    </row>
    <row r="7" spans="1:15" ht="15.75" customHeight="1">
      <c r="A7" s="728" t="s">
        <v>567</v>
      </c>
      <c r="B7" s="664">
        <v>2.4815800000000001</v>
      </c>
      <c r="C7" s="662">
        <v>2.4815800000000001</v>
      </c>
      <c r="D7" s="664">
        <v>2.4815800000000001</v>
      </c>
      <c r="E7" s="664">
        <v>2.4815800000000001</v>
      </c>
      <c r="F7" s="662">
        <v>3.9243000000000001</v>
      </c>
      <c r="G7" s="664">
        <v>3.89</v>
      </c>
      <c r="H7" s="662">
        <v>2.4815800000000001</v>
      </c>
      <c r="I7" s="664">
        <v>3.875</v>
      </c>
      <c r="J7" s="664">
        <v>3.875</v>
      </c>
      <c r="K7" s="664">
        <v>3.875</v>
      </c>
      <c r="L7" s="662">
        <v>3.38</v>
      </c>
      <c r="M7" s="662">
        <v>4.6230000000000002</v>
      </c>
      <c r="N7" s="664">
        <v>2.4815800000000001</v>
      </c>
      <c r="O7" s="662">
        <v>2.4815800000000001</v>
      </c>
    </row>
    <row r="8" spans="1:15" ht="20.25" customHeight="1">
      <c r="A8" s="809" t="s">
        <v>568</v>
      </c>
      <c r="B8" s="673"/>
      <c r="C8" s="673"/>
      <c r="D8" s="673"/>
      <c r="E8" s="673"/>
      <c r="F8" s="673"/>
      <c r="G8" s="673"/>
      <c r="H8" s="673"/>
      <c r="I8" s="673"/>
      <c r="J8" s="673"/>
      <c r="K8" s="673"/>
      <c r="L8" s="673"/>
      <c r="M8" s="673"/>
      <c r="N8" s="673"/>
      <c r="O8" s="673"/>
    </row>
    <row r="9" spans="1:15" ht="15.75" customHeight="1">
      <c r="A9" s="728" t="s">
        <v>569</v>
      </c>
      <c r="B9" s="808">
        <v>44497.4</v>
      </c>
      <c r="C9" s="808">
        <v>44497.4</v>
      </c>
      <c r="D9" s="808">
        <v>44497.4</v>
      </c>
      <c r="E9" s="808">
        <v>44497.4</v>
      </c>
      <c r="F9" s="808">
        <v>6300.5</v>
      </c>
      <c r="G9" s="786">
        <v>17200</v>
      </c>
      <c r="H9" s="808">
        <v>44497.4</v>
      </c>
      <c r="I9" s="786">
        <v>50800</v>
      </c>
      <c r="J9" s="786">
        <v>50800</v>
      </c>
      <c r="K9" s="786">
        <v>50800</v>
      </c>
      <c r="L9" s="786">
        <v>1600</v>
      </c>
      <c r="M9" s="786">
        <v>3200</v>
      </c>
      <c r="N9" s="808">
        <v>44497.4</v>
      </c>
      <c r="O9" s="691">
        <v>44497.4</v>
      </c>
    </row>
    <row r="10" spans="1:15" ht="16.5" customHeight="1">
      <c r="A10" s="728" t="s">
        <v>570</v>
      </c>
      <c r="B10" s="664">
        <v>0.5</v>
      </c>
      <c r="C10" s="664">
        <v>0.5</v>
      </c>
      <c r="D10" s="664">
        <v>0.5</v>
      </c>
      <c r="E10" s="664">
        <v>0.5</v>
      </c>
      <c r="F10" s="664">
        <v>45</v>
      </c>
      <c r="G10" s="664">
        <v>5</v>
      </c>
      <c r="H10" s="664">
        <v>0.5</v>
      </c>
      <c r="I10" s="664">
        <v>4.5</v>
      </c>
      <c r="J10" s="664">
        <v>4.5</v>
      </c>
      <c r="K10" s="664">
        <v>4.5</v>
      </c>
      <c r="L10" s="664">
        <v>25</v>
      </c>
      <c r="M10" s="664">
        <v>25</v>
      </c>
      <c r="N10" s="664">
        <v>0.5</v>
      </c>
      <c r="O10" s="662">
        <v>0.5</v>
      </c>
    </row>
    <row r="11" spans="1:15" ht="15.75" customHeight="1">
      <c r="A11" s="728" t="str">
        <f>"Raw acceleration at ignition: [m/s"&amp;CHAR(178)&amp;"]"</f>
        <v>Raw acceleration at ignition: [m/s²]</v>
      </c>
      <c r="B11" s="679">
        <f t="shared" ref="B11:O11" si="0">B9/B3</f>
        <v>211.42221820998066</v>
      </c>
      <c r="C11" s="679">
        <f t="shared" si="0"/>
        <v>211.42221820998066</v>
      </c>
      <c r="D11" s="679">
        <f t="shared" si="0"/>
        <v>196.20010934937125</v>
      </c>
      <c r="E11" s="679">
        <f t="shared" si="0"/>
        <v>149.99996629017284</v>
      </c>
      <c r="F11" s="679">
        <f t="shared" si="0"/>
        <v>4.7622826908541196</v>
      </c>
      <c r="G11" s="679">
        <f t="shared" si="0"/>
        <v>31.272727272727273</v>
      </c>
      <c r="H11" s="679">
        <f t="shared" si="0"/>
        <v>211.42221820998066</v>
      </c>
      <c r="I11" s="679">
        <f t="shared" si="0"/>
        <v>75.820895522388057</v>
      </c>
      <c r="J11" s="679">
        <f t="shared" si="0"/>
        <v>74.052478134110785</v>
      </c>
      <c r="K11" s="679">
        <f t="shared" si="0"/>
        <v>73.623188405797094</v>
      </c>
      <c r="L11" s="679">
        <f t="shared" si="0"/>
        <v>3.9603960396039604</v>
      </c>
      <c r="M11" s="679">
        <f t="shared" si="0"/>
        <v>3.0188679245283021</v>
      </c>
      <c r="N11" s="679">
        <f t="shared" si="0"/>
        <v>211.42221820998066</v>
      </c>
      <c r="O11" s="676">
        <f t="shared" si="0"/>
        <v>149.98479840528194</v>
      </c>
    </row>
    <row r="12" spans="1:15" ht="15.75" customHeight="1">
      <c r="A12" s="661" t="s">
        <v>571</v>
      </c>
      <c r="B12" s="678">
        <f t="shared" ref="B12:O12" si="1">B10*B9/(9.81*(B3-B4))</f>
        <v>184.61223150315874</v>
      </c>
      <c r="C12" s="678">
        <f t="shared" si="1"/>
        <v>184.61223150315874</v>
      </c>
      <c r="D12" s="678">
        <f t="shared" si="1"/>
        <v>184.61223150315917</v>
      </c>
      <c r="E12" s="678">
        <f t="shared" si="1"/>
        <v>184.61223150315874</v>
      </c>
      <c r="F12" s="678">
        <f t="shared" si="1"/>
        <v>214.08426775399249</v>
      </c>
      <c r="G12" s="679">
        <f t="shared" si="1"/>
        <v>203.87359836901121</v>
      </c>
      <c r="H12" s="678">
        <f t="shared" si="1"/>
        <v>184.61223150315874</v>
      </c>
      <c r="I12" s="675">
        <f t="shared" si="1"/>
        <v>210.31364885900712</v>
      </c>
      <c r="J12" s="675">
        <f t="shared" si="1"/>
        <v>210.31364885900712</v>
      </c>
      <c r="K12" s="675">
        <f t="shared" si="1"/>
        <v>210.31364885900712</v>
      </c>
      <c r="L12" s="678">
        <f t="shared" si="1"/>
        <v>209.10112653231917</v>
      </c>
      <c r="M12" s="678">
        <f t="shared" si="1"/>
        <v>209.10112653231917</v>
      </c>
      <c r="N12" s="678">
        <f t="shared" si="1"/>
        <v>184.61223150315874</v>
      </c>
      <c r="O12" s="676">
        <f t="shared" si="1"/>
        <v>184.16250621326108</v>
      </c>
    </row>
    <row r="13" spans="1:15" ht="15.75" customHeight="1">
      <c r="A13" s="661" t="s">
        <v>572</v>
      </c>
      <c r="B13" s="678">
        <f t="shared" ref="B13:O13" si="2">B12*9.81*LN(B3/B4)</f>
        <v>108.92186729968134</v>
      </c>
      <c r="C13" s="678">
        <f t="shared" si="2"/>
        <v>108.92186729968134</v>
      </c>
      <c r="D13" s="678">
        <f t="shared" si="2"/>
        <v>100.85699894921035</v>
      </c>
      <c r="E13" s="678">
        <f t="shared" si="2"/>
        <v>76.597204677740081</v>
      </c>
      <c r="F13" s="678">
        <f t="shared" si="2"/>
        <v>226.0423332479993</v>
      </c>
      <c r="G13" s="679">
        <f t="shared" si="2"/>
        <v>162.81454927066684</v>
      </c>
      <c r="H13" s="678">
        <f t="shared" si="2"/>
        <v>108.92186729968134</v>
      </c>
      <c r="I13" s="678">
        <f t="shared" si="2"/>
        <v>372.96156324000924</v>
      </c>
      <c r="J13" s="678">
        <f t="shared" si="2"/>
        <v>363.44887322684525</v>
      </c>
      <c r="K13" s="678">
        <f t="shared" si="2"/>
        <v>361.14623411936742</v>
      </c>
      <c r="L13" s="678">
        <f t="shared" si="2"/>
        <v>101.47915695477195</v>
      </c>
      <c r="M13" s="678">
        <f t="shared" si="2"/>
        <v>76.895115777327689</v>
      </c>
      <c r="N13" s="678">
        <f t="shared" si="2"/>
        <v>108.92186729968134</v>
      </c>
      <c r="O13" s="676">
        <f t="shared" si="2"/>
        <v>76.593304522729738</v>
      </c>
    </row>
    <row r="14" spans="1:15" ht="15.75" customHeight="1">
      <c r="A14" s="728" t="s">
        <v>573</v>
      </c>
      <c r="B14" s="670" t="s">
        <v>293</v>
      </c>
      <c r="C14" s="670" t="s">
        <v>293</v>
      </c>
      <c r="D14" s="670" t="s">
        <v>293</v>
      </c>
      <c r="E14" s="670" t="s">
        <v>293</v>
      </c>
      <c r="F14" s="751">
        <v>6</v>
      </c>
      <c r="G14" s="670" t="s">
        <v>293</v>
      </c>
      <c r="H14" s="670" t="s">
        <v>293</v>
      </c>
      <c r="I14" s="807">
        <v>0.4</v>
      </c>
      <c r="J14" s="807">
        <v>0.4</v>
      </c>
      <c r="K14" s="807">
        <v>0.4</v>
      </c>
      <c r="L14" s="807">
        <v>2.5</v>
      </c>
      <c r="M14" s="807">
        <v>2.5</v>
      </c>
      <c r="N14" s="718" t="s">
        <v>293</v>
      </c>
      <c r="O14" s="718" t="s">
        <v>293</v>
      </c>
    </row>
    <row r="15" spans="1:15" ht="16.5" customHeight="1">
      <c r="A15" s="776" t="s">
        <v>574</v>
      </c>
      <c r="B15" s="679">
        <v>8899.49</v>
      </c>
      <c r="C15" s="679">
        <v>8899.49</v>
      </c>
      <c r="D15" s="679">
        <v>8899.49</v>
      </c>
      <c r="E15" s="679">
        <v>8899.49</v>
      </c>
      <c r="F15" s="670" t="s">
        <v>293</v>
      </c>
      <c r="G15" s="786">
        <v>2000</v>
      </c>
      <c r="H15" s="679">
        <v>8899.49</v>
      </c>
      <c r="I15" s="718" t="s">
        <v>293</v>
      </c>
      <c r="J15" s="718" t="s">
        <v>293</v>
      </c>
      <c r="K15" s="718" t="s">
        <v>293</v>
      </c>
      <c r="L15" s="718" t="s">
        <v>293</v>
      </c>
      <c r="M15" s="718" t="s">
        <v>293</v>
      </c>
      <c r="N15" s="679">
        <v>8899.49</v>
      </c>
      <c r="O15" s="676">
        <v>8899.49</v>
      </c>
    </row>
    <row r="16" spans="1:15" ht="18" customHeight="1">
      <c r="A16" s="776" t="s">
        <v>575</v>
      </c>
      <c r="B16" s="664">
        <v>3.5</v>
      </c>
      <c r="C16" s="664">
        <v>3.5</v>
      </c>
      <c r="D16" s="664">
        <v>3.5</v>
      </c>
      <c r="E16" s="664">
        <v>3.5</v>
      </c>
      <c r="F16" s="670" t="s">
        <v>293</v>
      </c>
      <c r="G16" s="664">
        <v>110</v>
      </c>
      <c r="H16" s="664">
        <v>3.5</v>
      </c>
      <c r="I16" s="670" t="s">
        <v>293</v>
      </c>
      <c r="J16" s="670" t="s">
        <v>293</v>
      </c>
      <c r="K16" s="670" t="s">
        <v>293</v>
      </c>
      <c r="L16" s="718" t="s">
        <v>293</v>
      </c>
      <c r="M16" s="718" t="s">
        <v>293</v>
      </c>
      <c r="N16" s="664">
        <v>3.5</v>
      </c>
      <c r="O16" s="662">
        <v>3.5</v>
      </c>
    </row>
    <row r="17" spans="1:15" ht="18" customHeight="1">
      <c r="A17" s="728" t="s">
        <v>576</v>
      </c>
      <c r="B17" s="777">
        <f>B16*B15/(9.81*(B4-B5))</f>
        <v>184.61780605348176</v>
      </c>
      <c r="C17" s="777">
        <f>C16*C15/(9.81*(C4-C5))</f>
        <v>184.61780605348176</v>
      </c>
      <c r="D17" s="777">
        <f>D16*D15/(9.81*(D4-D5))</f>
        <v>184.61780605348176</v>
      </c>
      <c r="E17" s="777">
        <f>E16*E15/(9.81*(E4-E5))</f>
        <v>184.62317347428825</v>
      </c>
      <c r="F17" s="670" t="s">
        <v>293</v>
      </c>
      <c r="G17" s="806">
        <f>G16*G15/(9.81*(G4-G5))</f>
        <v>203.87359836901118</v>
      </c>
      <c r="H17" s="777">
        <f>H16*H15/(9.81*(H4-H5))</f>
        <v>184.61780605348176</v>
      </c>
      <c r="I17" s="670" t="s">
        <v>293</v>
      </c>
      <c r="J17" s="670" t="s">
        <v>293</v>
      </c>
      <c r="K17" s="670" t="s">
        <v>293</v>
      </c>
      <c r="L17" s="718" t="s">
        <v>293</v>
      </c>
      <c r="M17" s="718" t="s">
        <v>293</v>
      </c>
      <c r="N17" s="777">
        <f>N16*N15/(9.81*(N4-N5))</f>
        <v>184.61780605348176</v>
      </c>
      <c r="O17" s="777">
        <f>O16*O15/(9.81*(O4-O5))</f>
        <v>184.62317347428825</v>
      </c>
    </row>
    <row r="18" spans="1:15" ht="18" customHeight="1">
      <c r="A18" s="728" t="s">
        <v>577</v>
      </c>
      <c r="B18" s="777">
        <f>B17*9.81*LN(B4/B5)</f>
        <v>164.41159910196347</v>
      </c>
      <c r="C18" s="777">
        <f>C17*9.81*LN(C4/C5)</f>
        <v>164.41159910196347</v>
      </c>
      <c r="D18" s="777">
        <f>D17*9.81*LN(D4/D5)</f>
        <v>151.35776363176421</v>
      </c>
      <c r="E18" s="777">
        <f>E17*9.81*LN(E4/E5)</f>
        <v>112.98849095532634</v>
      </c>
      <c r="F18" s="670" t="s">
        <v>293</v>
      </c>
      <c r="G18" s="806">
        <f>G17*9.81*LN(G4/G5)</f>
        <v>489.14944580798544</v>
      </c>
      <c r="H18" s="777">
        <f>H17*9.81*LN(H4/H5)</f>
        <v>164.41159910196347</v>
      </c>
      <c r="I18" s="670" t="s">
        <v>293</v>
      </c>
      <c r="J18" s="670" t="s">
        <v>293</v>
      </c>
      <c r="K18" s="670" t="s">
        <v>293</v>
      </c>
      <c r="L18" s="718" t="s">
        <v>293</v>
      </c>
      <c r="M18" s="718" t="s">
        <v>293</v>
      </c>
      <c r="N18" s="777">
        <f>N17*9.81*LN(N4/N5)</f>
        <v>164.41159910196347</v>
      </c>
      <c r="O18" s="777">
        <f>O17*9.81*LN(O4/O5)</f>
        <v>112.98849095532634</v>
      </c>
    </row>
    <row r="19" spans="1:15" ht="18" customHeight="1">
      <c r="A19" s="728" t="s">
        <v>578</v>
      </c>
      <c r="B19" s="692">
        <f t="shared" ref="B19:O19" si="3">IF(ISNUMBER(B18),B13+B18,B13)</f>
        <v>273.33346640164484</v>
      </c>
      <c r="C19" s="692">
        <f t="shared" si="3"/>
        <v>273.33346640164484</v>
      </c>
      <c r="D19" s="692">
        <f t="shared" si="3"/>
        <v>252.21476258097456</v>
      </c>
      <c r="E19" s="692">
        <f t="shared" si="3"/>
        <v>189.58569563306642</v>
      </c>
      <c r="F19" s="692">
        <f t="shared" si="3"/>
        <v>226.0423332479993</v>
      </c>
      <c r="G19" s="679">
        <f t="shared" si="3"/>
        <v>651.96399507865226</v>
      </c>
      <c r="H19" s="692">
        <f t="shared" si="3"/>
        <v>273.33346640164484</v>
      </c>
      <c r="I19" s="692">
        <f t="shared" si="3"/>
        <v>372.96156324000924</v>
      </c>
      <c r="J19" s="692">
        <f t="shared" si="3"/>
        <v>363.44887322684525</v>
      </c>
      <c r="K19" s="692">
        <f t="shared" si="3"/>
        <v>361.14623411936742</v>
      </c>
      <c r="L19" s="692">
        <f t="shared" si="3"/>
        <v>101.47915695477195</v>
      </c>
      <c r="M19" s="692">
        <f t="shared" si="3"/>
        <v>76.895115777327689</v>
      </c>
      <c r="N19" s="692">
        <f t="shared" si="3"/>
        <v>273.33346640164484</v>
      </c>
      <c r="O19" s="676">
        <f t="shared" si="3"/>
        <v>189.58179547805608</v>
      </c>
    </row>
    <row r="20" spans="1:15" ht="20.25" customHeight="1">
      <c r="A20" s="805" t="s">
        <v>579</v>
      </c>
      <c r="B20" s="697"/>
      <c r="C20" s="697"/>
      <c r="D20" s="697"/>
      <c r="E20" s="697"/>
      <c r="F20" s="697"/>
      <c r="G20" s="697"/>
      <c r="H20" s="697"/>
      <c r="I20" s="697"/>
      <c r="J20" s="697"/>
      <c r="K20" s="697"/>
      <c r="L20" s="697"/>
      <c r="M20" s="697"/>
      <c r="N20" s="697"/>
      <c r="O20" s="697"/>
    </row>
    <row r="21" spans="1:15" ht="15.75" customHeight="1">
      <c r="A21" s="728" t="s">
        <v>580</v>
      </c>
      <c r="B21" s="664">
        <f>1.31*39.08</f>
        <v>51.194800000000001</v>
      </c>
      <c r="C21" s="664">
        <f>1.31*39.08</f>
        <v>51.194800000000001</v>
      </c>
      <c r="D21" s="664">
        <f>1.31*39.08</f>
        <v>51.194800000000001</v>
      </c>
      <c r="E21" s="664">
        <f>1.28*39</f>
        <v>49.92</v>
      </c>
      <c r="F21" s="662">
        <f>428.6*1.35</f>
        <v>578.61</v>
      </c>
      <c r="G21" s="664">
        <f>1.18*75</f>
        <v>88.5</v>
      </c>
      <c r="H21" s="664">
        <f>1.31*39.08</f>
        <v>51.194800000000001</v>
      </c>
      <c r="I21" s="664">
        <f>1.6*116.4</f>
        <v>186.24</v>
      </c>
      <c r="J21" s="664">
        <f>1.6*116.4</f>
        <v>186.24</v>
      </c>
      <c r="K21" s="664">
        <f>1.6*116.4</f>
        <v>186.24</v>
      </c>
      <c r="L21" s="664">
        <f>87.1*1.35</f>
        <v>117.58499999999999</v>
      </c>
      <c r="M21" s="664">
        <f>428.6*1.18</f>
        <v>505.74799999999999</v>
      </c>
      <c r="N21" s="664">
        <f>1.31*39.08</f>
        <v>51.194800000000001</v>
      </c>
      <c r="O21" s="664">
        <f>1.28*39</f>
        <v>49.92</v>
      </c>
    </row>
    <row r="22" spans="1:15" ht="15.75" customHeight="1">
      <c r="A22" s="775" t="s">
        <v>764</v>
      </c>
      <c r="B22" s="668" t="s">
        <v>894</v>
      </c>
      <c r="C22" s="667" t="s">
        <v>894</v>
      </c>
      <c r="D22" s="667" t="s">
        <v>894</v>
      </c>
      <c r="E22" s="667" t="s">
        <v>763</v>
      </c>
      <c r="F22" s="668" t="s">
        <v>876</v>
      </c>
      <c r="G22" s="670" t="s">
        <v>876</v>
      </c>
      <c r="H22" s="667" t="s">
        <v>894</v>
      </c>
      <c r="I22" s="670" t="s">
        <v>876</v>
      </c>
      <c r="J22" s="670" t="s">
        <v>876</v>
      </c>
      <c r="K22" s="670" t="s">
        <v>876</v>
      </c>
      <c r="L22" s="667" t="s">
        <v>876</v>
      </c>
      <c r="M22" s="667" t="s">
        <v>876</v>
      </c>
      <c r="N22" s="668" t="s">
        <v>894</v>
      </c>
      <c r="O22" s="667" t="s">
        <v>763</v>
      </c>
    </row>
    <row r="23" spans="1:15" ht="15.75" customHeight="1">
      <c r="A23" s="776" t="s">
        <v>762</v>
      </c>
      <c r="B23" s="664">
        <v>830</v>
      </c>
      <c r="C23" s="664">
        <v>830</v>
      </c>
      <c r="D23" s="664">
        <v>830</v>
      </c>
      <c r="E23" s="664">
        <v>122</v>
      </c>
      <c r="F23" s="662">
        <v>117.28879999999999</v>
      </c>
      <c r="G23" s="664">
        <v>77.275000000000006</v>
      </c>
      <c r="H23" s="664">
        <v>830</v>
      </c>
      <c r="I23" s="664">
        <v>87.152000000000001</v>
      </c>
      <c r="J23" s="664">
        <v>87.152000000000001</v>
      </c>
      <c r="K23" s="664">
        <v>87.152000000000001</v>
      </c>
      <c r="L23" s="664">
        <v>81.637749999999997</v>
      </c>
      <c r="M23" s="664">
        <v>111.45984</v>
      </c>
      <c r="N23" s="664">
        <v>830</v>
      </c>
      <c r="O23" s="664">
        <v>122</v>
      </c>
    </row>
    <row r="24" spans="1:15" ht="15.75" customHeight="1">
      <c r="A24" s="661" t="s">
        <v>761</v>
      </c>
      <c r="B24" s="664">
        <v>1.0000000000000001E-5</v>
      </c>
      <c r="C24" s="664">
        <v>1.0000000000000001E-5</v>
      </c>
      <c r="D24" s="664">
        <v>1.0000000000000001E-5</v>
      </c>
      <c r="E24" s="664">
        <v>0.1</v>
      </c>
      <c r="F24" s="60">
        <v>0.1</v>
      </c>
      <c r="G24" s="664">
        <v>0.1</v>
      </c>
      <c r="H24" s="664">
        <v>1.0000000000000001E-5</v>
      </c>
      <c r="I24" s="664">
        <v>0.1</v>
      </c>
      <c r="J24" s="664">
        <v>0.1</v>
      </c>
      <c r="K24" s="664">
        <v>0.1</v>
      </c>
      <c r="L24" s="60">
        <v>0.1</v>
      </c>
      <c r="M24" s="60">
        <v>0.1</v>
      </c>
      <c r="N24" s="664">
        <v>1.0000000000000001E-5</v>
      </c>
      <c r="O24" s="664">
        <v>0.1</v>
      </c>
    </row>
    <row r="25" spans="1:15" ht="15.75" customHeight="1">
      <c r="A25" s="661" t="s">
        <v>760</v>
      </c>
      <c r="B25" s="670" t="s">
        <v>293</v>
      </c>
      <c r="C25" s="670" t="s">
        <v>293</v>
      </c>
      <c r="D25" s="670" t="s">
        <v>293</v>
      </c>
      <c r="E25" s="664">
        <v>1</v>
      </c>
      <c r="F25" s="60">
        <v>0.1</v>
      </c>
      <c r="G25" s="664">
        <v>0.1</v>
      </c>
      <c r="H25" s="670" t="s">
        <v>293</v>
      </c>
      <c r="I25" s="664">
        <v>0.1</v>
      </c>
      <c r="J25" s="664">
        <v>0.1</v>
      </c>
      <c r="K25" s="664">
        <v>0.1</v>
      </c>
      <c r="L25" s="60">
        <v>0.1</v>
      </c>
      <c r="M25" s="60">
        <v>0.1</v>
      </c>
      <c r="N25" s="670" t="s">
        <v>293</v>
      </c>
      <c r="O25" s="664">
        <v>1</v>
      </c>
    </row>
    <row r="26" spans="1:15" ht="20.25" customHeight="1">
      <c r="A26" s="804" t="s">
        <v>585</v>
      </c>
      <c r="B26" s="702"/>
      <c r="C26" s="702"/>
      <c r="D26" s="702"/>
      <c r="E26" s="702"/>
      <c r="F26" s="702"/>
      <c r="G26" s="702"/>
      <c r="H26" s="702"/>
      <c r="I26" s="702"/>
      <c r="J26" s="702"/>
      <c r="K26" s="702"/>
      <c r="L26" s="702"/>
      <c r="M26" s="702"/>
      <c r="N26" s="702"/>
      <c r="O26" s="702"/>
    </row>
    <row r="27" spans="1:15" ht="15.75" customHeight="1">
      <c r="A27" s="728" t="s">
        <v>893</v>
      </c>
      <c r="B27" s="664" t="s">
        <v>890</v>
      </c>
      <c r="C27" s="662" t="s">
        <v>889</v>
      </c>
      <c r="D27" s="664" t="s">
        <v>890</v>
      </c>
      <c r="E27" s="662" t="s">
        <v>889</v>
      </c>
      <c r="F27" s="662" t="s">
        <v>890</v>
      </c>
      <c r="G27" s="664" t="s">
        <v>889</v>
      </c>
      <c r="H27" s="662" t="s">
        <v>889</v>
      </c>
      <c r="I27" s="664" t="s">
        <v>892</v>
      </c>
      <c r="J27" s="664" t="s">
        <v>892</v>
      </c>
      <c r="K27" s="664" t="s">
        <v>892</v>
      </c>
      <c r="L27" s="662" t="s">
        <v>891</v>
      </c>
      <c r="M27" s="662" t="s">
        <v>891</v>
      </c>
      <c r="N27" s="664" t="s">
        <v>890</v>
      </c>
      <c r="O27" s="662" t="s">
        <v>889</v>
      </c>
    </row>
    <row r="28" spans="1:15" ht="15.75" customHeight="1">
      <c r="A28" s="728" t="s">
        <v>586</v>
      </c>
      <c r="B28" s="670" t="s">
        <v>887</v>
      </c>
      <c r="C28" s="668" t="s">
        <v>887</v>
      </c>
      <c r="D28" s="668" t="s">
        <v>887</v>
      </c>
      <c r="E28" s="668" t="s">
        <v>887</v>
      </c>
      <c r="F28" s="668" t="s">
        <v>887</v>
      </c>
      <c r="G28" s="670" t="s">
        <v>887</v>
      </c>
      <c r="H28" s="668" t="s">
        <v>887</v>
      </c>
      <c r="I28" s="670" t="s">
        <v>887</v>
      </c>
      <c r="J28" s="670" t="s">
        <v>887</v>
      </c>
      <c r="K28" s="670" t="s">
        <v>887</v>
      </c>
      <c r="L28" s="668" t="s">
        <v>888</v>
      </c>
      <c r="M28" s="668" t="s">
        <v>888</v>
      </c>
      <c r="N28" s="670" t="s">
        <v>887</v>
      </c>
      <c r="O28" s="668" t="s">
        <v>887</v>
      </c>
    </row>
    <row r="29" spans="1:15" ht="15.75" customHeight="1">
      <c r="A29" s="728" t="s">
        <v>587</v>
      </c>
      <c r="B29" s="664">
        <v>0.5</v>
      </c>
      <c r="C29" s="662">
        <v>0.5</v>
      </c>
      <c r="D29" s="662">
        <v>0.5</v>
      </c>
      <c r="E29" s="662">
        <v>0.5</v>
      </c>
      <c r="F29" s="662">
        <v>1.5</v>
      </c>
      <c r="G29" s="664">
        <v>0.5</v>
      </c>
      <c r="H29" s="662">
        <v>0.5</v>
      </c>
      <c r="I29" s="664">
        <v>0.8</v>
      </c>
      <c r="J29" s="664">
        <v>0.8</v>
      </c>
      <c r="K29" s="664">
        <v>0.8</v>
      </c>
      <c r="L29" s="662">
        <v>0.75</v>
      </c>
      <c r="M29" s="662">
        <v>0.75</v>
      </c>
      <c r="N29" s="664">
        <v>0.5</v>
      </c>
      <c r="O29" s="662">
        <v>0.5</v>
      </c>
    </row>
    <row r="30" spans="1:15" ht="15.75" customHeight="1">
      <c r="A30" s="728" t="s">
        <v>588</v>
      </c>
      <c r="B30" s="664">
        <v>105</v>
      </c>
      <c r="C30" s="662">
        <v>105</v>
      </c>
      <c r="D30" s="662">
        <v>105</v>
      </c>
      <c r="E30" s="662">
        <v>105</v>
      </c>
      <c r="F30" s="662">
        <v>300</v>
      </c>
      <c r="G30" s="664">
        <v>175</v>
      </c>
      <c r="H30" s="662">
        <v>105</v>
      </c>
      <c r="I30" s="664">
        <v>40</v>
      </c>
      <c r="J30" s="664">
        <v>70</v>
      </c>
      <c r="K30" s="664">
        <v>70</v>
      </c>
      <c r="L30" s="662">
        <v>200</v>
      </c>
      <c r="M30" s="662">
        <v>200</v>
      </c>
      <c r="N30" s="664">
        <v>105</v>
      </c>
      <c r="O30" s="662">
        <v>105</v>
      </c>
    </row>
    <row r="31" spans="1:15" ht="15.75" customHeight="1">
      <c r="A31" s="728" t="s">
        <v>872</v>
      </c>
      <c r="B31" s="670" t="s">
        <v>293</v>
      </c>
      <c r="C31" s="670" t="s">
        <v>293</v>
      </c>
      <c r="D31" s="670" t="s">
        <v>293</v>
      </c>
      <c r="E31" s="670" t="s">
        <v>293</v>
      </c>
      <c r="F31" s="670" t="s">
        <v>293</v>
      </c>
      <c r="G31" s="670" t="s">
        <v>293</v>
      </c>
      <c r="H31" s="670" t="s">
        <v>293</v>
      </c>
      <c r="I31" s="670" t="s">
        <v>293</v>
      </c>
      <c r="J31" s="670" t="s">
        <v>293</v>
      </c>
      <c r="K31" s="670" t="s">
        <v>293</v>
      </c>
      <c r="L31" s="670" t="s">
        <v>293</v>
      </c>
      <c r="M31" s="670" t="s">
        <v>293</v>
      </c>
      <c r="N31" s="670" t="s">
        <v>293</v>
      </c>
      <c r="O31" s="670" t="s">
        <v>293</v>
      </c>
    </row>
    <row r="32" spans="1:15" ht="15.75" customHeight="1">
      <c r="A32" s="728" t="s">
        <v>589</v>
      </c>
      <c r="B32" s="664">
        <v>1</v>
      </c>
      <c r="C32" s="662">
        <v>1</v>
      </c>
      <c r="D32" s="662">
        <v>1</v>
      </c>
      <c r="E32" s="662">
        <v>1</v>
      </c>
      <c r="F32" s="662">
        <v>1</v>
      </c>
      <c r="G32" s="664">
        <v>1</v>
      </c>
      <c r="H32" s="662">
        <v>1</v>
      </c>
      <c r="I32" s="664">
        <v>1</v>
      </c>
      <c r="J32" s="664">
        <v>1</v>
      </c>
      <c r="K32" s="664">
        <v>1</v>
      </c>
      <c r="L32" s="662">
        <v>1</v>
      </c>
      <c r="M32" s="662">
        <v>1</v>
      </c>
      <c r="N32" s="664">
        <v>1</v>
      </c>
      <c r="O32" s="662">
        <v>1</v>
      </c>
    </row>
    <row r="33" spans="1:15" ht="15.75" customHeight="1">
      <c r="A33" s="728" t="s">
        <v>590</v>
      </c>
      <c r="B33" s="664">
        <v>3600</v>
      </c>
      <c r="C33" s="662">
        <v>3600</v>
      </c>
      <c r="D33" s="662">
        <v>3600</v>
      </c>
      <c r="E33" s="662">
        <v>3600</v>
      </c>
      <c r="F33" s="662">
        <v>3600</v>
      </c>
      <c r="G33" s="664">
        <v>3600</v>
      </c>
      <c r="H33" s="662">
        <v>3600</v>
      </c>
      <c r="I33" s="664">
        <v>3600</v>
      </c>
      <c r="J33" s="664">
        <v>3600</v>
      </c>
      <c r="K33" s="664">
        <v>3600</v>
      </c>
      <c r="L33" s="662">
        <v>3600</v>
      </c>
      <c r="M33" s="662">
        <v>3600</v>
      </c>
      <c r="N33" s="664">
        <v>3600</v>
      </c>
      <c r="O33" s="662">
        <v>3600</v>
      </c>
    </row>
    <row r="34" spans="1:15" ht="15.75" customHeight="1">
      <c r="A34" s="728" t="s">
        <v>591</v>
      </c>
      <c r="B34" s="664">
        <v>0.1</v>
      </c>
      <c r="C34" s="662">
        <v>0.1</v>
      </c>
      <c r="D34" s="662">
        <v>0.1</v>
      </c>
      <c r="E34" s="662">
        <v>0.1</v>
      </c>
      <c r="F34" s="662">
        <v>0.1</v>
      </c>
      <c r="G34" s="664">
        <v>0.1</v>
      </c>
      <c r="H34" s="662">
        <v>0.1</v>
      </c>
      <c r="I34" s="664">
        <v>0.1</v>
      </c>
      <c r="J34" s="664">
        <v>0.1</v>
      </c>
      <c r="K34" s="664">
        <v>0.1</v>
      </c>
      <c r="L34" s="662">
        <v>0.1</v>
      </c>
      <c r="M34" s="662">
        <v>0.1</v>
      </c>
      <c r="N34" s="664">
        <v>0.1</v>
      </c>
      <c r="O34" s="662">
        <v>0.1</v>
      </c>
    </row>
    <row r="35" spans="1:15" ht="15.75" customHeight="1">
      <c r="A35" s="728" t="s">
        <v>592</v>
      </c>
      <c r="B35" s="664">
        <v>60</v>
      </c>
      <c r="C35" s="662">
        <v>50</v>
      </c>
      <c r="D35" s="662">
        <v>60</v>
      </c>
      <c r="E35" s="662">
        <v>50</v>
      </c>
      <c r="F35" s="662">
        <v>60</v>
      </c>
      <c r="G35" s="664">
        <v>60</v>
      </c>
      <c r="H35" s="662">
        <v>50</v>
      </c>
      <c r="I35" s="664">
        <v>58</v>
      </c>
      <c r="J35" s="664">
        <v>58</v>
      </c>
      <c r="K35" s="664">
        <v>58</v>
      </c>
      <c r="L35" s="662">
        <v>45</v>
      </c>
      <c r="M35" s="662">
        <v>45</v>
      </c>
      <c r="N35" s="664">
        <v>60</v>
      </c>
      <c r="O35" s="662">
        <v>50</v>
      </c>
    </row>
    <row r="36" spans="1:15" ht="15.75" customHeight="1">
      <c r="A36" s="728" t="s">
        <v>593</v>
      </c>
      <c r="B36" s="664">
        <v>5</v>
      </c>
      <c r="C36" s="662">
        <v>2.5</v>
      </c>
      <c r="D36" s="662">
        <v>5</v>
      </c>
      <c r="E36" s="662">
        <v>2.5</v>
      </c>
      <c r="F36" s="662">
        <v>5</v>
      </c>
      <c r="G36" s="664">
        <v>5</v>
      </c>
      <c r="H36" s="662">
        <v>2.5</v>
      </c>
      <c r="I36" s="664">
        <v>7</v>
      </c>
      <c r="J36" s="664">
        <v>7</v>
      </c>
      <c r="K36" s="664">
        <v>7</v>
      </c>
      <c r="L36" s="662">
        <v>10</v>
      </c>
      <c r="M36" s="662">
        <v>10</v>
      </c>
      <c r="N36" s="664">
        <v>5</v>
      </c>
      <c r="O36" s="662">
        <v>2.5</v>
      </c>
    </row>
    <row r="37" spans="1:15" ht="17.25" customHeight="1">
      <c r="A37" s="661" t="s">
        <v>594</v>
      </c>
      <c r="B37" s="667" t="s">
        <v>328</v>
      </c>
      <c r="C37" s="667" t="s">
        <v>328</v>
      </c>
      <c r="D37" s="667" t="s">
        <v>328</v>
      </c>
      <c r="E37" s="667" t="s">
        <v>328</v>
      </c>
      <c r="F37" s="667" t="s">
        <v>328</v>
      </c>
      <c r="G37" s="667" t="s">
        <v>328</v>
      </c>
      <c r="H37" s="667" t="s">
        <v>328</v>
      </c>
      <c r="I37" s="667" t="s">
        <v>328</v>
      </c>
      <c r="J37" s="667" t="s">
        <v>328</v>
      </c>
      <c r="K37" s="667" t="s">
        <v>328</v>
      </c>
      <c r="L37" s="667" t="s">
        <v>328</v>
      </c>
      <c r="M37" s="667" t="s">
        <v>328</v>
      </c>
      <c r="N37" s="667" t="s">
        <v>328</v>
      </c>
      <c r="O37" s="667" t="s">
        <v>328</v>
      </c>
    </row>
    <row r="38" spans="1:15" ht="17.25" customHeight="1">
      <c r="A38" s="728" t="s">
        <v>595</v>
      </c>
      <c r="B38" s="664">
        <v>30</v>
      </c>
      <c r="C38" s="662">
        <v>30</v>
      </c>
      <c r="D38" s="662">
        <v>30</v>
      </c>
      <c r="E38" s="662">
        <v>30</v>
      </c>
      <c r="F38" s="662">
        <v>30</v>
      </c>
      <c r="G38" s="664">
        <v>30</v>
      </c>
      <c r="H38" s="662">
        <v>30</v>
      </c>
      <c r="I38" s="664">
        <v>55</v>
      </c>
      <c r="J38" s="664">
        <v>55</v>
      </c>
      <c r="K38" s="664">
        <v>55</v>
      </c>
      <c r="L38" s="662">
        <v>40</v>
      </c>
      <c r="M38" s="662">
        <v>40</v>
      </c>
      <c r="N38" s="664">
        <v>30</v>
      </c>
      <c r="O38" s="662">
        <v>30</v>
      </c>
    </row>
    <row r="39" spans="1:15" ht="31.5" customHeight="1">
      <c r="A39" s="776" t="s">
        <v>596</v>
      </c>
      <c r="B39" s="670" t="s">
        <v>293</v>
      </c>
      <c r="C39" s="670" t="s">
        <v>293</v>
      </c>
      <c r="D39" s="670" t="s">
        <v>293</v>
      </c>
      <c r="E39" s="670" t="s">
        <v>293</v>
      </c>
      <c r="F39" s="668" t="s">
        <v>293</v>
      </c>
      <c r="G39" s="670" t="s">
        <v>293</v>
      </c>
      <c r="H39" s="670" t="s">
        <v>293</v>
      </c>
      <c r="I39" s="670" t="s">
        <v>293</v>
      </c>
      <c r="J39" s="670" t="s">
        <v>293</v>
      </c>
      <c r="K39" s="670" t="s">
        <v>293</v>
      </c>
      <c r="L39" s="670" t="s">
        <v>293</v>
      </c>
      <c r="M39" s="670" t="s">
        <v>293</v>
      </c>
      <c r="N39" s="670" t="s">
        <v>293</v>
      </c>
      <c r="O39" s="670" t="s">
        <v>293</v>
      </c>
    </row>
    <row r="40" spans="1:15" ht="15.75" customHeight="1">
      <c r="A40" s="728" t="s">
        <v>886</v>
      </c>
      <c r="B40" s="664">
        <v>24</v>
      </c>
      <c r="C40" s="662">
        <v>24</v>
      </c>
      <c r="D40" s="662">
        <v>24</v>
      </c>
      <c r="E40" s="662">
        <v>24</v>
      </c>
      <c r="F40" s="662">
        <v>40</v>
      </c>
      <c r="G40" s="664">
        <v>34</v>
      </c>
      <c r="H40" s="662">
        <v>24</v>
      </c>
      <c r="I40" s="664">
        <v>15</v>
      </c>
      <c r="J40" s="664">
        <v>35</v>
      </c>
      <c r="K40" s="664">
        <v>30</v>
      </c>
      <c r="L40" s="662">
        <v>40</v>
      </c>
      <c r="M40" s="662">
        <v>40</v>
      </c>
      <c r="N40" s="664">
        <v>24</v>
      </c>
      <c r="O40" s="662">
        <v>24</v>
      </c>
    </row>
    <row r="41" spans="1:15" ht="15.75" customHeight="1">
      <c r="A41" s="728" t="s">
        <v>885</v>
      </c>
      <c r="B41" s="664">
        <v>6</v>
      </c>
      <c r="C41" s="662">
        <v>12</v>
      </c>
      <c r="D41" s="662">
        <v>12</v>
      </c>
      <c r="E41" s="662">
        <v>12</v>
      </c>
      <c r="F41" s="662">
        <v>6</v>
      </c>
      <c r="G41" s="664">
        <v>12</v>
      </c>
      <c r="H41" s="662">
        <v>12</v>
      </c>
      <c r="I41" s="664">
        <v>12</v>
      </c>
      <c r="J41" s="664">
        <v>12</v>
      </c>
      <c r="K41" s="664">
        <v>12</v>
      </c>
      <c r="L41" s="662">
        <v>12</v>
      </c>
      <c r="M41" s="662">
        <v>12</v>
      </c>
      <c r="N41" s="664">
        <v>6</v>
      </c>
      <c r="O41" s="662">
        <v>12</v>
      </c>
    </row>
    <row r="42" spans="1:15" ht="15.75" customHeight="1">
      <c r="A42" s="661" t="s">
        <v>601</v>
      </c>
      <c r="B42" s="670" t="s">
        <v>328</v>
      </c>
      <c r="C42" s="670" t="s">
        <v>328</v>
      </c>
      <c r="D42" s="670" t="s">
        <v>328</v>
      </c>
      <c r="E42" s="670" t="s">
        <v>328</v>
      </c>
      <c r="F42" s="670" t="s">
        <v>328</v>
      </c>
      <c r="G42" s="670" t="s">
        <v>328</v>
      </c>
      <c r="H42" s="670" t="s">
        <v>328</v>
      </c>
      <c r="I42" s="670" t="s">
        <v>324</v>
      </c>
      <c r="J42" s="670" t="s">
        <v>324</v>
      </c>
      <c r="K42" s="670" t="s">
        <v>324</v>
      </c>
      <c r="L42" s="670" t="s">
        <v>328</v>
      </c>
      <c r="M42" s="670" t="s">
        <v>328</v>
      </c>
      <c r="N42" s="670" t="s">
        <v>328</v>
      </c>
      <c r="O42" s="670" t="s">
        <v>328</v>
      </c>
    </row>
    <row r="43" spans="1:15" ht="15.75" customHeight="1">
      <c r="A43" s="661" t="s">
        <v>602</v>
      </c>
      <c r="B43" s="670" t="s">
        <v>354</v>
      </c>
      <c r="C43" s="670" t="s">
        <v>354</v>
      </c>
      <c r="D43" s="670" t="s">
        <v>354</v>
      </c>
      <c r="E43" s="670" t="s">
        <v>354</v>
      </c>
      <c r="F43" s="670" t="s">
        <v>354</v>
      </c>
      <c r="G43" s="670" t="s">
        <v>354</v>
      </c>
      <c r="H43" s="670" t="s">
        <v>354</v>
      </c>
      <c r="I43" s="670" t="s">
        <v>293</v>
      </c>
      <c r="J43" s="670" t="s">
        <v>293</v>
      </c>
      <c r="K43" s="670" t="s">
        <v>293</v>
      </c>
      <c r="L43" s="670" t="s">
        <v>354</v>
      </c>
      <c r="M43" s="670" t="s">
        <v>354</v>
      </c>
      <c r="N43" s="670" t="s">
        <v>354</v>
      </c>
      <c r="O43" s="670" t="s">
        <v>354</v>
      </c>
    </row>
    <row r="44" spans="1:15" ht="15.75" customHeight="1">
      <c r="A44" s="661" t="s">
        <v>603</v>
      </c>
      <c r="B44" s="664">
        <v>0.1</v>
      </c>
      <c r="C44" s="664">
        <v>0.1</v>
      </c>
      <c r="D44" s="664">
        <v>0.1</v>
      </c>
      <c r="E44" s="664">
        <v>0.1</v>
      </c>
      <c r="F44" s="664">
        <v>0.1</v>
      </c>
      <c r="G44" s="664">
        <v>0.1</v>
      </c>
      <c r="H44" s="664">
        <v>0.1</v>
      </c>
      <c r="I44" s="670" t="s">
        <v>293</v>
      </c>
      <c r="J44" s="670" t="s">
        <v>293</v>
      </c>
      <c r="K44" s="670" t="s">
        <v>293</v>
      </c>
      <c r="L44" s="664">
        <v>0.1</v>
      </c>
      <c r="M44" s="664">
        <v>0.1</v>
      </c>
      <c r="N44" s="664">
        <v>0.1</v>
      </c>
      <c r="O44" s="664">
        <v>0.1</v>
      </c>
    </row>
    <row r="45" spans="1:15" ht="15.75" customHeight="1">
      <c r="A45" s="661" t="s">
        <v>606</v>
      </c>
      <c r="B45" s="664">
        <v>120</v>
      </c>
      <c r="C45" s="664">
        <v>120</v>
      </c>
      <c r="D45" s="664">
        <v>120</v>
      </c>
      <c r="E45" s="664">
        <v>120</v>
      </c>
      <c r="F45" s="664">
        <v>120</v>
      </c>
      <c r="G45" s="664">
        <v>120</v>
      </c>
      <c r="H45" s="664">
        <v>120</v>
      </c>
      <c r="I45" s="664">
        <v>120</v>
      </c>
      <c r="J45" s="664">
        <v>120</v>
      </c>
      <c r="K45" s="664">
        <v>120</v>
      </c>
      <c r="L45" s="664">
        <v>120</v>
      </c>
      <c r="M45" s="664">
        <v>120</v>
      </c>
      <c r="N45" s="664">
        <v>120</v>
      </c>
      <c r="O45" s="664">
        <v>120</v>
      </c>
    </row>
    <row r="46" spans="1:15" ht="15.75" customHeight="1">
      <c r="A46" s="661" t="s">
        <v>729</v>
      </c>
      <c r="B46" s="670" t="s">
        <v>293</v>
      </c>
      <c r="C46" s="670" t="s">
        <v>293</v>
      </c>
      <c r="D46" s="670" t="s">
        <v>293</v>
      </c>
      <c r="E46" s="670" t="s">
        <v>293</v>
      </c>
      <c r="F46" s="670" t="s">
        <v>293</v>
      </c>
      <c r="G46" s="670" t="s">
        <v>293</v>
      </c>
      <c r="H46" s="670" t="s">
        <v>293</v>
      </c>
      <c r="I46" s="670" t="s">
        <v>293</v>
      </c>
      <c r="J46" s="670" t="s">
        <v>293</v>
      </c>
      <c r="K46" s="670" t="s">
        <v>293</v>
      </c>
      <c r="L46" s="667" t="s">
        <v>293</v>
      </c>
      <c r="M46" s="667" t="s">
        <v>293</v>
      </c>
      <c r="N46" s="667" t="s">
        <v>293</v>
      </c>
      <c r="O46" s="670" t="s">
        <v>293</v>
      </c>
    </row>
    <row r="47" spans="1:15" ht="25.5">
      <c r="A47" s="682" t="s">
        <v>607</v>
      </c>
      <c r="B47" s="664">
        <v>4</v>
      </c>
      <c r="C47" s="664">
        <v>4</v>
      </c>
      <c r="D47" s="664">
        <v>4</v>
      </c>
      <c r="E47" s="664">
        <v>4</v>
      </c>
      <c r="F47" s="664">
        <v>4</v>
      </c>
      <c r="G47" s="664">
        <v>4</v>
      </c>
      <c r="H47" s="664">
        <v>4</v>
      </c>
      <c r="I47" s="664">
        <v>4</v>
      </c>
      <c r="J47" s="664">
        <v>4</v>
      </c>
      <c r="K47" s="664">
        <v>4</v>
      </c>
      <c r="L47" s="664">
        <v>4</v>
      </c>
      <c r="M47" s="664">
        <v>4</v>
      </c>
      <c r="N47" s="664">
        <v>4</v>
      </c>
      <c r="O47" s="664">
        <v>4</v>
      </c>
    </row>
    <row r="48" spans="1:15" ht="15.75" customHeight="1">
      <c r="A48" s="682" t="s">
        <v>608</v>
      </c>
      <c r="B48" s="664">
        <v>1800</v>
      </c>
      <c r="C48" s="664">
        <v>1800</v>
      </c>
      <c r="D48" s="664">
        <v>1800</v>
      </c>
      <c r="E48" s="664">
        <v>1800</v>
      </c>
      <c r="F48" s="664">
        <v>1800</v>
      </c>
      <c r="G48" s="664">
        <v>1800</v>
      </c>
      <c r="H48" s="664">
        <v>1800</v>
      </c>
      <c r="I48" s="664">
        <v>1800</v>
      </c>
      <c r="J48" s="664">
        <v>1800</v>
      </c>
      <c r="K48" s="664">
        <v>1800</v>
      </c>
      <c r="L48" s="664">
        <v>1800</v>
      </c>
      <c r="M48" s="664">
        <v>1800</v>
      </c>
      <c r="N48" s="664">
        <v>1800</v>
      </c>
      <c r="O48" s="664">
        <v>1800</v>
      </c>
    </row>
    <row r="49" spans="1:15" ht="15.75" customHeight="1">
      <c r="A49" s="661" t="s">
        <v>609</v>
      </c>
      <c r="B49" s="664">
        <v>2.2499999999999999E-2</v>
      </c>
      <c r="C49" s="664">
        <v>2.2499999999999999E-2</v>
      </c>
      <c r="D49" s="664">
        <v>2.2499999999999999E-2</v>
      </c>
      <c r="E49" s="664">
        <v>2.2499999999999999E-2</v>
      </c>
      <c r="F49" s="662">
        <v>7.0099999999999996E-2</v>
      </c>
      <c r="G49" s="664">
        <v>1.8599999999999998E-2</v>
      </c>
      <c r="H49" s="664">
        <v>2.2499999999999999E-2</v>
      </c>
      <c r="I49" s="664">
        <v>1.0500000000000001E-2</v>
      </c>
      <c r="J49" s="664">
        <v>1.0500000000000001E-2</v>
      </c>
      <c r="K49" s="664">
        <v>1.0500000000000001E-2</v>
      </c>
      <c r="L49" s="60">
        <v>1.7500000000000002E-2</v>
      </c>
      <c r="M49" s="60">
        <v>1.7500000000000002E-2</v>
      </c>
      <c r="N49" s="664">
        <v>2.2499999999999999E-2</v>
      </c>
      <c r="O49" s="664">
        <v>2.2499999999999999E-2</v>
      </c>
    </row>
    <row r="50" spans="1:15" ht="15.75" customHeight="1">
      <c r="A50" s="661" t="s">
        <v>611</v>
      </c>
      <c r="B50" s="664">
        <v>0.03</v>
      </c>
      <c r="C50" s="664">
        <v>0.03</v>
      </c>
      <c r="D50" s="664">
        <v>0.03</v>
      </c>
      <c r="E50" s="664">
        <v>0.03</v>
      </c>
      <c r="F50" s="60">
        <v>0.09</v>
      </c>
      <c r="G50" s="664">
        <v>3.5999999999999999E-3</v>
      </c>
      <c r="H50" s="664">
        <v>0.03</v>
      </c>
      <c r="I50" s="664">
        <v>4.1000000000000002E-2</v>
      </c>
      <c r="J50" s="664">
        <v>4.1000000000000002E-2</v>
      </c>
      <c r="K50" s="664">
        <v>4.1000000000000002E-2</v>
      </c>
      <c r="L50" s="60">
        <v>3.4500000000000003E-2</v>
      </c>
      <c r="M50" s="60">
        <v>3.4500000000000003E-2</v>
      </c>
      <c r="N50" s="664">
        <v>0.03</v>
      </c>
      <c r="O50" s="664">
        <v>0.03</v>
      </c>
    </row>
    <row r="51" spans="1:15" ht="15.75" customHeight="1">
      <c r="A51" s="661" t="s">
        <v>613</v>
      </c>
      <c r="B51" s="664">
        <v>1</v>
      </c>
      <c r="C51" s="664">
        <v>1</v>
      </c>
      <c r="D51" s="664">
        <v>1</v>
      </c>
      <c r="E51" s="664">
        <v>1</v>
      </c>
      <c r="F51" s="60">
        <v>1</v>
      </c>
      <c r="G51" s="664">
        <v>1</v>
      </c>
      <c r="H51" s="664">
        <v>1</v>
      </c>
      <c r="I51" s="664">
        <v>1</v>
      </c>
      <c r="J51" s="664">
        <v>1</v>
      </c>
      <c r="K51" s="664">
        <v>1</v>
      </c>
      <c r="L51" s="60">
        <v>1</v>
      </c>
      <c r="M51" s="60">
        <v>1</v>
      </c>
      <c r="N51" s="664">
        <v>1</v>
      </c>
      <c r="O51" s="664">
        <v>1</v>
      </c>
    </row>
    <row r="52" spans="1:15" ht="15.75" customHeight="1">
      <c r="A52" s="661" t="s">
        <v>615</v>
      </c>
      <c r="B52" s="664">
        <v>4.5999999999999999E-3</v>
      </c>
      <c r="C52" s="664">
        <v>4.5999999999999999E-3</v>
      </c>
      <c r="D52" s="664">
        <v>4.5999999999999999E-3</v>
      </c>
      <c r="E52" s="664">
        <v>4.5999999999999999E-3</v>
      </c>
      <c r="F52" s="60">
        <v>5.0000000000000001E-4</v>
      </c>
      <c r="G52" s="664">
        <v>8.0000000000000004E-4</v>
      </c>
      <c r="H52" s="664">
        <v>4.5999999999999999E-3</v>
      </c>
      <c r="I52" s="664">
        <v>2.8999999999999998E-3</v>
      </c>
      <c r="J52" s="664">
        <v>2.9000000000000001E-2</v>
      </c>
      <c r="K52" s="664">
        <v>2.9000000000000001E-2</v>
      </c>
      <c r="L52" s="664">
        <v>6.4999999999999997E-3</v>
      </c>
      <c r="M52" s="664">
        <v>6.4999999999999997E-3</v>
      </c>
      <c r="N52" s="664">
        <v>4.5999999999999999E-3</v>
      </c>
      <c r="O52" s="664">
        <v>4.5999999999999999E-3</v>
      </c>
    </row>
    <row r="53" spans="1:15" ht="24" customHeight="1">
      <c r="A53" s="803" t="s">
        <v>617</v>
      </c>
      <c r="B53" s="802"/>
      <c r="C53" s="802"/>
      <c r="D53" s="802"/>
      <c r="E53" s="802"/>
      <c r="F53" s="802"/>
      <c r="G53" s="802"/>
      <c r="H53" s="802"/>
      <c r="I53" s="802"/>
      <c r="J53" s="802"/>
      <c r="K53" s="802"/>
      <c r="L53" s="802"/>
      <c r="M53" s="802"/>
      <c r="N53" s="802"/>
      <c r="O53" s="802"/>
    </row>
    <row r="54" spans="1:15" ht="15.75" customHeight="1">
      <c r="A54" s="712" t="s">
        <v>884</v>
      </c>
      <c r="B54" s="704" t="s">
        <v>883</v>
      </c>
      <c r="C54" s="704" t="s">
        <v>883</v>
      </c>
      <c r="D54" s="704" t="s">
        <v>883</v>
      </c>
      <c r="E54" s="704" t="s">
        <v>883</v>
      </c>
      <c r="F54" s="670" t="s">
        <v>293</v>
      </c>
      <c r="G54" s="704" t="s">
        <v>883</v>
      </c>
      <c r="H54" s="704" t="s">
        <v>883</v>
      </c>
      <c r="I54" s="667" t="s">
        <v>293</v>
      </c>
      <c r="J54" s="667" t="s">
        <v>293</v>
      </c>
      <c r="K54" s="667" t="s">
        <v>293</v>
      </c>
      <c r="L54" s="667" t="s">
        <v>293</v>
      </c>
      <c r="M54" s="667" t="s">
        <v>293</v>
      </c>
      <c r="N54" s="704" t="s">
        <v>883</v>
      </c>
      <c r="O54" s="704" t="s">
        <v>883</v>
      </c>
    </row>
    <row r="55" spans="1:15" ht="15.75" customHeight="1">
      <c r="A55" s="728" t="s">
        <v>618</v>
      </c>
      <c r="B55" s="704">
        <f>90*0.2</f>
        <v>18</v>
      </c>
      <c r="C55" s="704">
        <f>90*0.2</f>
        <v>18</v>
      </c>
      <c r="D55" s="664">
        <f>90*0.2</f>
        <v>18</v>
      </c>
      <c r="E55" s="664">
        <f>90*0.2</f>
        <v>18</v>
      </c>
      <c r="F55" s="662">
        <f>90*0.151153</f>
        <v>13.603770000000001</v>
      </c>
      <c r="G55" s="664">
        <f>90*0.2</f>
        <v>18</v>
      </c>
      <c r="H55" s="704">
        <f>90*0.2</f>
        <v>18</v>
      </c>
      <c r="I55" s="704">
        <f>90*0.18</f>
        <v>16.2</v>
      </c>
      <c r="J55" s="704">
        <f>90*0.18</f>
        <v>16.2</v>
      </c>
      <c r="K55" s="704">
        <f>90*0.18</f>
        <v>16.2</v>
      </c>
      <c r="L55" s="704" t="str">
        <f>TEXT(90*0.1, "0") &amp; " / " &amp; TEXT(90*0.15,"0.0") &amp; " [H / V]"</f>
        <v>9 / 13.5 [H / V]</v>
      </c>
      <c r="M55" s="704" t="str">
        <f>TEXT(90*0.1, "0") &amp; " / " &amp; TEXT(90*0.15,"0.0") &amp; " [H / V]"</f>
        <v>9 / 13.5 [H / V]</v>
      </c>
      <c r="N55" s="704">
        <f>90*0.2</f>
        <v>18</v>
      </c>
      <c r="O55" s="662">
        <f>90*0.2</f>
        <v>18</v>
      </c>
    </row>
    <row r="56" spans="1:15" ht="15.75" customHeight="1">
      <c r="A56" s="728" t="s">
        <v>619</v>
      </c>
      <c r="B56" s="704">
        <v>7.5</v>
      </c>
      <c r="C56" s="704">
        <v>7.5</v>
      </c>
      <c r="D56" s="704">
        <v>7.5</v>
      </c>
      <c r="E56" s="704">
        <v>7.5</v>
      </c>
      <c r="F56" s="668" t="s">
        <v>293</v>
      </c>
      <c r="G56" s="664">
        <v>4.5</v>
      </c>
      <c r="H56" s="704">
        <v>7.5</v>
      </c>
      <c r="I56" s="667" t="s">
        <v>293</v>
      </c>
      <c r="J56" s="667" t="s">
        <v>293</v>
      </c>
      <c r="K56" s="667" t="s">
        <v>293</v>
      </c>
      <c r="L56" s="667" t="s">
        <v>293</v>
      </c>
      <c r="M56" s="667" t="s">
        <v>293</v>
      </c>
      <c r="N56" s="704">
        <v>7.5</v>
      </c>
      <c r="O56" s="704">
        <v>7.5</v>
      </c>
    </row>
    <row r="57" spans="1:15" ht="15.75" customHeight="1">
      <c r="A57" s="728" t="s">
        <v>621</v>
      </c>
      <c r="B57" s="704">
        <v>1.5149999999999999</v>
      </c>
      <c r="C57" s="704">
        <v>1.5149999999999999</v>
      </c>
      <c r="D57" s="704">
        <v>1.5149999999999999</v>
      </c>
      <c r="E57" s="704">
        <v>1.5149999999999999</v>
      </c>
      <c r="F57" s="662">
        <v>3.25</v>
      </c>
      <c r="G57" s="664">
        <v>1.5</v>
      </c>
      <c r="H57" s="704">
        <v>1.5149999999999999</v>
      </c>
      <c r="I57" s="704">
        <v>1.35</v>
      </c>
      <c r="J57" s="704">
        <v>1.35</v>
      </c>
      <c r="K57" s="704">
        <v>1.35</v>
      </c>
      <c r="L57" s="704">
        <v>1.65</v>
      </c>
      <c r="M57" s="704">
        <v>1.65</v>
      </c>
      <c r="N57" s="704">
        <v>1.5149999999999999</v>
      </c>
      <c r="O57" s="704">
        <v>1.5149999999999999</v>
      </c>
    </row>
    <row r="58" spans="1:15" ht="15.75" customHeight="1">
      <c r="A58" s="661" t="s">
        <v>622</v>
      </c>
      <c r="B58" s="669" t="s">
        <v>293</v>
      </c>
      <c r="C58" s="669" t="s">
        <v>293</v>
      </c>
      <c r="D58" s="669" t="s">
        <v>293</v>
      </c>
      <c r="E58" s="669" t="s">
        <v>293</v>
      </c>
      <c r="F58" s="668" t="s">
        <v>293</v>
      </c>
      <c r="G58" s="670" t="s">
        <v>293</v>
      </c>
      <c r="H58" s="669" t="s">
        <v>293</v>
      </c>
      <c r="I58" s="669" t="s">
        <v>293</v>
      </c>
      <c r="J58" s="669" t="s">
        <v>293</v>
      </c>
      <c r="K58" s="669" t="s">
        <v>293</v>
      </c>
      <c r="L58" s="669" t="s">
        <v>293</v>
      </c>
      <c r="M58" s="669" t="s">
        <v>293</v>
      </c>
      <c r="N58" s="669" t="s">
        <v>293</v>
      </c>
      <c r="O58" s="668" t="s">
        <v>293</v>
      </c>
    </row>
    <row r="59" spans="1:15" ht="15.75" customHeight="1">
      <c r="A59" s="728" t="s">
        <v>865</v>
      </c>
      <c r="B59" s="664">
        <v>0.9</v>
      </c>
      <c r="C59" s="664">
        <v>0.9</v>
      </c>
      <c r="D59" s="662">
        <v>0.9</v>
      </c>
      <c r="E59" s="662">
        <v>0.9</v>
      </c>
      <c r="F59" s="662">
        <v>1</v>
      </c>
      <c r="G59" s="664">
        <v>0.9</v>
      </c>
      <c r="H59" s="664">
        <v>0.9</v>
      </c>
      <c r="I59" s="664">
        <v>1.75</v>
      </c>
      <c r="J59" s="664">
        <v>1.75</v>
      </c>
      <c r="K59" s="664">
        <v>1.75</v>
      </c>
      <c r="L59" s="664">
        <v>1</v>
      </c>
      <c r="M59" s="664">
        <v>1</v>
      </c>
      <c r="N59" s="664">
        <v>0.9</v>
      </c>
      <c r="O59" s="662">
        <v>0.9</v>
      </c>
    </row>
    <row r="60" spans="1:15" ht="15.75" customHeight="1">
      <c r="A60" s="728" t="s">
        <v>625</v>
      </c>
      <c r="B60" s="664">
        <v>23</v>
      </c>
      <c r="C60" s="664">
        <v>23</v>
      </c>
      <c r="D60" s="664">
        <v>23</v>
      </c>
      <c r="E60" s="664">
        <v>23</v>
      </c>
      <c r="F60" s="662">
        <v>70</v>
      </c>
      <c r="G60" s="664">
        <v>45</v>
      </c>
      <c r="H60" s="664">
        <v>23</v>
      </c>
      <c r="I60" s="664">
        <v>13</v>
      </c>
      <c r="J60" s="664">
        <v>35</v>
      </c>
      <c r="K60" s="664">
        <v>30</v>
      </c>
      <c r="L60" s="664">
        <v>50</v>
      </c>
      <c r="M60" s="664">
        <v>50</v>
      </c>
      <c r="N60" s="664">
        <v>23</v>
      </c>
      <c r="O60" s="662">
        <v>23</v>
      </c>
    </row>
    <row r="61" spans="1:15" ht="15.75" customHeight="1">
      <c r="A61" s="661" t="s">
        <v>629</v>
      </c>
      <c r="B61" s="664">
        <v>600</v>
      </c>
      <c r="C61" s="664">
        <v>600</v>
      </c>
      <c r="D61" s="662">
        <v>600</v>
      </c>
      <c r="E61" s="662">
        <v>600</v>
      </c>
      <c r="F61" s="662">
        <v>5000</v>
      </c>
      <c r="G61" s="664">
        <v>3000</v>
      </c>
      <c r="H61" s="664">
        <v>600</v>
      </c>
      <c r="I61" s="664">
        <v>3000</v>
      </c>
      <c r="J61" s="664">
        <v>3000</v>
      </c>
      <c r="K61" s="664">
        <v>3000</v>
      </c>
      <c r="L61" s="664">
        <v>2000</v>
      </c>
      <c r="M61" s="664">
        <v>2000</v>
      </c>
      <c r="N61" s="664">
        <v>600</v>
      </c>
      <c r="O61" s="662">
        <v>600</v>
      </c>
    </row>
    <row r="62" spans="1:15" ht="15.75" customHeight="1">
      <c r="A62" s="728" t="s">
        <v>759</v>
      </c>
      <c r="B62" s="664">
        <v>26.4</v>
      </c>
      <c r="C62" s="664">
        <v>26.4</v>
      </c>
      <c r="D62" s="664">
        <v>26.4</v>
      </c>
      <c r="E62" s="664">
        <v>26.4</v>
      </c>
      <c r="F62" s="662">
        <v>70</v>
      </c>
      <c r="G62" s="664">
        <v>60</v>
      </c>
      <c r="H62" s="664">
        <v>26.4</v>
      </c>
      <c r="I62" s="664">
        <v>13</v>
      </c>
      <c r="J62" s="664">
        <v>35</v>
      </c>
      <c r="K62" s="664">
        <v>30</v>
      </c>
      <c r="L62" s="664">
        <v>50</v>
      </c>
      <c r="M62" s="664">
        <v>50</v>
      </c>
      <c r="N62" s="664">
        <v>26.4</v>
      </c>
      <c r="O62" s="662">
        <v>26.4</v>
      </c>
    </row>
    <row r="63" spans="1:15" ht="15.75" customHeight="1">
      <c r="A63" s="728" t="s">
        <v>631</v>
      </c>
      <c r="B63" s="664">
        <v>6</v>
      </c>
      <c r="C63" s="664">
        <v>6</v>
      </c>
      <c r="D63" s="662">
        <v>6</v>
      </c>
      <c r="E63" s="662">
        <v>6</v>
      </c>
      <c r="F63" s="662">
        <v>2.5</v>
      </c>
      <c r="G63" s="664">
        <v>6</v>
      </c>
      <c r="H63" s="664">
        <v>6</v>
      </c>
      <c r="I63" s="664">
        <v>6</v>
      </c>
      <c r="J63" s="664">
        <v>6</v>
      </c>
      <c r="K63" s="664">
        <v>6</v>
      </c>
      <c r="L63" s="664">
        <v>2.5</v>
      </c>
      <c r="M63" s="664">
        <v>2.5</v>
      </c>
      <c r="N63" s="664">
        <v>6</v>
      </c>
      <c r="O63" s="662">
        <v>6</v>
      </c>
    </row>
    <row r="64" spans="1:15" ht="15.75" customHeight="1">
      <c r="A64" s="728" t="s">
        <v>632</v>
      </c>
      <c r="B64" s="664">
        <v>5</v>
      </c>
      <c r="C64" s="664">
        <v>5</v>
      </c>
      <c r="D64" s="662">
        <v>5</v>
      </c>
      <c r="E64" s="662">
        <v>5</v>
      </c>
      <c r="F64" s="668" t="s">
        <v>293</v>
      </c>
      <c r="G64" s="664">
        <v>5</v>
      </c>
      <c r="H64" s="664">
        <v>5</v>
      </c>
      <c r="I64" s="664">
        <v>5</v>
      </c>
      <c r="J64" s="664">
        <v>5</v>
      </c>
      <c r="K64" s="664">
        <v>5</v>
      </c>
      <c r="L64" s="664">
        <v>2.5</v>
      </c>
      <c r="M64" s="664">
        <v>2.5</v>
      </c>
      <c r="N64" s="664">
        <v>5</v>
      </c>
      <c r="O64" s="662">
        <v>5</v>
      </c>
    </row>
    <row r="65" spans="1:15" ht="15.75" customHeight="1">
      <c r="A65" s="728" t="s">
        <v>686</v>
      </c>
      <c r="B65" s="670" t="s">
        <v>328</v>
      </c>
      <c r="C65" s="670" t="s">
        <v>328</v>
      </c>
      <c r="D65" s="670" t="s">
        <v>328</v>
      </c>
      <c r="E65" s="670" t="s">
        <v>328</v>
      </c>
      <c r="F65" s="670" t="s">
        <v>328</v>
      </c>
      <c r="G65" s="670" t="s">
        <v>328</v>
      </c>
      <c r="H65" s="670" t="s">
        <v>328</v>
      </c>
      <c r="I65" s="670" t="s">
        <v>328</v>
      </c>
      <c r="J65" s="670" t="s">
        <v>328</v>
      </c>
      <c r="K65" s="670" t="s">
        <v>328</v>
      </c>
      <c r="L65" s="670" t="s">
        <v>328</v>
      </c>
      <c r="M65" s="670" t="s">
        <v>328</v>
      </c>
      <c r="N65" s="670" t="s">
        <v>328</v>
      </c>
      <c r="O65" s="670" t="s">
        <v>328</v>
      </c>
    </row>
    <row r="66" spans="1:15" ht="15.75" customHeight="1">
      <c r="A66" s="728" t="s">
        <v>687</v>
      </c>
      <c r="B66" s="800">
        <v>20</v>
      </c>
      <c r="C66" s="800">
        <v>20</v>
      </c>
      <c r="D66" s="801">
        <v>20</v>
      </c>
      <c r="E66" s="801">
        <v>16</v>
      </c>
      <c r="F66" s="688">
        <v>10</v>
      </c>
      <c r="G66" s="786">
        <v>2</v>
      </c>
      <c r="H66" s="800">
        <v>16</v>
      </c>
      <c r="I66" s="800">
        <v>27</v>
      </c>
      <c r="J66" s="800">
        <v>27</v>
      </c>
      <c r="K66" s="800">
        <v>27</v>
      </c>
      <c r="L66" s="800">
        <v>7</v>
      </c>
      <c r="M66" s="800">
        <v>7</v>
      </c>
      <c r="N66" s="800">
        <v>20</v>
      </c>
      <c r="O66" s="688">
        <v>16</v>
      </c>
    </row>
    <row r="67" spans="1:15" ht="15.75" customHeight="1">
      <c r="A67" s="661" t="s">
        <v>688</v>
      </c>
      <c r="B67" s="797">
        <v>-6.75</v>
      </c>
      <c r="C67" s="797">
        <v>-6.75</v>
      </c>
      <c r="D67" s="797">
        <v>-6.75</v>
      </c>
      <c r="E67" s="797">
        <v>-6.75</v>
      </c>
      <c r="F67" s="688">
        <v>-15</v>
      </c>
      <c r="G67" s="679">
        <v>-6.75</v>
      </c>
      <c r="H67" s="797">
        <v>-6.75</v>
      </c>
      <c r="I67" s="800">
        <v>-35</v>
      </c>
      <c r="J67" s="800">
        <v>-35</v>
      </c>
      <c r="K67" s="800">
        <v>-35</v>
      </c>
      <c r="L67" s="800">
        <v>-20</v>
      </c>
      <c r="M67" s="800">
        <v>-20</v>
      </c>
      <c r="N67" s="797">
        <v>-6.75</v>
      </c>
      <c r="O67" s="676">
        <v>-6.75</v>
      </c>
    </row>
    <row r="68" spans="1:15" ht="15.75" customHeight="1">
      <c r="A68" s="785" t="s">
        <v>689</v>
      </c>
      <c r="B68" s="796">
        <v>0.42499999999999999</v>
      </c>
      <c r="C68" s="796">
        <v>0.42499999999999999</v>
      </c>
      <c r="D68" s="799">
        <v>0.42499999999999999</v>
      </c>
      <c r="E68" s="799">
        <v>0.42499999999999999</v>
      </c>
      <c r="F68" s="676">
        <v>0.75</v>
      </c>
      <c r="G68" s="798">
        <v>0.42499999999999999</v>
      </c>
      <c r="H68" s="796">
        <v>0.42499999999999999</v>
      </c>
      <c r="I68" s="797">
        <v>0.45</v>
      </c>
      <c r="J68" s="797">
        <v>0.45</v>
      </c>
      <c r="K68" s="797">
        <v>0.45</v>
      </c>
      <c r="L68" s="797">
        <v>0.35</v>
      </c>
      <c r="M68" s="797">
        <v>0.35</v>
      </c>
      <c r="N68" s="796">
        <v>0.42499999999999999</v>
      </c>
      <c r="O68" s="795">
        <v>0.42499999999999999</v>
      </c>
    </row>
    <row r="69" spans="1:15" ht="112.5" customHeight="1">
      <c r="A69" s="722" t="s">
        <v>635</v>
      </c>
      <c r="B69" s="776"/>
      <c r="C69" s="788"/>
      <c r="D69" s="788"/>
      <c r="E69" s="788"/>
      <c r="F69" s="711"/>
      <c r="G69" s="728"/>
      <c r="H69" s="788" t="s">
        <v>882</v>
      </c>
      <c r="I69" s="776"/>
      <c r="J69" s="776"/>
      <c r="K69" s="776"/>
      <c r="L69" s="711"/>
      <c r="M69" s="711"/>
      <c r="N69" s="776" t="s">
        <v>881</v>
      </c>
      <c r="O69" s="776"/>
    </row>
    <row r="70" spans="1:15" ht="12.75">
      <c r="A70" s="728"/>
      <c r="B70" s="728"/>
      <c r="C70" s="711"/>
      <c r="D70" s="711"/>
      <c r="E70" s="711"/>
      <c r="F70" s="711"/>
      <c r="G70" s="728"/>
      <c r="H70" s="711"/>
      <c r="I70" s="728"/>
      <c r="J70" s="728"/>
      <c r="K70" s="728"/>
      <c r="L70" s="663"/>
      <c r="M70" s="663"/>
      <c r="N70" s="728"/>
      <c r="O70" s="711"/>
    </row>
    <row r="71" spans="1:15" ht="12.75">
      <c r="A71" s="728"/>
      <c r="B71" s="728"/>
      <c r="C71" s="711"/>
      <c r="D71" s="711"/>
      <c r="E71" s="711"/>
      <c r="F71" s="711"/>
      <c r="G71" s="728"/>
      <c r="H71" s="711"/>
      <c r="I71" s="728"/>
      <c r="J71" s="728"/>
      <c r="K71" s="728"/>
      <c r="L71" s="663"/>
      <c r="M71" s="663"/>
      <c r="N71" s="728"/>
      <c r="O71" s="711"/>
    </row>
    <row r="72" spans="1:15" ht="12.75">
      <c r="A72" s="728"/>
      <c r="B72" s="728"/>
      <c r="C72" s="711"/>
      <c r="D72" s="711"/>
      <c r="E72" s="711"/>
      <c r="F72" s="711"/>
      <c r="G72" s="728"/>
      <c r="H72" s="711"/>
      <c r="I72" s="728"/>
      <c r="J72" s="728"/>
      <c r="K72" s="728"/>
      <c r="L72" s="663"/>
      <c r="M72" s="663"/>
      <c r="N72" s="728"/>
      <c r="O72" s="711"/>
    </row>
    <row r="73" spans="1:15" ht="12.75">
      <c r="A73" s="728"/>
      <c r="B73" s="661"/>
      <c r="C73" s="663"/>
      <c r="D73" s="663"/>
      <c r="E73" s="663"/>
      <c r="F73" s="711"/>
      <c r="G73" s="728"/>
      <c r="H73" s="663"/>
      <c r="I73" s="661"/>
      <c r="J73" s="661"/>
      <c r="K73" s="661"/>
      <c r="L73" s="663"/>
      <c r="M73" s="663"/>
      <c r="N73" s="661"/>
      <c r="O73" s="711"/>
    </row>
    <row r="74" spans="1:15" ht="12.75">
      <c r="A74" s="728"/>
      <c r="B74" s="661"/>
      <c r="C74" s="663"/>
      <c r="D74" s="663"/>
      <c r="E74" s="663"/>
      <c r="F74" s="711"/>
      <c r="G74" s="728"/>
      <c r="H74" s="663"/>
      <c r="I74" s="661"/>
      <c r="J74" s="661"/>
      <c r="K74" s="661"/>
      <c r="L74" s="663"/>
      <c r="M74" s="663"/>
      <c r="N74" s="661"/>
      <c r="O74" s="711"/>
    </row>
    <row r="75" spans="1:15" ht="12.75">
      <c r="A75" s="728"/>
      <c r="B75" s="661"/>
      <c r="C75" s="663"/>
      <c r="D75" s="663"/>
      <c r="E75" s="663"/>
      <c r="F75" s="711"/>
      <c r="G75" s="728"/>
      <c r="H75" s="663"/>
      <c r="I75" s="661"/>
      <c r="J75" s="661"/>
      <c r="K75" s="661"/>
      <c r="L75" s="663"/>
      <c r="M75" s="663"/>
      <c r="N75" s="661"/>
      <c r="O75" s="711"/>
    </row>
    <row r="76" spans="1:15" ht="12.75">
      <c r="A76" s="728"/>
      <c r="B76" s="661"/>
      <c r="C76" s="663"/>
      <c r="D76" s="663"/>
      <c r="E76" s="663"/>
      <c r="F76" s="711"/>
      <c r="G76" s="728"/>
      <c r="H76" s="663"/>
      <c r="I76" s="661"/>
      <c r="J76" s="661"/>
      <c r="K76" s="661"/>
      <c r="L76" s="663"/>
      <c r="M76" s="663"/>
      <c r="N76" s="661"/>
      <c r="O76" s="711"/>
    </row>
    <row r="77" spans="1:15" ht="12.75">
      <c r="A77" s="728"/>
      <c r="B77" s="661"/>
      <c r="C77" s="663"/>
      <c r="D77" s="663"/>
      <c r="E77" s="663"/>
      <c r="F77" s="711"/>
      <c r="G77" s="728"/>
      <c r="H77" s="663"/>
      <c r="I77" s="661"/>
      <c r="J77" s="661"/>
      <c r="K77" s="661"/>
      <c r="L77" s="663"/>
      <c r="M77" s="663"/>
      <c r="N77" s="661"/>
      <c r="O77" s="711"/>
    </row>
    <row r="78" spans="1:15" ht="12.75">
      <c r="A78" s="728"/>
      <c r="B78" s="661"/>
      <c r="C78" s="663"/>
      <c r="D78" s="663"/>
      <c r="E78" s="663"/>
      <c r="F78" s="711"/>
      <c r="G78" s="728"/>
      <c r="H78" s="663"/>
      <c r="I78" s="661"/>
      <c r="J78" s="661"/>
      <c r="K78" s="661"/>
      <c r="L78" s="663"/>
      <c r="M78" s="663"/>
      <c r="N78" s="661"/>
      <c r="O78" s="711"/>
    </row>
    <row r="79" spans="1:15" ht="12.75">
      <c r="A79" s="728"/>
      <c r="B79" s="661"/>
      <c r="C79" s="663"/>
      <c r="D79" s="663"/>
      <c r="E79" s="663"/>
      <c r="F79" s="711"/>
      <c r="G79" s="728"/>
      <c r="H79" s="663"/>
      <c r="I79" s="661"/>
      <c r="J79" s="661"/>
      <c r="K79" s="661"/>
      <c r="L79" s="663"/>
      <c r="M79" s="663"/>
      <c r="N79" s="661"/>
      <c r="O79" s="711"/>
    </row>
    <row r="80" spans="1:15" ht="12.75">
      <c r="A80" s="728"/>
      <c r="B80" s="661"/>
      <c r="C80" s="663"/>
      <c r="D80" s="663"/>
      <c r="E80" s="663"/>
      <c r="F80" s="711"/>
      <c r="G80" s="728"/>
      <c r="H80" s="663"/>
      <c r="I80" s="661"/>
      <c r="J80" s="661"/>
      <c r="K80" s="661"/>
      <c r="L80" s="663"/>
      <c r="M80" s="663"/>
      <c r="N80" s="661"/>
      <c r="O80" s="711"/>
    </row>
  </sheetData>
  <conditionalFormatting sqref="A1:O1 A3:O7 A9:O19 A21:O25 A27:O52 A54:O80">
    <cfRule type="expression" dxfId="58" priority="1">
      <formula>ISODD(COLUMN())</formula>
    </cfRule>
    <cfRule type="expression" dxfId="57" priority="2">
      <formula>ISEVEN(COLUMN())</formula>
    </cfRule>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BFD81-033B-4B8C-A415-5EB3CC91DC5A}">
  <sheetPr>
    <tabColor rgb="FF5B0F00"/>
    <outlinePr summaryBelow="0" summaryRight="0"/>
  </sheetPr>
  <dimension ref="A1:N86"/>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3.85546875" customWidth="1"/>
    <col min="2" max="3" width="17.5703125" customWidth="1"/>
    <col min="4" max="12" width="16.7109375" customWidth="1"/>
    <col min="13" max="13" width="19.85546875" customWidth="1"/>
    <col min="14" max="14" width="16.7109375" customWidth="1"/>
  </cols>
  <sheetData>
    <row r="1" spans="1:14" ht="35.25" customHeight="1">
      <c r="A1" s="811" t="s">
        <v>551</v>
      </c>
      <c r="B1" s="814" t="s">
        <v>927</v>
      </c>
      <c r="C1" s="814" t="s">
        <v>926</v>
      </c>
      <c r="D1" s="653" t="s">
        <v>925</v>
      </c>
      <c r="E1" s="655" t="s">
        <v>924</v>
      </c>
      <c r="F1" s="653" t="s">
        <v>923</v>
      </c>
      <c r="G1" s="653" t="s">
        <v>922</v>
      </c>
      <c r="H1" s="653" t="s">
        <v>921</v>
      </c>
      <c r="I1" s="655" t="s">
        <v>920</v>
      </c>
      <c r="J1" s="652" t="s">
        <v>919</v>
      </c>
      <c r="K1" s="653" t="s">
        <v>918</v>
      </c>
      <c r="L1" s="653" t="s">
        <v>917</v>
      </c>
      <c r="M1" s="655" t="s">
        <v>916</v>
      </c>
      <c r="N1" s="655" t="s">
        <v>915</v>
      </c>
    </row>
    <row r="2" spans="1:14" ht="81.75" customHeight="1">
      <c r="A2" s="810" t="s">
        <v>562</v>
      </c>
      <c r="B2" s="659"/>
      <c r="C2" s="659"/>
      <c r="D2" s="660"/>
      <c r="E2" s="659"/>
      <c r="F2" s="660"/>
      <c r="G2" s="659"/>
      <c r="H2" s="659"/>
      <c r="I2" s="660"/>
      <c r="J2" s="658"/>
      <c r="K2" s="660"/>
      <c r="L2" s="660"/>
      <c r="M2" s="732"/>
      <c r="N2" s="660"/>
    </row>
    <row r="3" spans="1:14" ht="15.75" customHeight="1">
      <c r="A3" s="728" t="s">
        <v>563</v>
      </c>
      <c r="B3" s="662">
        <v>330</v>
      </c>
      <c r="C3" s="662">
        <v>541</v>
      </c>
      <c r="D3" s="662">
        <v>226.79599999999999</v>
      </c>
      <c r="E3" s="664">
        <v>303.45299999999997</v>
      </c>
      <c r="F3" s="662">
        <v>303.45299999999997</v>
      </c>
      <c r="G3" s="662">
        <v>370</v>
      </c>
      <c r="H3" s="662">
        <v>1323</v>
      </c>
      <c r="I3" s="662">
        <v>520</v>
      </c>
      <c r="J3" s="661">
        <v>41</v>
      </c>
      <c r="K3" s="662">
        <v>404</v>
      </c>
      <c r="L3" s="662">
        <v>1060</v>
      </c>
      <c r="M3" s="664">
        <v>34</v>
      </c>
      <c r="N3" s="664">
        <v>37.5</v>
      </c>
    </row>
    <row r="4" spans="1:14" ht="15.75" customHeight="1">
      <c r="A4" s="728" t="s">
        <v>564</v>
      </c>
      <c r="B4" s="662">
        <v>305</v>
      </c>
      <c r="C4" s="662">
        <v>516</v>
      </c>
      <c r="D4" s="662">
        <v>214.511</v>
      </c>
      <c r="E4" s="664">
        <v>291.16800000000001</v>
      </c>
      <c r="F4" s="662">
        <v>291.16800000000001</v>
      </c>
      <c r="G4" s="662">
        <v>290</v>
      </c>
      <c r="H4" s="662">
        <v>1188</v>
      </c>
      <c r="I4" s="662">
        <v>470</v>
      </c>
      <c r="J4" s="661">
        <v>36</v>
      </c>
      <c r="K4" s="662">
        <v>384.5</v>
      </c>
      <c r="L4" s="662">
        <v>1021</v>
      </c>
      <c r="M4" s="664">
        <v>31.25</v>
      </c>
      <c r="N4" s="664">
        <v>34.5</v>
      </c>
    </row>
    <row r="5" spans="1:14" ht="15.75" customHeight="1">
      <c r="A5" s="728" t="s">
        <v>565</v>
      </c>
      <c r="B5" s="662" t="s">
        <v>293</v>
      </c>
      <c r="C5" s="662" t="s">
        <v>293</v>
      </c>
      <c r="D5" s="662">
        <v>197.3125</v>
      </c>
      <c r="E5" s="664">
        <v>273.97000000000003</v>
      </c>
      <c r="F5" s="662">
        <v>273.97000000000003</v>
      </c>
      <c r="G5" s="670" t="s">
        <v>293</v>
      </c>
      <c r="H5" s="662">
        <v>1140</v>
      </c>
      <c r="I5" s="662">
        <v>350</v>
      </c>
      <c r="J5" s="704">
        <v>34.5</v>
      </c>
      <c r="K5" s="662" t="s">
        <v>293</v>
      </c>
      <c r="L5" s="662" t="s">
        <v>293</v>
      </c>
      <c r="M5" s="664">
        <v>28.25</v>
      </c>
      <c r="N5" s="664">
        <v>30.8</v>
      </c>
    </row>
    <row r="6" spans="1:14" ht="15.75" customHeight="1">
      <c r="A6" s="728" t="s">
        <v>566</v>
      </c>
      <c r="B6" s="662">
        <v>273</v>
      </c>
      <c r="C6" s="662">
        <v>356</v>
      </c>
      <c r="D6" s="662">
        <v>304.8</v>
      </c>
      <c r="E6" s="664">
        <v>304.8</v>
      </c>
      <c r="F6" s="662">
        <v>304.8</v>
      </c>
      <c r="G6" s="662">
        <v>280</v>
      </c>
      <c r="H6" s="662">
        <v>457.2</v>
      </c>
      <c r="I6" s="662">
        <v>310</v>
      </c>
      <c r="J6" s="661">
        <v>159</v>
      </c>
      <c r="K6" s="662">
        <v>360</v>
      </c>
      <c r="L6" s="662">
        <v>457</v>
      </c>
      <c r="M6" s="664">
        <v>170</v>
      </c>
      <c r="N6" s="664">
        <v>160</v>
      </c>
    </row>
    <row r="7" spans="1:14" ht="15.75" customHeight="1">
      <c r="A7" s="728" t="s">
        <v>567</v>
      </c>
      <c r="B7" s="662">
        <v>3.11</v>
      </c>
      <c r="C7" s="662">
        <v>3.65</v>
      </c>
      <c r="D7" s="664">
        <v>2.4815800000000001</v>
      </c>
      <c r="E7" s="664">
        <v>2.4815800000000001</v>
      </c>
      <c r="F7" s="664">
        <v>2.4815800000000001</v>
      </c>
      <c r="G7" s="662">
        <v>3.2</v>
      </c>
      <c r="H7" s="662">
        <v>3.9243000000000001</v>
      </c>
      <c r="I7" s="662">
        <v>4.2</v>
      </c>
      <c r="J7" s="661">
        <v>1.6</v>
      </c>
      <c r="K7" s="662">
        <v>3.38</v>
      </c>
      <c r="L7" s="662">
        <v>4.6230000000000002</v>
      </c>
      <c r="M7" s="664">
        <v>1.65</v>
      </c>
      <c r="N7" s="664">
        <v>1.8</v>
      </c>
    </row>
    <row r="8" spans="1:14" ht="20.25" customHeight="1">
      <c r="A8" s="809" t="s">
        <v>568</v>
      </c>
      <c r="B8" s="673"/>
      <c r="C8" s="673"/>
      <c r="D8" s="673"/>
      <c r="E8" s="673"/>
      <c r="F8" s="673"/>
      <c r="G8" s="673"/>
      <c r="H8" s="673"/>
      <c r="I8" s="673"/>
      <c r="J8" s="672"/>
      <c r="K8" s="673"/>
      <c r="L8" s="673"/>
      <c r="M8" s="673"/>
      <c r="N8" s="673"/>
    </row>
    <row r="9" spans="1:14" ht="15.75" customHeight="1">
      <c r="A9" s="728" t="s">
        <v>569</v>
      </c>
      <c r="B9" s="688">
        <v>1670</v>
      </c>
      <c r="C9" s="688">
        <v>1670</v>
      </c>
      <c r="D9" s="808">
        <v>44497.4</v>
      </c>
      <c r="E9" s="808">
        <v>44497.4</v>
      </c>
      <c r="F9" s="808">
        <v>44497.4</v>
      </c>
      <c r="G9" s="808">
        <v>1400</v>
      </c>
      <c r="H9" s="808">
        <v>6300.5</v>
      </c>
      <c r="I9" s="688">
        <v>57500</v>
      </c>
      <c r="J9" s="754">
        <v>3830</v>
      </c>
      <c r="K9" s="786">
        <v>1600</v>
      </c>
      <c r="L9" s="786">
        <v>3200</v>
      </c>
      <c r="M9" s="786">
        <v>3500</v>
      </c>
      <c r="N9" s="786">
        <v>2550</v>
      </c>
    </row>
    <row r="10" spans="1:14" ht="16.5" customHeight="1">
      <c r="A10" s="728" t="s">
        <v>570</v>
      </c>
      <c r="B10" s="662">
        <v>30</v>
      </c>
      <c r="C10" s="662">
        <v>30</v>
      </c>
      <c r="D10" s="664">
        <v>0.5</v>
      </c>
      <c r="E10" s="664">
        <v>0.5</v>
      </c>
      <c r="F10" s="664">
        <v>0.5</v>
      </c>
      <c r="G10" s="664">
        <v>120</v>
      </c>
      <c r="H10" s="664">
        <v>45</v>
      </c>
      <c r="I10" s="662">
        <v>2</v>
      </c>
      <c r="J10" s="661">
        <v>3</v>
      </c>
      <c r="K10" s="664">
        <v>25</v>
      </c>
      <c r="L10" s="664">
        <v>25</v>
      </c>
      <c r="M10" s="664">
        <v>0.5</v>
      </c>
      <c r="N10" s="664">
        <v>2.5</v>
      </c>
    </row>
    <row r="11" spans="1:14" ht="15.75" customHeight="1">
      <c r="A11" s="728" t="str">
        <f>"Raw acceleration at ignition: [m/s"&amp;CHAR(178)&amp;"]"</f>
        <v>Raw acceleration at ignition: [m/s²]</v>
      </c>
      <c r="B11" s="676">
        <f t="shared" ref="B11:N11" si="0">B9/B3</f>
        <v>5.0606060606060606</v>
      </c>
      <c r="C11" s="676">
        <f t="shared" si="0"/>
        <v>3.0868761552680222</v>
      </c>
      <c r="D11" s="679">
        <f t="shared" si="0"/>
        <v>196.20010934937125</v>
      </c>
      <c r="E11" s="679">
        <f t="shared" si="0"/>
        <v>146.63687622135885</v>
      </c>
      <c r="F11" s="679">
        <f t="shared" si="0"/>
        <v>146.63687622135885</v>
      </c>
      <c r="G11" s="679">
        <f t="shared" si="0"/>
        <v>3.7837837837837838</v>
      </c>
      <c r="H11" s="679">
        <f t="shared" si="0"/>
        <v>4.7622826908541196</v>
      </c>
      <c r="I11" s="676">
        <f t="shared" si="0"/>
        <v>110.57692307692308</v>
      </c>
      <c r="J11" s="675">
        <f t="shared" si="0"/>
        <v>93.41463414634147</v>
      </c>
      <c r="K11" s="679">
        <f t="shared" si="0"/>
        <v>3.9603960396039604</v>
      </c>
      <c r="L11" s="679">
        <f t="shared" si="0"/>
        <v>3.0188679245283021</v>
      </c>
      <c r="M11" s="679">
        <f t="shared" si="0"/>
        <v>102.94117647058823</v>
      </c>
      <c r="N11" s="679">
        <f t="shared" si="0"/>
        <v>68</v>
      </c>
    </row>
    <row r="12" spans="1:14" ht="15.75" customHeight="1">
      <c r="A12" s="661" t="s">
        <v>571</v>
      </c>
      <c r="B12" s="676">
        <f t="shared" ref="B12:N12" si="1">B10*B9/(9.81*(B3-B4))</f>
        <v>204.28134556574923</v>
      </c>
      <c r="C12" s="676">
        <f t="shared" si="1"/>
        <v>204.28134556574923</v>
      </c>
      <c r="D12" s="678">
        <f t="shared" si="1"/>
        <v>184.61223150315917</v>
      </c>
      <c r="E12" s="679">
        <f t="shared" si="1"/>
        <v>184.61223150315962</v>
      </c>
      <c r="F12" s="678">
        <f t="shared" si="1"/>
        <v>184.61223150315962</v>
      </c>
      <c r="G12" s="678">
        <f t="shared" si="1"/>
        <v>214.06727828746176</v>
      </c>
      <c r="H12" s="678">
        <f t="shared" si="1"/>
        <v>214.08426775399249</v>
      </c>
      <c r="I12" s="679">
        <f t="shared" si="1"/>
        <v>234.4546381243629</v>
      </c>
      <c r="J12" s="678">
        <f t="shared" si="1"/>
        <v>234.25076452599387</v>
      </c>
      <c r="K12" s="678">
        <f t="shared" si="1"/>
        <v>209.10112653231917</v>
      </c>
      <c r="L12" s="678">
        <f t="shared" si="1"/>
        <v>209.10112653231917</v>
      </c>
      <c r="M12" s="679">
        <f t="shared" si="1"/>
        <v>64.868872208321747</v>
      </c>
      <c r="N12" s="679">
        <f t="shared" si="1"/>
        <v>216.61569826707441</v>
      </c>
    </row>
    <row r="13" spans="1:14" ht="15.75" customHeight="1">
      <c r="A13" s="661" t="s">
        <v>572</v>
      </c>
      <c r="B13" s="676">
        <f t="shared" ref="B13:N13" si="2">B12*9.81*LN(B3/B4)</f>
        <v>157.87687921764123</v>
      </c>
      <c r="C13" s="676">
        <f t="shared" si="2"/>
        <v>94.814276783297416</v>
      </c>
      <c r="D13" s="678">
        <f t="shared" si="2"/>
        <v>100.85699894921035</v>
      </c>
      <c r="E13" s="679">
        <f t="shared" si="2"/>
        <v>74.843863201758595</v>
      </c>
      <c r="F13" s="678">
        <f t="shared" si="2"/>
        <v>74.843863201758595</v>
      </c>
      <c r="G13" s="678">
        <f t="shared" si="2"/>
        <v>511.60637358127605</v>
      </c>
      <c r="H13" s="678">
        <f t="shared" si="2"/>
        <v>226.0423332479993</v>
      </c>
      <c r="I13" s="678">
        <f t="shared" si="2"/>
        <v>232.52106880414826</v>
      </c>
      <c r="J13" s="678">
        <f t="shared" si="2"/>
        <v>298.86208871435844</v>
      </c>
      <c r="K13" s="678">
        <f t="shared" si="2"/>
        <v>101.47915695477195</v>
      </c>
      <c r="L13" s="678">
        <f t="shared" si="2"/>
        <v>76.895115777327689</v>
      </c>
      <c r="M13" s="679">
        <f t="shared" si="2"/>
        <v>53.671639912386972</v>
      </c>
      <c r="N13" s="678">
        <f t="shared" si="2"/>
        <v>177.18591899548338</v>
      </c>
    </row>
    <row r="14" spans="1:14" ht="15.75" customHeight="1">
      <c r="A14" s="728" t="s">
        <v>573</v>
      </c>
      <c r="B14" s="688">
        <v>2</v>
      </c>
      <c r="C14" s="688">
        <v>2</v>
      </c>
      <c r="D14" s="670" t="s">
        <v>293</v>
      </c>
      <c r="E14" s="670" t="s">
        <v>293</v>
      </c>
      <c r="F14" s="670" t="s">
        <v>293</v>
      </c>
      <c r="G14" s="751">
        <v>1</v>
      </c>
      <c r="H14" s="751">
        <v>6</v>
      </c>
      <c r="I14" s="807">
        <v>0.5</v>
      </c>
      <c r="J14" s="670" t="s">
        <v>293</v>
      </c>
      <c r="K14" s="807">
        <v>2.5</v>
      </c>
      <c r="L14" s="807">
        <v>2.5</v>
      </c>
      <c r="M14" s="718" t="s">
        <v>293</v>
      </c>
      <c r="N14" s="718" t="s">
        <v>293</v>
      </c>
    </row>
    <row r="15" spans="1:14" ht="16.5" customHeight="1">
      <c r="A15" s="776" t="s">
        <v>574</v>
      </c>
      <c r="B15" s="718" t="s">
        <v>293</v>
      </c>
      <c r="C15" s="718" t="s">
        <v>293</v>
      </c>
      <c r="D15" s="679">
        <v>8899.49</v>
      </c>
      <c r="E15" s="679">
        <v>8899.49</v>
      </c>
      <c r="F15" s="679">
        <v>8899.49</v>
      </c>
      <c r="G15" s="670" t="s">
        <v>293</v>
      </c>
      <c r="H15" s="670" t="s">
        <v>293</v>
      </c>
      <c r="I15" s="688">
        <v>25875</v>
      </c>
      <c r="J15" s="737">
        <v>560</v>
      </c>
      <c r="K15" s="718" t="s">
        <v>293</v>
      </c>
      <c r="L15" s="718" t="s">
        <v>293</v>
      </c>
      <c r="M15" s="786">
        <v>210</v>
      </c>
      <c r="N15" s="664">
        <v>200</v>
      </c>
    </row>
    <row r="16" spans="1:14" ht="18" customHeight="1">
      <c r="A16" s="776" t="s">
        <v>575</v>
      </c>
      <c r="B16" s="718" t="s">
        <v>293</v>
      </c>
      <c r="C16" s="718" t="s">
        <v>293</v>
      </c>
      <c r="D16" s="664">
        <v>3.5</v>
      </c>
      <c r="E16" s="664">
        <v>3.5</v>
      </c>
      <c r="F16" s="664">
        <v>3.5</v>
      </c>
      <c r="G16" s="670" t="s">
        <v>293</v>
      </c>
      <c r="H16" s="670" t="s">
        <v>293</v>
      </c>
      <c r="I16" s="662">
        <v>8</v>
      </c>
      <c r="J16" s="737">
        <v>6</v>
      </c>
      <c r="K16" s="718" t="s">
        <v>293</v>
      </c>
      <c r="L16" s="718" t="s">
        <v>293</v>
      </c>
      <c r="M16" s="786">
        <v>30</v>
      </c>
      <c r="N16" s="664">
        <v>40</v>
      </c>
    </row>
    <row r="17" spans="1:14" ht="18" customHeight="1">
      <c r="A17" s="728" t="s">
        <v>576</v>
      </c>
      <c r="B17" s="718" t="s">
        <v>293</v>
      </c>
      <c r="C17" s="718" t="s">
        <v>293</v>
      </c>
      <c r="D17" s="777">
        <f>D16*D15/(9.81*(D4-D5))</f>
        <v>184.61780605348176</v>
      </c>
      <c r="E17" s="806">
        <f>E16*E15/(9.81*(E4-E5))</f>
        <v>184.62317347428825</v>
      </c>
      <c r="F17" s="777">
        <f>F16*F15/(9.81*(F4-F5))</f>
        <v>184.62317347428825</v>
      </c>
      <c r="G17" s="670" t="s">
        <v>293</v>
      </c>
      <c r="H17" s="670" t="s">
        <v>293</v>
      </c>
      <c r="I17" s="777">
        <f>I16*I15/(9.81*(I4-I5))</f>
        <v>175.84097859327215</v>
      </c>
      <c r="J17" s="777">
        <f>J16*J15/(9.81*(J4-J5))</f>
        <v>228.33843017329255</v>
      </c>
      <c r="K17" s="718" t="s">
        <v>293</v>
      </c>
      <c r="L17" s="718" t="s">
        <v>293</v>
      </c>
      <c r="M17" s="806">
        <f>M16*M15/(9.81*(M4-M5))</f>
        <v>214.06727828746179</v>
      </c>
      <c r="N17" s="777">
        <f>N16*N15/(9.81*(N4-N5))</f>
        <v>220.40389012866078</v>
      </c>
    </row>
    <row r="18" spans="1:14" ht="18" customHeight="1">
      <c r="A18" s="728" t="s">
        <v>577</v>
      </c>
      <c r="B18" s="718" t="s">
        <v>293</v>
      </c>
      <c r="C18" s="718" t="s">
        <v>293</v>
      </c>
      <c r="D18" s="777">
        <f>D17*9.81*LN(D4/D5)</f>
        <v>151.35776363176421</v>
      </c>
      <c r="E18" s="806">
        <f>E17*9.81*LN(E4/E5)</f>
        <v>110.26629091043814</v>
      </c>
      <c r="F18" s="777">
        <f>F17*9.81*LN(F4/F5)</f>
        <v>110.26629091043814</v>
      </c>
      <c r="G18" s="670" t="s">
        <v>293</v>
      </c>
      <c r="H18" s="670" t="s">
        <v>293</v>
      </c>
      <c r="I18" s="777">
        <f>I17*9.81*LN(I4/I5)</f>
        <v>508.52920688061226</v>
      </c>
      <c r="J18" s="777">
        <f>J17*9.81*LN(J4/J5)</f>
        <v>95.333536298102828</v>
      </c>
      <c r="K18" s="718" t="s">
        <v>293</v>
      </c>
      <c r="L18" s="718" t="s">
        <v>293</v>
      </c>
      <c r="M18" s="806">
        <f>M17*9.81*LN(M4/M5)</f>
        <v>211.94442903891709</v>
      </c>
      <c r="N18" s="777">
        <f>N17*9.81*LN(N4/N5)</f>
        <v>245.28569526007627</v>
      </c>
    </row>
    <row r="19" spans="1:14" ht="18" customHeight="1">
      <c r="A19" s="728" t="s">
        <v>578</v>
      </c>
      <c r="B19" s="676">
        <f t="shared" ref="B19:N19" si="3">IF(ISNUMBER(B18),B13+B18,B13)</f>
        <v>157.87687921764123</v>
      </c>
      <c r="C19" s="676">
        <f t="shared" si="3"/>
        <v>94.814276783297416</v>
      </c>
      <c r="D19" s="692">
        <f t="shared" si="3"/>
        <v>252.21476258097456</v>
      </c>
      <c r="E19" s="679">
        <f t="shared" si="3"/>
        <v>185.11015411219674</v>
      </c>
      <c r="F19" s="692">
        <f t="shared" si="3"/>
        <v>185.11015411219674</v>
      </c>
      <c r="G19" s="692">
        <f t="shared" si="3"/>
        <v>511.60637358127605</v>
      </c>
      <c r="H19" s="692">
        <f t="shared" si="3"/>
        <v>226.0423332479993</v>
      </c>
      <c r="I19" s="692">
        <f t="shared" si="3"/>
        <v>741.05027568476055</v>
      </c>
      <c r="J19" s="692">
        <f t="shared" si="3"/>
        <v>394.19562501246128</v>
      </c>
      <c r="K19" s="692">
        <f t="shared" si="3"/>
        <v>101.47915695477195</v>
      </c>
      <c r="L19" s="692">
        <f t="shared" si="3"/>
        <v>76.895115777327689</v>
      </c>
      <c r="M19" s="679">
        <f t="shared" si="3"/>
        <v>265.61606895130404</v>
      </c>
      <c r="N19" s="692">
        <f t="shared" si="3"/>
        <v>422.47161425555964</v>
      </c>
    </row>
    <row r="20" spans="1:14" ht="20.25" customHeight="1">
      <c r="A20" s="805" t="s">
        <v>579</v>
      </c>
      <c r="B20" s="697"/>
      <c r="C20" s="697"/>
      <c r="D20" s="697"/>
      <c r="E20" s="697"/>
      <c r="F20" s="697"/>
      <c r="G20" s="697"/>
      <c r="H20" s="697"/>
      <c r="I20" s="697"/>
      <c r="J20" s="696"/>
      <c r="K20" s="697"/>
      <c r="L20" s="697"/>
      <c r="M20" s="697"/>
      <c r="N20" s="697"/>
    </row>
    <row r="21" spans="1:14" ht="15.75" customHeight="1">
      <c r="A21" s="728" t="s">
        <v>580</v>
      </c>
      <c r="B21" s="662">
        <f>87.1*1.35</f>
        <v>117.58499999999999</v>
      </c>
      <c r="C21" s="662">
        <f>201.8*1.35</f>
        <v>272.43</v>
      </c>
      <c r="D21" s="664">
        <f>1.31*39.08</f>
        <v>51.194800000000001</v>
      </c>
      <c r="E21" s="664">
        <f>1.28*39</f>
        <v>49.92</v>
      </c>
      <c r="F21" s="664">
        <f>1.28*39</f>
        <v>49.92</v>
      </c>
      <c r="G21" s="662">
        <f>1.35*43</f>
        <v>58.050000000000004</v>
      </c>
      <c r="H21" s="662">
        <f>428.6*1.35</f>
        <v>578.61</v>
      </c>
      <c r="I21" s="664">
        <f>1.6*95</f>
        <v>152</v>
      </c>
      <c r="J21" s="661">
        <f>1.2*3.08</f>
        <v>3.6959999999999997</v>
      </c>
      <c r="K21" s="664">
        <f>87.1*1.35</f>
        <v>117.58499999999999</v>
      </c>
      <c r="L21" s="664">
        <f>428.6*1.18</f>
        <v>505.74799999999999</v>
      </c>
      <c r="M21" s="664">
        <f>1.41*2.35</f>
        <v>3.3134999999999999</v>
      </c>
      <c r="N21" s="664">
        <f>1.31*5.25</f>
        <v>6.8775000000000004</v>
      </c>
    </row>
    <row r="22" spans="1:14" ht="15.75" customHeight="1">
      <c r="A22" s="775" t="s">
        <v>764</v>
      </c>
      <c r="B22" s="668" t="s">
        <v>876</v>
      </c>
      <c r="C22" s="668" t="s">
        <v>876</v>
      </c>
      <c r="D22" s="667" t="s">
        <v>894</v>
      </c>
      <c r="E22" s="670" t="s">
        <v>763</v>
      </c>
      <c r="F22" s="667" t="s">
        <v>763</v>
      </c>
      <c r="G22" s="668" t="s">
        <v>763</v>
      </c>
      <c r="H22" s="668" t="s">
        <v>876</v>
      </c>
      <c r="I22" s="670" t="s">
        <v>876</v>
      </c>
      <c r="J22" s="667" t="s">
        <v>914</v>
      </c>
      <c r="K22" s="667" t="s">
        <v>876</v>
      </c>
      <c r="L22" s="667" t="s">
        <v>876</v>
      </c>
      <c r="M22" s="670" t="s">
        <v>914</v>
      </c>
      <c r="N22" s="670" t="s">
        <v>914</v>
      </c>
    </row>
    <row r="23" spans="1:14" ht="15.75" customHeight="1">
      <c r="A23" s="776" t="s">
        <v>762</v>
      </c>
      <c r="B23" s="662">
        <v>81.637749999999997</v>
      </c>
      <c r="C23" s="662">
        <v>93.855666600000006</v>
      </c>
      <c r="D23" s="664">
        <v>830</v>
      </c>
      <c r="E23" s="664">
        <v>122</v>
      </c>
      <c r="F23" s="664">
        <v>122</v>
      </c>
      <c r="G23" s="662">
        <v>90</v>
      </c>
      <c r="H23" s="662">
        <v>117.28879999999999</v>
      </c>
      <c r="I23" s="664">
        <v>84.488799999999998</v>
      </c>
      <c r="J23" s="704">
        <v>1000</v>
      </c>
      <c r="K23" s="664">
        <v>81.637749999999997</v>
      </c>
      <c r="L23" s="664">
        <v>111.45984</v>
      </c>
      <c r="M23" s="664">
        <v>1000</v>
      </c>
      <c r="N23" s="664">
        <v>1100</v>
      </c>
    </row>
    <row r="24" spans="1:14" ht="15.75" customHeight="1">
      <c r="A24" s="661" t="s">
        <v>761</v>
      </c>
      <c r="B24" s="60">
        <v>0.1</v>
      </c>
      <c r="C24" s="60">
        <v>0.1</v>
      </c>
      <c r="D24" s="664">
        <v>1.0000000000000001E-5</v>
      </c>
      <c r="E24" s="664">
        <v>0.1</v>
      </c>
      <c r="F24" s="664">
        <v>0.1</v>
      </c>
      <c r="G24" s="60">
        <v>0.1</v>
      </c>
      <c r="H24" s="60">
        <v>0.1</v>
      </c>
      <c r="I24" s="664">
        <v>0.1</v>
      </c>
      <c r="J24" s="704">
        <v>0.01</v>
      </c>
      <c r="K24" s="60">
        <v>0.1</v>
      </c>
      <c r="L24" s="60">
        <v>0.1</v>
      </c>
      <c r="M24" s="664">
        <v>0.01</v>
      </c>
      <c r="N24" s="664">
        <v>0.01</v>
      </c>
    </row>
    <row r="25" spans="1:14" ht="15.75" customHeight="1">
      <c r="A25" s="661" t="s">
        <v>760</v>
      </c>
      <c r="B25" s="60">
        <v>0.1</v>
      </c>
      <c r="C25" s="60">
        <v>0.1</v>
      </c>
      <c r="D25" s="670" t="s">
        <v>293</v>
      </c>
      <c r="E25" s="664">
        <v>1</v>
      </c>
      <c r="F25" s="664">
        <v>1</v>
      </c>
      <c r="G25" s="60">
        <v>4</v>
      </c>
      <c r="H25" s="60">
        <v>0.1</v>
      </c>
      <c r="I25" s="664">
        <v>0.1</v>
      </c>
      <c r="J25" s="704">
        <v>0.4</v>
      </c>
      <c r="K25" s="60">
        <v>0.1</v>
      </c>
      <c r="L25" s="60">
        <v>0.1</v>
      </c>
      <c r="M25" s="664">
        <v>0.4</v>
      </c>
      <c r="N25" s="664">
        <v>0.4</v>
      </c>
    </row>
    <row r="26" spans="1:14" ht="20.25" customHeight="1">
      <c r="A26" s="804" t="s">
        <v>585</v>
      </c>
      <c r="B26" s="702"/>
      <c r="C26" s="702"/>
      <c r="D26" s="702"/>
      <c r="E26" s="702"/>
      <c r="F26" s="702"/>
      <c r="G26" s="702"/>
      <c r="H26" s="702"/>
      <c r="I26" s="702"/>
      <c r="J26" s="755"/>
      <c r="K26" s="755"/>
      <c r="L26" s="755"/>
      <c r="M26" s="702"/>
      <c r="N26" s="702"/>
    </row>
    <row r="27" spans="1:14" ht="15.75" customHeight="1">
      <c r="A27" s="728" t="s">
        <v>893</v>
      </c>
      <c r="B27" s="662" t="s">
        <v>913</v>
      </c>
      <c r="C27" s="662" t="s">
        <v>913</v>
      </c>
      <c r="D27" s="662" t="s">
        <v>912</v>
      </c>
      <c r="E27" s="664" t="s">
        <v>912</v>
      </c>
      <c r="F27" s="662" t="s">
        <v>912</v>
      </c>
      <c r="G27" s="670" t="s">
        <v>293</v>
      </c>
      <c r="H27" s="662" t="s">
        <v>912</v>
      </c>
      <c r="I27" s="664" t="s">
        <v>892</v>
      </c>
      <c r="J27" s="667" t="s">
        <v>293</v>
      </c>
      <c r="K27" s="662" t="s">
        <v>911</v>
      </c>
      <c r="L27" s="662" t="s">
        <v>911</v>
      </c>
      <c r="M27" s="670" t="s">
        <v>293</v>
      </c>
      <c r="N27" s="667" t="s">
        <v>293</v>
      </c>
    </row>
    <row r="28" spans="1:14" ht="15.75" customHeight="1">
      <c r="A28" s="728" t="s">
        <v>586</v>
      </c>
      <c r="B28" s="668" t="s">
        <v>910</v>
      </c>
      <c r="C28" s="668" t="s">
        <v>910</v>
      </c>
      <c r="D28" s="668" t="s">
        <v>323</v>
      </c>
      <c r="E28" s="670" t="s">
        <v>323</v>
      </c>
      <c r="F28" s="668" t="s">
        <v>323</v>
      </c>
      <c r="G28" s="668" t="s">
        <v>910</v>
      </c>
      <c r="H28" s="668" t="s">
        <v>323</v>
      </c>
      <c r="I28" s="670" t="s">
        <v>910</v>
      </c>
      <c r="J28" s="667" t="s">
        <v>323</v>
      </c>
      <c r="K28" s="667" t="s">
        <v>910</v>
      </c>
      <c r="L28" s="667" t="s">
        <v>910</v>
      </c>
      <c r="M28" s="670" t="s">
        <v>323</v>
      </c>
      <c r="N28" s="670" t="s">
        <v>323</v>
      </c>
    </row>
    <row r="29" spans="1:14" ht="15.75" customHeight="1">
      <c r="A29" s="728" t="s">
        <v>587</v>
      </c>
      <c r="B29" s="662">
        <v>1</v>
      </c>
      <c r="C29" s="662">
        <v>1</v>
      </c>
      <c r="D29" s="662">
        <v>0.5</v>
      </c>
      <c r="E29" s="664">
        <v>0.5</v>
      </c>
      <c r="F29" s="662">
        <v>0.5</v>
      </c>
      <c r="G29" s="662">
        <v>0.1</v>
      </c>
      <c r="H29" s="662">
        <v>1.5</v>
      </c>
      <c r="I29" s="664">
        <v>0.8</v>
      </c>
      <c r="J29" s="704">
        <v>0.5</v>
      </c>
      <c r="K29" s="662">
        <v>0.75</v>
      </c>
      <c r="L29" s="662">
        <v>0.75</v>
      </c>
      <c r="M29" s="664">
        <v>0.2</v>
      </c>
      <c r="N29" s="667" t="s">
        <v>293</v>
      </c>
    </row>
    <row r="30" spans="1:14" ht="15.75" customHeight="1">
      <c r="A30" s="728" t="s">
        <v>588</v>
      </c>
      <c r="B30" s="662">
        <v>250</v>
      </c>
      <c r="C30" s="662">
        <v>250</v>
      </c>
      <c r="D30" s="662">
        <v>105</v>
      </c>
      <c r="E30" s="664">
        <v>105</v>
      </c>
      <c r="F30" s="662">
        <v>105</v>
      </c>
      <c r="G30" s="662">
        <v>200</v>
      </c>
      <c r="H30" s="662">
        <v>300</v>
      </c>
      <c r="I30" s="664">
        <v>90</v>
      </c>
      <c r="J30" s="704">
        <v>35</v>
      </c>
      <c r="K30" s="662">
        <v>200</v>
      </c>
      <c r="L30" s="662">
        <v>200</v>
      </c>
      <c r="M30" s="664">
        <v>60</v>
      </c>
      <c r="N30" s="664">
        <v>50</v>
      </c>
    </row>
    <row r="31" spans="1:14" ht="15.75" customHeight="1">
      <c r="A31" s="728" t="s">
        <v>872</v>
      </c>
      <c r="B31" s="670" t="s">
        <v>293</v>
      </c>
      <c r="C31" s="670" t="s">
        <v>293</v>
      </c>
      <c r="D31" s="670" t="s">
        <v>293</v>
      </c>
      <c r="E31" s="670" t="s">
        <v>293</v>
      </c>
      <c r="F31" s="670" t="s">
        <v>293</v>
      </c>
      <c r="G31" s="670" t="s">
        <v>293</v>
      </c>
      <c r="H31" s="670" t="s">
        <v>293</v>
      </c>
      <c r="I31" s="670" t="s">
        <v>293</v>
      </c>
      <c r="J31" s="704">
        <v>7</v>
      </c>
      <c r="K31" s="718" t="s">
        <v>293</v>
      </c>
      <c r="L31" s="718" t="s">
        <v>293</v>
      </c>
      <c r="M31" s="664">
        <v>8</v>
      </c>
      <c r="N31" s="664">
        <v>8</v>
      </c>
    </row>
    <row r="32" spans="1:14" ht="15.75" customHeight="1">
      <c r="A32" s="728" t="s">
        <v>589</v>
      </c>
      <c r="B32" s="662">
        <v>1</v>
      </c>
      <c r="C32" s="662">
        <v>1</v>
      </c>
      <c r="D32" s="662">
        <v>1</v>
      </c>
      <c r="E32" s="664">
        <v>1</v>
      </c>
      <c r="F32" s="662">
        <v>1</v>
      </c>
      <c r="G32" s="662">
        <v>1</v>
      </c>
      <c r="H32" s="662">
        <v>1</v>
      </c>
      <c r="I32" s="664">
        <v>1</v>
      </c>
      <c r="J32" s="704">
        <v>1</v>
      </c>
      <c r="K32" s="662">
        <v>1</v>
      </c>
      <c r="L32" s="662">
        <v>1</v>
      </c>
      <c r="M32" s="664">
        <v>1</v>
      </c>
      <c r="N32" s="664">
        <v>1</v>
      </c>
    </row>
    <row r="33" spans="1:14" ht="15.75" customHeight="1">
      <c r="A33" s="728" t="s">
        <v>590</v>
      </c>
      <c r="B33" s="662">
        <v>3600</v>
      </c>
      <c r="C33" s="662">
        <v>3600</v>
      </c>
      <c r="D33" s="662">
        <v>3600</v>
      </c>
      <c r="E33" s="664">
        <v>3600</v>
      </c>
      <c r="F33" s="662">
        <v>3600</v>
      </c>
      <c r="G33" s="662">
        <v>3600</v>
      </c>
      <c r="H33" s="662">
        <v>3600</v>
      </c>
      <c r="I33" s="664">
        <v>3600</v>
      </c>
      <c r="J33" s="704">
        <v>3600</v>
      </c>
      <c r="K33" s="662">
        <v>3600</v>
      </c>
      <c r="L33" s="662">
        <v>3600</v>
      </c>
      <c r="M33" s="664">
        <v>3600</v>
      </c>
      <c r="N33" s="664">
        <v>3600</v>
      </c>
    </row>
    <row r="34" spans="1:14" ht="15.75" customHeight="1">
      <c r="A34" s="728" t="s">
        <v>591</v>
      </c>
      <c r="B34" s="662">
        <v>0.1</v>
      </c>
      <c r="C34" s="662">
        <v>0.1</v>
      </c>
      <c r="D34" s="662">
        <v>0.1</v>
      </c>
      <c r="E34" s="664">
        <v>0.1</v>
      </c>
      <c r="F34" s="662">
        <v>0.1</v>
      </c>
      <c r="G34" s="662">
        <v>1</v>
      </c>
      <c r="H34" s="662">
        <v>0.1</v>
      </c>
      <c r="I34" s="664">
        <v>0.1</v>
      </c>
      <c r="J34" s="661">
        <v>0.1</v>
      </c>
      <c r="K34" s="662">
        <v>0.1</v>
      </c>
      <c r="L34" s="662">
        <v>0.1</v>
      </c>
      <c r="M34" s="664">
        <v>0.1</v>
      </c>
      <c r="N34" s="664">
        <v>0.25</v>
      </c>
    </row>
    <row r="35" spans="1:14" ht="15.75" customHeight="1">
      <c r="A35" s="728" t="s">
        <v>592</v>
      </c>
      <c r="B35" s="662">
        <v>80</v>
      </c>
      <c r="C35" s="662">
        <v>80</v>
      </c>
      <c r="D35" s="662">
        <v>54</v>
      </c>
      <c r="E35" s="664">
        <v>54</v>
      </c>
      <c r="F35" s="662">
        <v>54</v>
      </c>
      <c r="G35" s="662">
        <v>45</v>
      </c>
      <c r="H35" s="662">
        <v>54</v>
      </c>
      <c r="I35" s="664">
        <v>60</v>
      </c>
      <c r="J35" s="661">
        <v>45</v>
      </c>
      <c r="K35" s="662">
        <v>54</v>
      </c>
      <c r="L35" s="662">
        <v>54</v>
      </c>
      <c r="M35" s="664">
        <v>60</v>
      </c>
      <c r="N35" s="664">
        <v>45</v>
      </c>
    </row>
    <row r="36" spans="1:14" ht="15.75" customHeight="1">
      <c r="A36" s="728" t="s">
        <v>593</v>
      </c>
      <c r="B36" s="662">
        <v>10</v>
      </c>
      <c r="C36" s="662">
        <v>10</v>
      </c>
      <c r="D36" s="662">
        <v>2.5</v>
      </c>
      <c r="E36" s="664">
        <v>2.5</v>
      </c>
      <c r="F36" s="662">
        <v>2.5</v>
      </c>
      <c r="G36" s="662">
        <v>15</v>
      </c>
      <c r="H36" s="662">
        <v>2.5</v>
      </c>
      <c r="I36" s="664">
        <v>7</v>
      </c>
      <c r="J36" s="661">
        <v>6</v>
      </c>
      <c r="K36" s="662">
        <v>2.5</v>
      </c>
      <c r="L36" s="662">
        <v>2.5</v>
      </c>
      <c r="M36" s="664">
        <v>10</v>
      </c>
      <c r="N36" s="664">
        <v>6</v>
      </c>
    </row>
    <row r="37" spans="1:14" ht="17.25" customHeight="1">
      <c r="A37" s="661" t="s">
        <v>594</v>
      </c>
      <c r="B37" s="667" t="s">
        <v>328</v>
      </c>
      <c r="C37" s="667" t="s">
        <v>328</v>
      </c>
      <c r="D37" s="667" t="s">
        <v>328</v>
      </c>
      <c r="E37" s="667" t="s">
        <v>328</v>
      </c>
      <c r="F37" s="667" t="s">
        <v>328</v>
      </c>
      <c r="G37" s="667" t="s">
        <v>328</v>
      </c>
      <c r="H37" s="667" t="s">
        <v>328</v>
      </c>
      <c r="I37" s="667" t="s">
        <v>328</v>
      </c>
      <c r="J37" s="667" t="s">
        <v>328</v>
      </c>
      <c r="K37" s="667" t="s">
        <v>328</v>
      </c>
      <c r="L37" s="667" t="s">
        <v>328</v>
      </c>
      <c r="M37" s="667" t="s">
        <v>328</v>
      </c>
      <c r="N37" s="667" t="s">
        <v>328</v>
      </c>
    </row>
    <row r="38" spans="1:14" ht="17.25" customHeight="1">
      <c r="A38" s="728" t="s">
        <v>595</v>
      </c>
      <c r="B38" s="662">
        <v>40</v>
      </c>
      <c r="C38" s="662">
        <v>40</v>
      </c>
      <c r="D38" s="662">
        <v>30</v>
      </c>
      <c r="E38" s="664">
        <v>30</v>
      </c>
      <c r="F38" s="662">
        <v>30</v>
      </c>
      <c r="G38" s="662">
        <v>40</v>
      </c>
      <c r="H38" s="662">
        <v>30</v>
      </c>
      <c r="I38" s="664">
        <v>55</v>
      </c>
      <c r="J38" s="704">
        <v>45</v>
      </c>
      <c r="K38" s="662">
        <v>40</v>
      </c>
      <c r="L38" s="662">
        <v>40</v>
      </c>
      <c r="M38" s="664">
        <v>30</v>
      </c>
      <c r="N38" s="664">
        <v>45</v>
      </c>
    </row>
    <row r="39" spans="1:14" ht="31.5" customHeight="1">
      <c r="A39" s="776" t="s">
        <v>596</v>
      </c>
      <c r="B39" s="668" t="s">
        <v>293</v>
      </c>
      <c r="C39" s="668" t="s">
        <v>293</v>
      </c>
      <c r="D39" s="662">
        <v>1</v>
      </c>
      <c r="E39" s="664">
        <v>1</v>
      </c>
      <c r="F39" s="662">
        <v>1</v>
      </c>
      <c r="G39" s="670" t="s">
        <v>293</v>
      </c>
      <c r="H39" s="662">
        <v>1</v>
      </c>
      <c r="I39" s="670" t="s">
        <v>293</v>
      </c>
      <c r="J39" s="661">
        <v>1</v>
      </c>
      <c r="K39" s="661">
        <v>1</v>
      </c>
      <c r="L39" s="661">
        <v>1</v>
      </c>
      <c r="M39" s="664">
        <v>1</v>
      </c>
      <c r="N39" s="670" t="s">
        <v>293</v>
      </c>
    </row>
    <row r="40" spans="1:14" ht="15.75" customHeight="1">
      <c r="A40" s="728" t="s">
        <v>886</v>
      </c>
      <c r="B40" s="662">
        <v>40</v>
      </c>
      <c r="C40" s="662">
        <v>40</v>
      </c>
      <c r="D40" s="662">
        <v>24</v>
      </c>
      <c r="E40" s="664">
        <v>24</v>
      </c>
      <c r="F40" s="662">
        <v>24</v>
      </c>
      <c r="G40" s="662">
        <v>50</v>
      </c>
      <c r="H40" s="662">
        <v>40</v>
      </c>
      <c r="I40" s="664">
        <v>40</v>
      </c>
      <c r="J40" s="704">
        <v>10</v>
      </c>
      <c r="K40" s="662">
        <v>40</v>
      </c>
      <c r="L40" s="662">
        <v>40</v>
      </c>
      <c r="M40" s="664">
        <v>10</v>
      </c>
      <c r="N40" s="664">
        <v>10</v>
      </c>
    </row>
    <row r="41" spans="1:14" ht="15.75" customHeight="1">
      <c r="A41" s="728" t="s">
        <v>885</v>
      </c>
      <c r="B41" s="662">
        <v>20</v>
      </c>
      <c r="C41" s="662">
        <v>20</v>
      </c>
      <c r="D41" s="662">
        <v>20</v>
      </c>
      <c r="E41" s="664">
        <v>20</v>
      </c>
      <c r="F41" s="662">
        <v>20</v>
      </c>
      <c r="G41" s="662">
        <v>2.5</v>
      </c>
      <c r="H41" s="662">
        <v>20</v>
      </c>
      <c r="I41" s="664">
        <v>20</v>
      </c>
      <c r="J41" s="704">
        <v>20</v>
      </c>
      <c r="K41" s="662">
        <v>20</v>
      </c>
      <c r="L41" s="662">
        <v>20</v>
      </c>
      <c r="M41" s="664">
        <v>20</v>
      </c>
      <c r="N41" s="664">
        <v>20</v>
      </c>
    </row>
    <row r="42" spans="1:14" ht="15.75" customHeight="1">
      <c r="A42" s="661" t="s">
        <v>601</v>
      </c>
      <c r="B42" s="670" t="s">
        <v>324</v>
      </c>
      <c r="C42" s="670" t="s">
        <v>324</v>
      </c>
      <c r="D42" s="670" t="s">
        <v>328</v>
      </c>
      <c r="E42" s="670" t="s">
        <v>328</v>
      </c>
      <c r="F42" s="670" t="s">
        <v>328</v>
      </c>
      <c r="G42" s="670" t="s">
        <v>328</v>
      </c>
      <c r="H42" s="670" t="s">
        <v>328</v>
      </c>
      <c r="I42" s="670" t="s">
        <v>324</v>
      </c>
      <c r="J42" s="670" t="s">
        <v>328</v>
      </c>
      <c r="K42" s="670" t="s">
        <v>328</v>
      </c>
      <c r="L42" s="670" t="s">
        <v>328</v>
      </c>
      <c r="M42" s="670" t="s">
        <v>328</v>
      </c>
      <c r="N42" s="670" t="s">
        <v>324</v>
      </c>
    </row>
    <row r="43" spans="1:14" ht="15.75" customHeight="1">
      <c r="A43" s="661" t="s">
        <v>602</v>
      </c>
      <c r="B43" s="670" t="s">
        <v>293</v>
      </c>
      <c r="C43" s="670" t="s">
        <v>293</v>
      </c>
      <c r="D43" s="670" t="s">
        <v>354</v>
      </c>
      <c r="E43" s="670" t="s">
        <v>354</v>
      </c>
      <c r="F43" s="670" t="s">
        <v>354</v>
      </c>
      <c r="G43" s="670" t="s">
        <v>354</v>
      </c>
      <c r="H43" s="670" t="s">
        <v>354</v>
      </c>
      <c r="I43" s="670" t="s">
        <v>293</v>
      </c>
      <c r="J43" s="670" t="s">
        <v>354</v>
      </c>
      <c r="K43" s="670" t="s">
        <v>354</v>
      </c>
      <c r="L43" s="670" t="s">
        <v>354</v>
      </c>
      <c r="M43" s="670" t="s">
        <v>354</v>
      </c>
      <c r="N43" s="670" t="s">
        <v>293</v>
      </c>
    </row>
    <row r="44" spans="1:14" ht="15.75" customHeight="1">
      <c r="A44" s="661" t="s">
        <v>603</v>
      </c>
      <c r="B44" s="670" t="s">
        <v>293</v>
      </c>
      <c r="C44" s="670" t="s">
        <v>293</v>
      </c>
      <c r="D44" s="664">
        <v>0.1</v>
      </c>
      <c r="E44" s="664">
        <v>0.1</v>
      </c>
      <c r="F44" s="664">
        <v>0.1</v>
      </c>
      <c r="G44" s="664">
        <v>0.1</v>
      </c>
      <c r="H44" s="664">
        <v>0.1</v>
      </c>
      <c r="I44" s="670" t="s">
        <v>293</v>
      </c>
      <c r="J44" s="664">
        <v>0.1</v>
      </c>
      <c r="K44" s="664">
        <v>0.1</v>
      </c>
      <c r="L44" s="664">
        <v>0.1</v>
      </c>
      <c r="M44" s="664">
        <v>0.1</v>
      </c>
      <c r="N44" s="670" t="s">
        <v>293</v>
      </c>
    </row>
    <row r="45" spans="1:14" ht="15.75" customHeight="1">
      <c r="A45" s="661" t="s">
        <v>606</v>
      </c>
      <c r="B45" s="662">
        <v>250</v>
      </c>
      <c r="C45" s="664">
        <v>250</v>
      </c>
      <c r="D45" s="664">
        <v>120</v>
      </c>
      <c r="E45" s="664">
        <v>120</v>
      </c>
      <c r="F45" s="664">
        <v>120</v>
      </c>
      <c r="G45" s="664">
        <v>200</v>
      </c>
      <c r="H45" s="664">
        <v>120</v>
      </c>
      <c r="I45" s="664">
        <v>120</v>
      </c>
      <c r="J45" s="664">
        <v>120</v>
      </c>
      <c r="K45" s="664">
        <v>120</v>
      </c>
      <c r="L45" s="664">
        <v>120</v>
      </c>
      <c r="M45" s="664">
        <v>120</v>
      </c>
      <c r="N45" s="664">
        <v>120</v>
      </c>
    </row>
    <row r="46" spans="1:14" ht="15.75" customHeight="1">
      <c r="A46" s="661" t="s">
        <v>729</v>
      </c>
      <c r="B46" s="670" t="s">
        <v>293</v>
      </c>
      <c r="C46" s="670" t="s">
        <v>293</v>
      </c>
      <c r="D46" s="670" t="s">
        <v>293</v>
      </c>
      <c r="E46" s="670" t="s">
        <v>293</v>
      </c>
      <c r="F46" s="670" t="s">
        <v>293</v>
      </c>
      <c r="G46" s="670" t="s">
        <v>293</v>
      </c>
      <c r="H46" s="670" t="s">
        <v>293</v>
      </c>
      <c r="I46" s="667" t="s">
        <v>293</v>
      </c>
      <c r="J46" s="670" t="s">
        <v>293</v>
      </c>
      <c r="K46" s="667" t="s">
        <v>293</v>
      </c>
      <c r="L46" s="667" t="s">
        <v>293</v>
      </c>
      <c r="M46" s="670" t="s">
        <v>293</v>
      </c>
      <c r="N46" s="670" t="s">
        <v>293</v>
      </c>
    </row>
    <row r="47" spans="1:14" ht="25.5">
      <c r="A47" s="682" t="s">
        <v>607</v>
      </c>
      <c r="B47" s="662">
        <v>4</v>
      </c>
      <c r="C47" s="664">
        <v>4</v>
      </c>
      <c r="D47" s="664">
        <v>4</v>
      </c>
      <c r="E47" s="664">
        <v>4</v>
      </c>
      <c r="F47" s="664">
        <v>4</v>
      </c>
      <c r="G47" s="664">
        <v>4</v>
      </c>
      <c r="H47" s="664">
        <v>4</v>
      </c>
      <c r="I47" s="664">
        <v>4</v>
      </c>
      <c r="J47" s="664">
        <v>4</v>
      </c>
      <c r="K47" s="664">
        <v>4</v>
      </c>
      <c r="L47" s="664">
        <v>4</v>
      </c>
      <c r="M47" s="664">
        <v>4</v>
      </c>
      <c r="N47" s="670" t="s">
        <v>293</v>
      </c>
    </row>
    <row r="48" spans="1:14" ht="15.75" customHeight="1">
      <c r="A48" s="682" t="s">
        <v>608</v>
      </c>
      <c r="B48" s="662">
        <v>1800</v>
      </c>
      <c r="C48" s="664">
        <v>1800</v>
      </c>
      <c r="D48" s="664">
        <v>1800</v>
      </c>
      <c r="E48" s="664">
        <v>1800</v>
      </c>
      <c r="F48" s="664">
        <v>1800</v>
      </c>
      <c r="G48" s="664">
        <v>1800</v>
      </c>
      <c r="H48" s="664">
        <v>1800</v>
      </c>
      <c r="I48" s="664">
        <v>1800</v>
      </c>
      <c r="J48" s="664">
        <v>1800</v>
      </c>
      <c r="K48" s="664">
        <v>1800</v>
      </c>
      <c r="L48" s="664">
        <v>1800</v>
      </c>
      <c r="M48" s="664">
        <v>1800</v>
      </c>
      <c r="N48" s="664">
        <v>1800</v>
      </c>
    </row>
    <row r="49" spans="1:14" ht="15.75" customHeight="1">
      <c r="A49" s="661" t="s">
        <v>609</v>
      </c>
      <c r="B49" s="60">
        <v>4.1000000000000002E-2</v>
      </c>
      <c r="C49" s="60">
        <v>2.75E-2</v>
      </c>
      <c r="D49" s="664">
        <v>2.2499999999999999E-2</v>
      </c>
      <c r="E49" s="664">
        <v>2.2499999999999999E-2</v>
      </c>
      <c r="F49" s="664">
        <v>2.2499999999999999E-2</v>
      </c>
      <c r="G49" s="662">
        <v>8.3599999999999994E-2</v>
      </c>
      <c r="H49" s="662">
        <v>7.0099999999999996E-2</v>
      </c>
      <c r="I49" s="664">
        <v>1.0500000000000001E-2</v>
      </c>
      <c r="J49" s="664">
        <v>1.66E-2</v>
      </c>
      <c r="K49" s="60">
        <v>1.7500000000000002E-2</v>
      </c>
      <c r="L49" s="60">
        <v>1.7500000000000002E-2</v>
      </c>
      <c r="M49" s="664">
        <v>1.9099999999999999E-2</v>
      </c>
      <c r="N49" s="664">
        <v>2.9600000000000001E-2</v>
      </c>
    </row>
    <row r="50" spans="1:14" ht="15.75" customHeight="1">
      <c r="A50" s="661" t="s">
        <v>611</v>
      </c>
      <c r="B50" s="60">
        <v>0.121</v>
      </c>
      <c r="C50" s="60">
        <v>9.6000000000000002E-2</v>
      </c>
      <c r="D50" s="664">
        <v>0.03</v>
      </c>
      <c r="E50" s="664">
        <v>0.03</v>
      </c>
      <c r="F50" s="664">
        <v>0.03</v>
      </c>
      <c r="G50" s="60">
        <v>6.6500000000000004E-2</v>
      </c>
      <c r="H50" s="60">
        <v>0.09</v>
      </c>
      <c r="I50" s="664">
        <v>4.1000000000000002E-2</v>
      </c>
      <c r="J50" s="664">
        <v>4.6100000000000002E-2</v>
      </c>
      <c r="K50" s="60">
        <v>3.4500000000000003E-2</v>
      </c>
      <c r="L50" s="60">
        <v>3.4500000000000003E-2</v>
      </c>
      <c r="M50" s="664">
        <v>3.3599999999999998E-2</v>
      </c>
      <c r="N50" s="664">
        <v>4.5999999999999999E-3</v>
      </c>
    </row>
    <row r="51" spans="1:14" ht="15.75" customHeight="1">
      <c r="A51" s="661" t="s">
        <v>613</v>
      </c>
      <c r="B51" s="60">
        <v>1</v>
      </c>
      <c r="C51" s="60">
        <v>1</v>
      </c>
      <c r="D51" s="664">
        <v>1</v>
      </c>
      <c r="E51" s="664">
        <v>1</v>
      </c>
      <c r="F51" s="664">
        <v>1</v>
      </c>
      <c r="G51" s="60">
        <v>1</v>
      </c>
      <c r="H51" s="60">
        <v>1</v>
      </c>
      <c r="I51" s="664">
        <v>1</v>
      </c>
      <c r="J51" s="664">
        <v>1</v>
      </c>
      <c r="K51" s="60">
        <v>1</v>
      </c>
      <c r="L51" s="60">
        <v>1</v>
      </c>
      <c r="M51" s="664">
        <v>1</v>
      </c>
      <c r="N51" s="664">
        <v>1</v>
      </c>
    </row>
    <row r="52" spans="1:14" ht="15.75" customHeight="1">
      <c r="A52" s="661" t="s">
        <v>615</v>
      </c>
      <c r="B52" s="662">
        <v>1E-3</v>
      </c>
      <c r="C52" s="664">
        <v>6.9999999999999999E-4</v>
      </c>
      <c r="D52" s="664">
        <v>4.5999999999999999E-3</v>
      </c>
      <c r="E52" s="664">
        <v>4.5999999999999999E-3</v>
      </c>
      <c r="F52" s="664">
        <v>4.5999999999999999E-3</v>
      </c>
      <c r="G52" s="60">
        <v>2.9999999999999997E-4</v>
      </c>
      <c r="H52" s="60">
        <v>5.0000000000000001E-4</v>
      </c>
      <c r="I52" s="664">
        <v>2.9000000000000001E-2</v>
      </c>
      <c r="J52" s="664">
        <v>1.5E-3</v>
      </c>
      <c r="K52" s="664">
        <v>6.4999999999999997E-3</v>
      </c>
      <c r="L52" s="664">
        <v>6.4999999999999997E-3</v>
      </c>
      <c r="M52" s="664">
        <v>1.1999999999999999E-3</v>
      </c>
      <c r="N52" s="664">
        <v>1.6999999999999999E-3</v>
      </c>
    </row>
    <row r="53" spans="1:14" ht="24" customHeight="1">
      <c r="A53" s="803" t="s">
        <v>617</v>
      </c>
      <c r="B53" s="802"/>
      <c r="C53" s="802"/>
      <c r="D53" s="802"/>
      <c r="E53" s="802"/>
      <c r="F53" s="802"/>
      <c r="G53" s="802"/>
      <c r="H53" s="802"/>
      <c r="I53" s="802"/>
      <c r="J53" s="756"/>
      <c r="K53" s="756"/>
      <c r="L53" s="756"/>
      <c r="M53" s="802"/>
      <c r="N53" s="802"/>
    </row>
    <row r="54" spans="1:14" ht="15.75" customHeight="1">
      <c r="A54" s="712" t="s">
        <v>884</v>
      </c>
      <c r="B54" s="668" t="s">
        <v>293</v>
      </c>
      <c r="C54" s="668" t="s">
        <v>293</v>
      </c>
      <c r="D54" s="704" t="s">
        <v>883</v>
      </c>
      <c r="E54" s="704" t="s">
        <v>883</v>
      </c>
      <c r="F54" s="704" t="s">
        <v>883</v>
      </c>
      <c r="G54" s="670" t="s">
        <v>293</v>
      </c>
      <c r="H54" s="670" t="s">
        <v>293</v>
      </c>
      <c r="I54" s="669" t="s">
        <v>293</v>
      </c>
      <c r="J54" s="669" t="s">
        <v>293</v>
      </c>
      <c r="K54" s="669" t="s">
        <v>293</v>
      </c>
      <c r="L54" s="669" t="s">
        <v>293</v>
      </c>
      <c r="M54" s="669" t="s">
        <v>293</v>
      </c>
      <c r="N54" s="669" t="s">
        <v>293</v>
      </c>
    </row>
    <row r="55" spans="1:14" ht="15.75" customHeight="1">
      <c r="A55" s="728" t="s">
        <v>618</v>
      </c>
      <c r="B55" s="704">
        <f t="shared" ref="B55:G55" si="4">90*0.2</f>
        <v>18</v>
      </c>
      <c r="C55" s="704">
        <f t="shared" si="4"/>
        <v>18</v>
      </c>
      <c r="D55" s="704">
        <f t="shared" si="4"/>
        <v>18</v>
      </c>
      <c r="E55" s="664">
        <f t="shared" si="4"/>
        <v>18</v>
      </c>
      <c r="F55" s="664">
        <f t="shared" si="4"/>
        <v>18</v>
      </c>
      <c r="G55" s="664">
        <f t="shared" si="4"/>
        <v>18</v>
      </c>
      <c r="H55" s="662">
        <f>90*0.151153</f>
        <v>13.603770000000001</v>
      </c>
      <c r="I55" s="664">
        <f>90*0.2</f>
        <v>18</v>
      </c>
      <c r="J55" s="704">
        <f>90*0.2567</f>
        <v>23.102999999999998</v>
      </c>
      <c r="K55" s="704" t="str">
        <f>TEXT(90*0.1, "0") &amp; " / " &amp; TEXT(90*0.15,"0.0") &amp; " [H / V]"</f>
        <v>9 / 13.5 [H / V]</v>
      </c>
      <c r="L55" s="704" t="str">
        <f>TEXT(90*0.1, "0") &amp; " / " &amp; TEXT(90*0.15,"0.0") &amp; " [H / V]"</f>
        <v>9 / 13.5 [H / V]</v>
      </c>
      <c r="M55" s="664">
        <f>90*0.2</f>
        <v>18</v>
      </c>
      <c r="N55" s="704">
        <f>90*0.2</f>
        <v>18</v>
      </c>
    </row>
    <row r="56" spans="1:14" ht="15.75" customHeight="1">
      <c r="A56" s="728" t="s">
        <v>619</v>
      </c>
      <c r="B56" s="668" t="s">
        <v>293</v>
      </c>
      <c r="C56" s="668" t="s">
        <v>293</v>
      </c>
      <c r="D56" s="704">
        <v>7.5</v>
      </c>
      <c r="E56" s="704">
        <v>7.5</v>
      </c>
      <c r="F56" s="704">
        <v>7.5</v>
      </c>
      <c r="G56" s="670" t="s">
        <v>293</v>
      </c>
      <c r="H56" s="668" t="s">
        <v>293</v>
      </c>
      <c r="I56" s="667" t="s">
        <v>293</v>
      </c>
      <c r="J56" s="704">
        <v>8.1832499999999992</v>
      </c>
      <c r="K56" s="667" t="s">
        <v>293</v>
      </c>
      <c r="L56" s="667" t="s">
        <v>293</v>
      </c>
      <c r="M56" s="670" t="s">
        <v>293</v>
      </c>
      <c r="N56" s="667" t="s">
        <v>293</v>
      </c>
    </row>
    <row r="57" spans="1:14" ht="15.75" customHeight="1">
      <c r="A57" s="728" t="s">
        <v>621</v>
      </c>
      <c r="B57" s="662">
        <v>2</v>
      </c>
      <c r="C57" s="662">
        <v>3.5</v>
      </c>
      <c r="D57" s="704">
        <v>1.5149999999999999</v>
      </c>
      <c r="E57" s="704">
        <v>1.5149999999999999</v>
      </c>
      <c r="F57" s="704">
        <v>1.5149999999999999</v>
      </c>
      <c r="G57" s="662">
        <v>3.25</v>
      </c>
      <c r="H57" s="662">
        <v>3.25</v>
      </c>
      <c r="I57" s="664">
        <v>1.3</v>
      </c>
      <c r="J57" s="704">
        <v>1.5</v>
      </c>
      <c r="K57" s="704">
        <v>1.65</v>
      </c>
      <c r="L57" s="704">
        <v>1.65</v>
      </c>
      <c r="M57" s="664">
        <v>1.95</v>
      </c>
      <c r="N57" s="704">
        <v>1.35</v>
      </c>
    </row>
    <row r="58" spans="1:14" ht="15.75" customHeight="1">
      <c r="A58" s="661" t="s">
        <v>622</v>
      </c>
      <c r="B58" s="668" t="s">
        <v>293</v>
      </c>
      <c r="C58" s="668" t="s">
        <v>293</v>
      </c>
      <c r="D58" s="669" t="s">
        <v>293</v>
      </c>
      <c r="E58" s="670" t="s">
        <v>293</v>
      </c>
      <c r="F58" s="669" t="s">
        <v>293</v>
      </c>
      <c r="G58" s="670" t="s">
        <v>293</v>
      </c>
      <c r="H58" s="668" t="s">
        <v>293</v>
      </c>
      <c r="I58" s="669" t="s">
        <v>293</v>
      </c>
      <c r="J58" s="669" t="s">
        <v>293</v>
      </c>
      <c r="K58" s="669" t="s">
        <v>293</v>
      </c>
      <c r="L58" s="669" t="s">
        <v>293</v>
      </c>
      <c r="M58" s="664">
        <v>130</v>
      </c>
      <c r="N58" s="664">
        <v>0</v>
      </c>
    </row>
    <row r="59" spans="1:14" ht="15.75" customHeight="1">
      <c r="A59" s="728" t="s">
        <v>865</v>
      </c>
      <c r="B59" s="662">
        <v>1</v>
      </c>
      <c r="C59" s="662">
        <v>1</v>
      </c>
      <c r="D59" s="662">
        <v>0.9</v>
      </c>
      <c r="E59" s="664">
        <v>0.9</v>
      </c>
      <c r="F59" s="662">
        <v>0.9</v>
      </c>
      <c r="G59" s="662">
        <v>0.9</v>
      </c>
      <c r="H59" s="662">
        <v>1</v>
      </c>
      <c r="I59" s="662">
        <v>2.2000000000000002</v>
      </c>
      <c r="J59" s="661">
        <v>0.9</v>
      </c>
      <c r="K59" s="664">
        <v>1</v>
      </c>
      <c r="L59" s="664">
        <v>1</v>
      </c>
      <c r="M59" s="664">
        <v>180</v>
      </c>
      <c r="N59" s="664">
        <v>180</v>
      </c>
    </row>
    <row r="60" spans="1:14" ht="15.75" customHeight="1">
      <c r="A60" s="728" t="s">
        <v>625</v>
      </c>
      <c r="B60" s="662">
        <v>60</v>
      </c>
      <c r="C60" s="662">
        <v>70</v>
      </c>
      <c r="D60" s="664">
        <v>23</v>
      </c>
      <c r="E60" s="664">
        <v>23</v>
      </c>
      <c r="F60" s="664">
        <v>23</v>
      </c>
      <c r="G60" s="662">
        <v>55</v>
      </c>
      <c r="H60" s="662">
        <v>70</v>
      </c>
      <c r="I60" s="662">
        <v>40</v>
      </c>
      <c r="J60" s="661">
        <v>7</v>
      </c>
      <c r="K60" s="664">
        <v>50</v>
      </c>
      <c r="L60" s="664">
        <v>50</v>
      </c>
      <c r="M60" s="664">
        <v>8</v>
      </c>
      <c r="N60" s="667" t="s">
        <v>293</v>
      </c>
    </row>
    <row r="61" spans="1:14" ht="15.75" customHeight="1">
      <c r="A61" s="661" t="s">
        <v>629</v>
      </c>
      <c r="B61" s="662">
        <v>3000</v>
      </c>
      <c r="C61" s="662">
        <v>3000</v>
      </c>
      <c r="D61" s="662">
        <v>600</v>
      </c>
      <c r="E61" s="664">
        <v>600</v>
      </c>
      <c r="F61" s="662">
        <v>600</v>
      </c>
      <c r="G61" s="662">
        <v>5000</v>
      </c>
      <c r="H61" s="662">
        <v>5000</v>
      </c>
      <c r="I61" s="662">
        <v>3000</v>
      </c>
      <c r="J61" s="661">
        <v>30</v>
      </c>
      <c r="K61" s="664">
        <v>2000</v>
      </c>
      <c r="L61" s="664">
        <v>2000</v>
      </c>
      <c r="M61" s="664">
        <v>30</v>
      </c>
      <c r="N61" s="664">
        <v>600</v>
      </c>
    </row>
    <row r="62" spans="1:14" ht="15.75" customHeight="1">
      <c r="A62" s="728" t="s">
        <v>759</v>
      </c>
      <c r="B62" s="662">
        <v>70</v>
      </c>
      <c r="C62" s="662">
        <v>70</v>
      </c>
      <c r="D62" s="664">
        <v>26.4</v>
      </c>
      <c r="E62" s="664">
        <v>26.4</v>
      </c>
      <c r="F62" s="664">
        <v>26.4</v>
      </c>
      <c r="G62" s="662">
        <v>55</v>
      </c>
      <c r="H62" s="662">
        <v>70</v>
      </c>
      <c r="I62" s="662">
        <v>40</v>
      </c>
      <c r="J62" s="661">
        <v>7</v>
      </c>
      <c r="K62" s="664">
        <v>50</v>
      </c>
      <c r="L62" s="664">
        <v>50</v>
      </c>
      <c r="M62" s="664">
        <v>8</v>
      </c>
      <c r="N62" s="664">
        <v>8</v>
      </c>
    </row>
    <row r="63" spans="1:14" ht="15.75" customHeight="1">
      <c r="A63" s="728" t="s">
        <v>631</v>
      </c>
      <c r="B63" s="662">
        <v>15</v>
      </c>
      <c r="C63" s="662">
        <v>15</v>
      </c>
      <c r="D63" s="662">
        <v>6</v>
      </c>
      <c r="E63" s="664">
        <v>6</v>
      </c>
      <c r="F63" s="662">
        <v>6</v>
      </c>
      <c r="G63" s="662">
        <v>2.5</v>
      </c>
      <c r="H63" s="662">
        <v>2.5</v>
      </c>
      <c r="I63" s="662">
        <v>6</v>
      </c>
      <c r="J63" s="661">
        <v>10</v>
      </c>
      <c r="K63" s="664">
        <v>2.5</v>
      </c>
      <c r="L63" s="664">
        <v>2.5</v>
      </c>
      <c r="M63" s="664">
        <v>4</v>
      </c>
      <c r="N63" s="664">
        <v>2.5</v>
      </c>
    </row>
    <row r="64" spans="1:14" ht="15.75" customHeight="1">
      <c r="A64" s="728" t="s">
        <v>632</v>
      </c>
      <c r="B64" s="662">
        <v>4</v>
      </c>
      <c r="C64" s="662">
        <v>4</v>
      </c>
      <c r="D64" s="662">
        <v>5</v>
      </c>
      <c r="E64" s="664">
        <v>5</v>
      </c>
      <c r="F64" s="662">
        <v>5</v>
      </c>
      <c r="G64" s="670" t="s">
        <v>293</v>
      </c>
      <c r="H64" s="668" t="s">
        <v>293</v>
      </c>
      <c r="I64" s="662">
        <v>6</v>
      </c>
      <c r="J64" s="661">
        <v>10</v>
      </c>
      <c r="K64" s="664">
        <v>2.5</v>
      </c>
      <c r="L64" s="664">
        <v>2.5</v>
      </c>
      <c r="M64" s="664">
        <v>4</v>
      </c>
      <c r="N64" s="667" t="s">
        <v>293</v>
      </c>
    </row>
    <row r="65" spans="1:14" ht="15.75" customHeight="1">
      <c r="A65" s="661" t="s">
        <v>626</v>
      </c>
      <c r="B65" s="664">
        <v>1</v>
      </c>
      <c r="C65" s="664">
        <v>1</v>
      </c>
      <c r="D65" s="662">
        <v>0.5</v>
      </c>
      <c r="E65" s="664">
        <v>0.5</v>
      </c>
      <c r="F65" s="662">
        <v>0.5</v>
      </c>
      <c r="G65" s="670" t="s">
        <v>293</v>
      </c>
      <c r="H65" s="662">
        <v>1.5</v>
      </c>
      <c r="I65" s="662">
        <v>0.8</v>
      </c>
      <c r="J65" s="661">
        <v>0.5</v>
      </c>
      <c r="K65" s="664">
        <v>0.75</v>
      </c>
      <c r="L65" s="664">
        <v>0.75</v>
      </c>
      <c r="M65" s="664">
        <v>0.2</v>
      </c>
      <c r="N65" s="667" t="s">
        <v>293</v>
      </c>
    </row>
    <row r="66" spans="1:14" ht="15.75" customHeight="1">
      <c r="A66" s="661" t="s">
        <v>756</v>
      </c>
      <c r="B66" s="668" t="s">
        <v>293</v>
      </c>
      <c r="C66" s="668" t="s">
        <v>293</v>
      </c>
      <c r="D66" s="668" t="s">
        <v>293</v>
      </c>
      <c r="E66" s="668" t="s">
        <v>293</v>
      </c>
      <c r="F66" s="668" t="s">
        <v>293</v>
      </c>
      <c r="G66" s="670" t="s">
        <v>293</v>
      </c>
      <c r="H66" s="668" t="s">
        <v>293</v>
      </c>
      <c r="I66" s="668" t="s">
        <v>293</v>
      </c>
      <c r="J66" s="668" t="s">
        <v>293</v>
      </c>
      <c r="K66" s="668" t="s">
        <v>293</v>
      </c>
      <c r="L66" s="668" t="s">
        <v>293</v>
      </c>
      <c r="M66" s="668" t="s">
        <v>293</v>
      </c>
      <c r="N66" s="668" t="s">
        <v>293</v>
      </c>
    </row>
    <row r="67" spans="1:14" ht="15.75" customHeight="1">
      <c r="A67" s="661" t="s">
        <v>756</v>
      </c>
      <c r="B67" s="668" t="s">
        <v>293</v>
      </c>
      <c r="C67" s="668" t="s">
        <v>293</v>
      </c>
      <c r="D67" s="668" t="s">
        <v>293</v>
      </c>
      <c r="E67" s="668" t="s">
        <v>293</v>
      </c>
      <c r="F67" s="668" t="s">
        <v>293</v>
      </c>
      <c r="G67" s="670" t="s">
        <v>293</v>
      </c>
      <c r="H67" s="668" t="s">
        <v>293</v>
      </c>
      <c r="I67" s="668" t="s">
        <v>293</v>
      </c>
      <c r="J67" s="668" t="s">
        <v>293</v>
      </c>
      <c r="K67" s="668" t="s">
        <v>293</v>
      </c>
      <c r="L67" s="668" t="s">
        <v>293</v>
      </c>
      <c r="M67" s="668" t="s">
        <v>293</v>
      </c>
      <c r="N67" s="668" t="s">
        <v>293</v>
      </c>
    </row>
    <row r="68" spans="1:14" ht="15.75" customHeight="1">
      <c r="A68" s="661" t="s">
        <v>628</v>
      </c>
      <c r="B68" s="664">
        <v>1.5</v>
      </c>
      <c r="C68" s="664">
        <v>1.5</v>
      </c>
      <c r="D68" s="668" t="s">
        <v>293</v>
      </c>
      <c r="E68" s="668" t="s">
        <v>293</v>
      </c>
      <c r="F68" s="668" t="s">
        <v>293</v>
      </c>
      <c r="G68" s="670" t="s">
        <v>293</v>
      </c>
      <c r="H68" s="668" t="s">
        <v>293</v>
      </c>
      <c r="I68" s="668" t="s">
        <v>293</v>
      </c>
      <c r="J68" s="668" t="s">
        <v>293</v>
      </c>
      <c r="K68" s="668" t="s">
        <v>293</v>
      </c>
      <c r="L68" s="668" t="s">
        <v>293</v>
      </c>
      <c r="M68" s="668" t="s">
        <v>293</v>
      </c>
      <c r="N68" s="668" t="s">
        <v>293</v>
      </c>
    </row>
    <row r="69" spans="1:14" ht="15.75" customHeight="1">
      <c r="A69" s="661" t="s">
        <v>633</v>
      </c>
      <c r="B69" s="668" t="s">
        <v>328</v>
      </c>
      <c r="C69" s="668" t="s">
        <v>328</v>
      </c>
      <c r="D69" s="670" t="s">
        <v>324</v>
      </c>
      <c r="E69" s="670" t="s">
        <v>324</v>
      </c>
      <c r="F69" s="670" t="s">
        <v>324</v>
      </c>
      <c r="G69" s="670" t="s">
        <v>324</v>
      </c>
      <c r="H69" s="670" t="s">
        <v>324</v>
      </c>
      <c r="I69" s="670" t="s">
        <v>324</v>
      </c>
      <c r="J69" s="670" t="s">
        <v>324</v>
      </c>
      <c r="K69" s="670" t="s">
        <v>324</v>
      </c>
      <c r="L69" s="670" t="s">
        <v>324</v>
      </c>
      <c r="M69" s="670" t="s">
        <v>324</v>
      </c>
      <c r="N69" s="670" t="s">
        <v>324</v>
      </c>
    </row>
    <row r="70" spans="1:14" ht="15.75" customHeight="1">
      <c r="A70" s="661" t="s">
        <v>634</v>
      </c>
      <c r="B70" s="664">
        <v>4.5</v>
      </c>
      <c r="C70" s="664">
        <v>4.5</v>
      </c>
      <c r="D70" s="668" t="s">
        <v>293</v>
      </c>
      <c r="E70" s="668" t="s">
        <v>293</v>
      </c>
      <c r="F70" s="668" t="s">
        <v>293</v>
      </c>
      <c r="G70" s="670" t="s">
        <v>293</v>
      </c>
      <c r="H70" s="668" t="s">
        <v>293</v>
      </c>
      <c r="I70" s="668" t="s">
        <v>293</v>
      </c>
      <c r="J70" s="668" t="s">
        <v>293</v>
      </c>
      <c r="K70" s="668" t="s">
        <v>293</v>
      </c>
      <c r="L70" s="668" t="s">
        <v>293</v>
      </c>
      <c r="M70" s="668" t="s">
        <v>293</v>
      </c>
      <c r="N70" s="668" t="s">
        <v>293</v>
      </c>
    </row>
    <row r="71" spans="1:14" ht="15.75" customHeight="1">
      <c r="A71" s="728" t="s">
        <v>686</v>
      </c>
      <c r="B71" s="668" t="s">
        <v>328</v>
      </c>
      <c r="C71" s="668" t="s">
        <v>328</v>
      </c>
      <c r="D71" s="668" t="s">
        <v>328</v>
      </c>
      <c r="E71" s="668" t="s">
        <v>328</v>
      </c>
      <c r="F71" s="668" t="s">
        <v>328</v>
      </c>
      <c r="G71" s="668" t="s">
        <v>328</v>
      </c>
      <c r="H71" s="668" t="s">
        <v>328</v>
      </c>
      <c r="I71" s="668" t="s">
        <v>328</v>
      </c>
      <c r="J71" s="668" t="s">
        <v>328</v>
      </c>
      <c r="K71" s="668" t="s">
        <v>328</v>
      </c>
      <c r="L71" s="668" t="s">
        <v>328</v>
      </c>
      <c r="M71" s="668" t="s">
        <v>328</v>
      </c>
      <c r="N71" s="668" t="s">
        <v>328</v>
      </c>
    </row>
    <row r="72" spans="1:14" ht="15.75" customHeight="1">
      <c r="A72" s="728" t="s">
        <v>687</v>
      </c>
      <c r="B72" s="688">
        <v>5</v>
      </c>
      <c r="C72" s="688">
        <v>10</v>
      </c>
      <c r="D72" s="801">
        <v>20</v>
      </c>
      <c r="E72" s="786">
        <v>20</v>
      </c>
      <c r="F72" s="801">
        <v>20</v>
      </c>
      <c r="G72" s="688">
        <v>2</v>
      </c>
      <c r="H72" s="688">
        <v>10</v>
      </c>
      <c r="I72" s="711">
        <v>27</v>
      </c>
      <c r="J72" s="813">
        <v>10</v>
      </c>
      <c r="K72" s="800">
        <v>7</v>
      </c>
      <c r="L72" s="800">
        <v>7</v>
      </c>
      <c r="M72" s="812">
        <v>20</v>
      </c>
      <c r="N72" s="800">
        <v>10</v>
      </c>
    </row>
    <row r="73" spans="1:14" ht="15.75" customHeight="1">
      <c r="A73" s="661" t="s">
        <v>688</v>
      </c>
      <c r="B73" s="688">
        <v>-80</v>
      </c>
      <c r="C73" s="688">
        <v>-75</v>
      </c>
      <c r="D73" s="797">
        <v>-6.75</v>
      </c>
      <c r="E73" s="679">
        <v>-6.75</v>
      </c>
      <c r="F73" s="797">
        <v>-6.75</v>
      </c>
      <c r="G73" s="688">
        <v>-10</v>
      </c>
      <c r="H73" s="688">
        <v>-15</v>
      </c>
      <c r="I73" s="711">
        <v>-35</v>
      </c>
      <c r="J73" s="813">
        <v>-25</v>
      </c>
      <c r="K73" s="800">
        <v>-20</v>
      </c>
      <c r="L73" s="800">
        <v>-20</v>
      </c>
      <c r="M73" s="812">
        <v>-40</v>
      </c>
      <c r="N73" s="800">
        <v>-15</v>
      </c>
    </row>
    <row r="74" spans="1:14" ht="15.75" customHeight="1">
      <c r="A74" s="785" t="s">
        <v>689</v>
      </c>
      <c r="B74" s="676">
        <v>2.25</v>
      </c>
      <c r="C74" s="676">
        <v>1.95</v>
      </c>
      <c r="D74" s="799">
        <v>0.42499999999999999</v>
      </c>
      <c r="E74" s="798">
        <v>0.42499999999999999</v>
      </c>
      <c r="F74" s="799">
        <v>0.42499999999999999</v>
      </c>
      <c r="G74" s="799">
        <v>0.42499999999999999</v>
      </c>
      <c r="H74" s="676">
        <v>0.75</v>
      </c>
      <c r="I74" s="711">
        <v>0.45</v>
      </c>
      <c r="J74" s="813">
        <v>0.85</v>
      </c>
      <c r="K74" s="797">
        <v>0.35</v>
      </c>
      <c r="L74" s="797">
        <v>0.35</v>
      </c>
      <c r="M74" s="812">
        <v>1.45</v>
      </c>
      <c r="N74" s="797">
        <v>0.75</v>
      </c>
    </row>
    <row r="75" spans="1:14" ht="112.5" customHeight="1">
      <c r="A75" s="722" t="s">
        <v>635</v>
      </c>
      <c r="B75" s="711"/>
      <c r="C75" s="711"/>
      <c r="D75" s="788"/>
      <c r="E75" s="670" t="s">
        <v>909</v>
      </c>
      <c r="F75" s="788"/>
      <c r="G75" s="711"/>
      <c r="H75" s="711"/>
      <c r="I75" s="776"/>
      <c r="J75" s="706"/>
      <c r="K75" s="711"/>
      <c r="L75" s="711"/>
      <c r="M75" s="728"/>
      <c r="N75" s="776"/>
    </row>
    <row r="76" spans="1:14" ht="12.75">
      <c r="A76" s="728"/>
      <c r="B76" s="711"/>
      <c r="C76" s="711"/>
      <c r="D76" s="711"/>
      <c r="E76" s="728"/>
      <c r="F76" s="711"/>
      <c r="G76" s="711"/>
      <c r="H76" s="711"/>
      <c r="I76" s="728"/>
      <c r="J76" s="787"/>
      <c r="K76" s="663"/>
      <c r="L76" s="663"/>
      <c r="M76" s="728"/>
      <c r="N76" s="728"/>
    </row>
    <row r="77" spans="1:14" ht="12.75">
      <c r="A77" s="728"/>
      <c r="B77" s="711"/>
      <c r="C77" s="711"/>
      <c r="D77" s="711"/>
      <c r="E77" s="728"/>
      <c r="F77" s="711"/>
      <c r="G77" s="711"/>
      <c r="H77" s="711"/>
      <c r="I77" s="728"/>
      <c r="J77" s="661"/>
      <c r="K77" s="663"/>
      <c r="L77" s="663"/>
      <c r="M77" s="728"/>
      <c r="N77" s="728"/>
    </row>
    <row r="78" spans="1:14" ht="12.75">
      <c r="A78" s="728"/>
      <c r="B78" s="711"/>
      <c r="C78" s="711"/>
      <c r="D78" s="711"/>
      <c r="E78" s="728"/>
      <c r="F78" s="711"/>
      <c r="G78" s="711"/>
      <c r="H78" s="711"/>
      <c r="I78" s="728"/>
      <c r="J78" s="661"/>
      <c r="K78" s="663"/>
      <c r="L78" s="663"/>
      <c r="M78" s="728"/>
      <c r="N78" s="728"/>
    </row>
    <row r="79" spans="1:14" ht="12.75">
      <c r="A79" s="728"/>
      <c r="B79" s="711"/>
      <c r="C79" s="711"/>
      <c r="D79" s="663"/>
      <c r="E79" s="728"/>
      <c r="F79" s="663"/>
      <c r="G79" s="711"/>
      <c r="H79" s="711"/>
      <c r="I79" s="661"/>
      <c r="J79" s="661"/>
      <c r="K79" s="663"/>
      <c r="L79" s="663"/>
      <c r="M79" s="728"/>
      <c r="N79" s="661"/>
    </row>
    <row r="80" spans="1:14" ht="12.75">
      <c r="A80" s="728"/>
      <c r="B80" s="711"/>
      <c r="C80" s="711"/>
      <c r="D80" s="663"/>
      <c r="E80" s="728"/>
      <c r="F80" s="663"/>
      <c r="G80" s="711"/>
      <c r="H80" s="711"/>
      <c r="I80" s="661"/>
      <c r="J80" s="661"/>
      <c r="K80" s="663"/>
      <c r="L80" s="663"/>
      <c r="M80" s="728"/>
      <c r="N80" s="661"/>
    </row>
    <row r="81" spans="1:14" ht="12.75">
      <c r="A81" s="728"/>
      <c r="B81" s="711"/>
      <c r="C81" s="711"/>
      <c r="D81" s="663"/>
      <c r="E81" s="728"/>
      <c r="F81" s="663"/>
      <c r="G81" s="711"/>
      <c r="H81" s="711"/>
      <c r="I81" s="661"/>
      <c r="J81" s="661"/>
      <c r="K81" s="663"/>
      <c r="L81" s="663"/>
      <c r="M81" s="728"/>
      <c r="N81" s="661"/>
    </row>
    <row r="82" spans="1:14" ht="12.75">
      <c r="A82" s="728"/>
      <c r="B82" s="711"/>
      <c r="C82" s="711"/>
      <c r="D82" s="663"/>
      <c r="E82" s="728"/>
      <c r="F82" s="663"/>
      <c r="G82" s="711"/>
      <c r="H82" s="711"/>
      <c r="I82" s="661"/>
      <c r="J82" s="661"/>
      <c r="K82" s="663"/>
      <c r="L82" s="663"/>
      <c r="M82" s="728"/>
      <c r="N82" s="661"/>
    </row>
    <row r="83" spans="1:14" ht="12.75">
      <c r="A83" s="728"/>
      <c r="B83" s="711"/>
      <c r="C83" s="711"/>
      <c r="D83" s="663"/>
      <c r="E83" s="728"/>
      <c r="F83" s="663"/>
      <c r="G83" s="711"/>
      <c r="H83" s="711"/>
      <c r="I83" s="661"/>
      <c r="J83" s="661"/>
      <c r="K83" s="663"/>
      <c r="L83" s="663"/>
      <c r="M83" s="728"/>
      <c r="N83" s="661"/>
    </row>
    <row r="84" spans="1:14" ht="12.75">
      <c r="A84" s="728"/>
      <c r="B84" s="711"/>
      <c r="C84" s="711"/>
      <c r="D84" s="663"/>
      <c r="E84" s="728"/>
      <c r="F84" s="663"/>
      <c r="G84" s="711"/>
      <c r="H84" s="711"/>
      <c r="I84" s="661"/>
      <c r="J84" s="661"/>
      <c r="K84" s="663"/>
      <c r="L84" s="663"/>
      <c r="M84" s="728"/>
      <c r="N84" s="661"/>
    </row>
    <row r="85" spans="1:14" ht="12.75">
      <c r="A85" s="728"/>
      <c r="B85" s="711"/>
      <c r="C85" s="711"/>
      <c r="D85" s="663"/>
      <c r="E85" s="728"/>
      <c r="F85" s="663"/>
      <c r="G85" s="711"/>
      <c r="H85" s="711"/>
      <c r="I85" s="661"/>
      <c r="J85" s="661"/>
      <c r="K85" s="663"/>
      <c r="L85" s="663"/>
      <c r="M85" s="728"/>
      <c r="N85" s="661"/>
    </row>
    <row r="86" spans="1:14" ht="12.75">
      <c r="A86" s="728"/>
      <c r="B86" s="711"/>
      <c r="C86" s="711"/>
      <c r="D86" s="663"/>
      <c r="E86" s="728"/>
      <c r="F86" s="663"/>
      <c r="G86" s="711"/>
      <c r="H86" s="711"/>
      <c r="I86" s="661"/>
      <c r="J86" s="661"/>
      <c r="K86" s="663"/>
      <c r="L86" s="663"/>
      <c r="M86" s="728"/>
      <c r="N86" s="661"/>
    </row>
  </sheetData>
  <conditionalFormatting sqref="A1:N1 A3:N7 A9:N19 A21:N25 A27:N52 A54:N86">
    <cfRule type="expression" dxfId="56" priority="1">
      <formula>ISODD(COLUMN())</formula>
    </cfRule>
    <cfRule type="expression" dxfId="55" priority="2">
      <formula>ISEVEN(COLUMN())</formula>
    </cfRule>
  </conditionalFormatting>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D464E-A92F-4103-9863-E03FE55321EB}">
  <sheetPr>
    <tabColor rgb="FF5B0F00"/>
    <outlinePr summaryBelow="0" summaryRight="0"/>
  </sheetPr>
  <dimension ref="A1:C82"/>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2" width="17.5703125" customWidth="1"/>
    <col min="3" max="3" width="16.7109375" customWidth="1"/>
  </cols>
  <sheetData>
    <row r="1" spans="1:3" ht="35.25" customHeight="1">
      <c r="A1" s="811" t="s">
        <v>551</v>
      </c>
      <c r="B1" s="814" t="s">
        <v>933</v>
      </c>
      <c r="C1" s="655" t="s">
        <v>932</v>
      </c>
    </row>
    <row r="2" spans="1:3" ht="81.75" customHeight="1">
      <c r="A2" s="810" t="s">
        <v>562</v>
      </c>
      <c r="B2" s="659"/>
      <c r="C2" s="660"/>
    </row>
    <row r="3" spans="1:3" ht="15.75" customHeight="1">
      <c r="A3" s="728" t="s">
        <v>563</v>
      </c>
      <c r="B3" s="662">
        <v>330</v>
      </c>
      <c r="C3" s="664">
        <v>594</v>
      </c>
    </row>
    <row r="4" spans="1:3" ht="15.75" customHeight="1">
      <c r="A4" s="728" t="s">
        <v>564</v>
      </c>
      <c r="B4" s="662">
        <v>305</v>
      </c>
      <c r="C4" s="664">
        <v>535</v>
      </c>
    </row>
    <row r="5" spans="1:3" ht="15.75" customHeight="1">
      <c r="A5" s="728" t="s">
        <v>565</v>
      </c>
      <c r="B5" s="662" t="s">
        <v>293</v>
      </c>
      <c r="C5" s="664">
        <v>498.5</v>
      </c>
    </row>
    <row r="6" spans="1:3" ht="15.75" customHeight="1">
      <c r="A6" s="728" t="s">
        <v>566</v>
      </c>
      <c r="B6" s="662">
        <v>273</v>
      </c>
      <c r="C6" s="664">
        <v>310</v>
      </c>
    </row>
    <row r="7" spans="1:3" ht="15.75" customHeight="1">
      <c r="A7" s="728" t="s">
        <v>567</v>
      </c>
      <c r="B7" s="662">
        <v>3.11</v>
      </c>
      <c r="C7" s="664">
        <v>4.1920000000000002</v>
      </c>
    </row>
    <row r="8" spans="1:3" ht="20.25" customHeight="1">
      <c r="A8" s="809" t="s">
        <v>568</v>
      </c>
      <c r="B8" s="673"/>
      <c r="C8" s="673"/>
    </row>
    <row r="9" spans="1:3" ht="15.75" customHeight="1">
      <c r="A9" s="728" t="s">
        <v>569</v>
      </c>
      <c r="B9" s="688">
        <v>1670</v>
      </c>
      <c r="C9" s="786">
        <v>34660</v>
      </c>
    </row>
    <row r="10" spans="1:3" ht="16.5" customHeight="1">
      <c r="A10" s="728" t="s">
        <v>570</v>
      </c>
      <c r="B10" s="662">
        <v>30</v>
      </c>
      <c r="C10" s="664">
        <v>4</v>
      </c>
    </row>
    <row r="11" spans="1:3" ht="15.75" customHeight="1">
      <c r="A11" s="728" t="str">
        <f>"Raw acceleration at ignition: [m/s"&amp;CHAR(178)&amp;"]"</f>
        <v>Raw acceleration at ignition: [m/s²]</v>
      </c>
      <c r="B11" s="676">
        <f>B9/B3</f>
        <v>5.0606060606060606</v>
      </c>
      <c r="C11" s="679">
        <f>C9/C3</f>
        <v>58.350168350168353</v>
      </c>
    </row>
    <row r="12" spans="1:3" ht="15.75" customHeight="1">
      <c r="A12" s="661" t="s">
        <v>571</v>
      </c>
      <c r="B12" s="676">
        <f>B10*B9/(9.81*(B3-B4))</f>
        <v>204.28134556574923</v>
      </c>
      <c r="C12" s="678">
        <f>C10*C9/(9.81*(C3-C4))</f>
        <v>239.53420065999754</v>
      </c>
    </row>
    <row r="13" spans="1:3" ht="15.75" customHeight="1">
      <c r="A13" s="661" t="s">
        <v>572</v>
      </c>
      <c r="B13" s="676">
        <f>B12*9.81*LN(B3/B4)</f>
        <v>157.87687921764123</v>
      </c>
      <c r="C13" s="678">
        <f>C12*9.81*LN(C3/C4)</f>
        <v>245.82181435211427</v>
      </c>
    </row>
    <row r="14" spans="1:3" ht="15.75" customHeight="1">
      <c r="A14" s="728" t="s">
        <v>573</v>
      </c>
      <c r="B14" s="676">
        <v>2</v>
      </c>
      <c r="C14" s="751">
        <v>1</v>
      </c>
    </row>
    <row r="15" spans="1:3" ht="16.5" customHeight="1">
      <c r="A15" s="776" t="s">
        <v>574</v>
      </c>
      <c r="B15" s="718" t="s">
        <v>293</v>
      </c>
      <c r="C15" s="786">
        <v>3700</v>
      </c>
    </row>
    <row r="16" spans="1:3" ht="18" customHeight="1">
      <c r="A16" s="776" t="s">
        <v>575</v>
      </c>
      <c r="B16" s="718" t="s">
        <v>293</v>
      </c>
      <c r="C16" s="664">
        <v>10</v>
      </c>
    </row>
    <row r="17" spans="1:3" ht="18" customHeight="1">
      <c r="A17" s="728" t="s">
        <v>576</v>
      </c>
      <c r="B17" s="718" t="s">
        <v>293</v>
      </c>
      <c r="C17" s="777">
        <f>C16*C15/(9.81*(C4-C5))</f>
        <v>103.33319369388239</v>
      </c>
    </row>
    <row r="18" spans="1:3" ht="18" customHeight="1">
      <c r="A18" s="728" t="s">
        <v>577</v>
      </c>
      <c r="B18" s="718" t="s">
        <v>293</v>
      </c>
      <c r="C18" s="777">
        <f>C17*9.81*LN(C4/C5)</f>
        <v>71.631145952936933</v>
      </c>
    </row>
    <row r="19" spans="1:3" ht="18" customHeight="1">
      <c r="A19" s="728" t="s">
        <v>578</v>
      </c>
      <c r="B19" s="676">
        <f>IF(ISNUMBER(B18),B13+B18,B13)</f>
        <v>157.87687921764123</v>
      </c>
      <c r="C19" s="692">
        <f>IF(ISNUMBER(C18),C13+C18,C13)</f>
        <v>317.45296030505119</v>
      </c>
    </row>
    <row r="20" spans="1:3" ht="20.25" customHeight="1">
      <c r="A20" s="805" t="s">
        <v>579</v>
      </c>
      <c r="B20" s="697"/>
      <c r="C20" s="697"/>
    </row>
    <row r="21" spans="1:3" ht="15.75" customHeight="1">
      <c r="A21" s="728" t="s">
        <v>580</v>
      </c>
      <c r="B21" s="662">
        <f>87.1*1.35</f>
        <v>117.58499999999999</v>
      </c>
      <c r="C21" s="664">
        <f>1.6*165</f>
        <v>264</v>
      </c>
    </row>
    <row r="22" spans="1:3" ht="15.75" customHeight="1">
      <c r="A22" s="775" t="s">
        <v>764</v>
      </c>
      <c r="B22" s="668" t="s">
        <v>876</v>
      </c>
      <c r="C22" s="668" t="s">
        <v>876</v>
      </c>
    </row>
    <row r="23" spans="1:3" ht="15.75" customHeight="1">
      <c r="A23" s="776" t="s">
        <v>762</v>
      </c>
      <c r="B23" s="662">
        <v>81.637749999999997</v>
      </c>
      <c r="C23" s="664">
        <v>93.2</v>
      </c>
    </row>
    <row r="24" spans="1:3" ht="15.75" customHeight="1">
      <c r="A24" s="728" t="s">
        <v>581</v>
      </c>
      <c r="B24" s="667" t="s">
        <v>324</v>
      </c>
      <c r="C24" s="667" t="s">
        <v>324</v>
      </c>
    </row>
    <row r="25" spans="1:3" ht="15.75" customHeight="1">
      <c r="A25" s="728" t="s">
        <v>582</v>
      </c>
      <c r="B25" s="668" t="s">
        <v>293</v>
      </c>
      <c r="C25" s="668" t="s">
        <v>293</v>
      </c>
    </row>
    <row r="26" spans="1:3" ht="15.75" customHeight="1">
      <c r="A26" s="776" t="s">
        <v>931</v>
      </c>
      <c r="B26" s="668" t="s">
        <v>293</v>
      </c>
      <c r="C26" s="668" t="s">
        <v>293</v>
      </c>
    </row>
    <row r="27" spans="1:3" ht="15.75" customHeight="1">
      <c r="A27" s="775" t="s">
        <v>583</v>
      </c>
      <c r="B27" s="668" t="s">
        <v>293</v>
      </c>
      <c r="C27" s="668" t="s">
        <v>293</v>
      </c>
    </row>
    <row r="28" spans="1:3" ht="15.75" customHeight="1">
      <c r="A28" s="775" t="s">
        <v>930</v>
      </c>
      <c r="B28" s="668" t="s">
        <v>293</v>
      </c>
      <c r="C28" s="668" t="s">
        <v>293</v>
      </c>
    </row>
    <row r="29" spans="1:3" ht="15.75" customHeight="1">
      <c r="A29" s="661" t="s">
        <v>584</v>
      </c>
      <c r="B29" s="668" t="s">
        <v>293</v>
      </c>
      <c r="C29" s="668" t="s">
        <v>293</v>
      </c>
    </row>
    <row r="30" spans="1:3" ht="15.75" customHeight="1">
      <c r="A30" s="661" t="s">
        <v>761</v>
      </c>
      <c r="B30" s="60">
        <v>0.1</v>
      </c>
      <c r="C30" s="664">
        <v>0.1</v>
      </c>
    </row>
    <row r="31" spans="1:3" ht="15.75" customHeight="1">
      <c r="A31" s="661" t="s">
        <v>760</v>
      </c>
      <c r="B31" s="702">
        <v>0.1</v>
      </c>
      <c r="C31" s="664">
        <v>0.1</v>
      </c>
    </row>
    <row r="32" spans="1:3" ht="20.25" customHeight="1">
      <c r="A32" s="804" t="s">
        <v>585</v>
      </c>
      <c r="B32" s="702"/>
      <c r="C32" s="702"/>
    </row>
    <row r="33" spans="1:3" ht="15.75" customHeight="1">
      <c r="A33" s="728" t="s">
        <v>586</v>
      </c>
      <c r="B33" s="668" t="s">
        <v>929</v>
      </c>
      <c r="C33" s="670" t="s">
        <v>929</v>
      </c>
    </row>
    <row r="34" spans="1:3" ht="15.75" customHeight="1">
      <c r="A34" s="728" t="s">
        <v>587</v>
      </c>
      <c r="B34" s="662">
        <v>1</v>
      </c>
      <c r="C34" s="664">
        <v>1</v>
      </c>
    </row>
    <row r="35" spans="1:3" ht="15.75" customHeight="1">
      <c r="A35" s="728" t="s">
        <v>588</v>
      </c>
      <c r="B35" s="662">
        <v>250</v>
      </c>
      <c r="C35" s="664">
        <v>400</v>
      </c>
    </row>
    <row r="36" spans="1:3" ht="15.75" customHeight="1">
      <c r="A36" s="728" t="s">
        <v>589</v>
      </c>
      <c r="B36" s="662">
        <v>1</v>
      </c>
      <c r="C36" s="664">
        <v>1</v>
      </c>
    </row>
    <row r="37" spans="1:3" ht="15.75" customHeight="1">
      <c r="A37" s="728" t="s">
        <v>590</v>
      </c>
      <c r="B37" s="662">
        <v>3600</v>
      </c>
      <c r="C37" s="664">
        <v>3600</v>
      </c>
    </row>
    <row r="38" spans="1:3" ht="15.75" customHeight="1">
      <c r="A38" s="728" t="s">
        <v>591</v>
      </c>
      <c r="B38" s="668" t="s">
        <v>293</v>
      </c>
      <c r="C38" s="668" t="s">
        <v>293</v>
      </c>
    </row>
    <row r="39" spans="1:3" ht="15.75" customHeight="1">
      <c r="A39" s="728" t="s">
        <v>592</v>
      </c>
      <c r="B39" s="664">
        <v>180</v>
      </c>
      <c r="C39" s="664">
        <v>180</v>
      </c>
    </row>
    <row r="40" spans="1:3" ht="15.75" customHeight="1">
      <c r="A40" s="728" t="s">
        <v>593</v>
      </c>
      <c r="B40" s="668" t="s">
        <v>293</v>
      </c>
      <c r="C40" s="668" t="s">
        <v>293</v>
      </c>
    </row>
    <row r="41" spans="1:3" ht="15.75" customHeight="1">
      <c r="A41" s="661" t="s">
        <v>606</v>
      </c>
      <c r="B41" s="664">
        <v>250</v>
      </c>
      <c r="C41" s="668" t="s">
        <v>293</v>
      </c>
    </row>
    <row r="42" spans="1:3" ht="15.75" customHeight="1">
      <c r="A42" s="661" t="s">
        <v>729</v>
      </c>
      <c r="B42" s="668" t="s">
        <v>293</v>
      </c>
      <c r="C42" s="668" t="s">
        <v>293</v>
      </c>
    </row>
    <row r="43" spans="1:3" ht="25.5">
      <c r="A43" s="682" t="s">
        <v>607</v>
      </c>
      <c r="B43" s="662">
        <v>4</v>
      </c>
      <c r="C43" s="662">
        <v>4</v>
      </c>
    </row>
    <row r="44" spans="1:3" ht="15.75" customHeight="1">
      <c r="A44" s="682" t="s">
        <v>608</v>
      </c>
      <c r="B44" s="662">
        <v>1800</v>
      </c>
      <c r="C44" s="662">
        <v>1800</v>
      </c>
    </row>
    <row r="45" spans="1:3" ht="15.75" customHeight="1">
      <c r="A45" s="661" t="s">
        <v>609</v>
      </c>
      <c r="B45" s="662">
        <v>4.1000000000000002E-2</v>
      </c>
      <c r="C45" s="662">
        <v>0.02</v>
      </c>
    </row>
    <row r="46" spans="1:3" ht="15.75" customHeight="1">
      <c r="A46" s="661" t="s">
        <v>611</v>
      </c>
      <c r="B46" s="662">
        <v>0.121</v>
      </c>
      <c r="C46" s="662">
        <v>9.6000000000000002E-2</v>
      </c>
    </row>
    <row r="47" spans="1:3" ht="15.75" customHeight="1">
      <c r="A47" s="661" t="s">
        <v>613</v>
      </c>
      <c r="B47" s="662">
        <v>1</v>
      </c>
      <c r="C47" s="662">
        <v>1</v>
      </c>
    </row>
    <row r="48" spans="1:3" ht="15.75" customHeight="1">
      <c r="A48" s="661" t="s">
        <v>615</v>
      </c>
      <c r="B48" s="662">
        <v>1E-3</v>
      </c>
      <c r="C48" s="662">
        <v>5.0000000000000001E-4</v>
      </c>
    </row>
    <row r="49" spans="1:3" ht="24" customHeight="1">
      <c r="A49" s="803" t="s">
        <v>617</v>
      </c>
      <c r="B49" s="802"/>
      <c r="C49" s="802"/>
    </row>
    <row r="50" spans="1:3" ht="15.75" customHeight="1">
      <c r="A50" s="712" t="s">
        <v>618</v>
      </c>
      <c r="B50" s="704">
        <f>90*0.2</f>
        <v>18</v>
      </c>
      <c r="C50" s="704">
        <f>90*0.2</f>
        <v>18</v>
      </c>
    </row>
    <row r="51" spans="1:3" ht="15.75" customHeight="1">
      <c r="A51" s="712" t="s">
        <v>619</v>
      </c>
      <c r="B51" s="668" t="s">
        <v>293</v>
      </c>
      <c r="C51" s="668" t="s">
        <v>293</v>
      </c>
    </row>
    <row r="52" spans="1:3" ht="15.75" customHeight="1">
      <c r="A52" s="712" t="s">
        <v>621</v>
      </c>
      <c r="B52" s="704">
        <v>2</v>
      </c>
      <c r="C52" s="704">
        <v>3</v>
      </c>
    </row>
    <row r="53" spans="1:3" ht="15.75" customHeight="1">
      <c r="A53" s="661" t="s">
        <v>622</v>
      </c>
      <c r="B53" s="668" t="s">
        <v>293</v>
      </c>
      <c r="C53" s="668" t="s">
        <v>293</v>
      </c>
    </row>
    <row r="54" spans="1:3" ht="15.75" customHeight="1">
      <c r="A54" s="728" t="s">
        <v>623</v>
      </c>
      <c r="B54" s="668" t="s">
        <v>293</v>
      </c>
      <c r="C54" s="668" t="s">
        <v>293</v>
      </c>
    </row>
    <row r="55" spans="1:3" ht="15.75" customHeight="1">
      <c r="A55" s="728" t="s">
        <v>624</v>
      </c>
      <c r="B55" s="664">
        <v>1</v>
      </c>
      <c r="C55" s="664">
        <v>2</v>
      </c>
    </row>
    <row r="56" spans="1:3" ht="15.75" customHeight="1">
      <c r="A56" s="728" t="s">
        <v>625</v>
      </c>
      <c r="B56" s="662">
        <v>60</v>
      </c>
      <c r="C56" s="664">
        <v>120</v>
      </c>
    </row>
    <row r="57" spans="1:3" ht="15.75" customHeight="1">
      <c r="A57" s="661" t="s">
        <v>928</v>
      </c>
      <c r="B57" s="664">
        <v>3</v>
      </c>
      <c r="C57" s="664">
        <v>2</v>
      </c>
    </row>
    <row r="58" spans="1:3" ht="15.75" customHeight="1">
      <c r="A58" s="728" t="s">
        <v>759</v>
      </c>
      <c r="B58" s="662">
        <v>70</v>
      </c>
      <c r="C58" s="664">
        <v>120</v>
      </c>
    </row>
    <row r="59" spans="1:3" ht="15.75" customHeight="1">
      <c r="A59" s="728" t="s">
        <v>631</v>
      </c>
      <c r="B59" s="664">
        <v>15</v>
      </c>
      <c r="C59" s="664">
        <v>10</v>
      </c>
    </row>
    <row r="60" spans="1:3" ht="15.75" customHeight="1">
      <c r="A60" s="728" t="s">
        <v>632</v>
      </c>
      <c r="B60" s="668" t="s">
        <v>293</v>
      </c>
      <c r="C60" s="664">
        <v>10</v>
      </c>
    </row>
    <row r="61" spans="1:3" ht="15.75" customHeight="1">
      <c r="A61" s="661" t="s">
        <v>626</v>
      </c>
      <c r="B61" s="662">
        <v>1</v>
      </c>
      <c r="C61" s="664">
        <v>1</v>
      </c>
    </row>
    <row r="62" spans="1:3" ht="15.75" customHeight="1">
      <c r="A62" s="661" t="s">
        <v>756</v>
      </c>
      <c r="B62" s="668" t="s">
        <v>293</v>
      </c>
      <c r="C62" s="668" t="s">
        <v>293</v>
      </c>
    </row>
    <row r="63" spans="1:3" ht="15.75" customHeight="1">
      <c r="A63" s="661" t="s">
        <v>756</v>
      </c>
      <c r="B63" s="668" t="s">
        <v>293</v>
      </c>
      <c r="C63" s="668" t="s">
        <v>293</v>
      </c>
    </row>
    <row r="64" spans="1:3" ht="15.75" customHeight="1">
      <c r="A64" s="661" t="s">
        <v>628</v>
      </c>
      <c r="B64" s="662">
        <v>1.5</v>
      </c>
      <c r="C64" s="664">
        <v>1.5</v>
      </c>
    </row>
    <row r="65" spans="1:3" ht="15.75" customHeight="1">
      <c r="A65" s="661" t="s">
        <v>633</v>
      </c>
      <c r="B65" s="668" t="s">
        <v>328</v>
      </c>
      <c r="C65" s="668" t="s">
        <v>324</v>
      </c>
    </row>
    <row r="66" spans="1:3" ht="15.75" customHeight="1">
      <c r="A66" s="661" t="s">
        <v>634</v>
      </c>
      <c r="B66" s="662">
        <v>4.5</v>
      </c>
      <c r="C66" s="668" t="s">
        <v>293</v>
      </c>
    </row>
    <row r="67" spans="1:3" ht="15.75" customHeight="1">
      <c r="A67" s="728" t="s">
        <v>686</v>
      </c>
      <c r="B67" s="668" t="s">
        <v>328</v>
      </c>
      <c r="C67" s="668" t="s">
        <v>328</v>
      </c>
    </row>
    <row r="68" spans="1:3" ht="15.75" customHeight="1">
      <c r="A68" s="728" t="s">
        <v>687</v>
      </c>
      <c r="B68" s="688">
        <v>5</v>
      </c>
      <c r="C68" s="664">
        <v>10</v>
      </c>
    </row>
    <row r="69" spans="1:3" ht="15.75" customHeight="1">
      <c r="A69" s="728" t="s">
        <v>688</v>
      </c>
      <c r="B69" s="688">
        <v>-80</v>
      </c>
      <c r="C69" s="664">
        <v>-70</v>
      </c>
    </row>
    <row r="70" spans="1:3" ht="15.75" customHeight="1">
      <c r="A70" s="785" t="s">
        <v>689</v>
      </c>
      <c r="B70" s="676">
        <v>2.25</v>
      </c>
      <c r="C70" s="664">
        <v>1.1499999999999999</v>
      </c>
    </row>
    <row r="71" spans="1:3" ht="112.5" customHeight="1">
      <c r="A71" s="722" t="s">
        <v>635</v>
      </c>
      <c r="B71" s="711"/>
      <c r="C71" s="776"/>
    </row>
    <row r="72" spans="1:3" ht="12.75">
      <c r="A72" s="728"/>
      <c r="B72" s="711"/>
      <c r="C72" s="728"/>
    </row>
    <row r="73" spans="1:3" ht="12.75">
      <c r="A73" s="728"/>
      <c r="B73" s="711"/>
      <c r="C73" s="728"/>
    </row>
    <row r="74" spans="1:3" ht="12.75">
      <c r="A74" s="728"/>
      <c r="B74" s="711"/>
      <c r="C74" s="728"/>
    </row>
    <row r="75" spans="1:3" ht="12.75">
      <c r="A75" s="728"/>
      <c r="B75" s="711"/>
      <c r="C75" s="661"/>
    </row>
    <row r="76" spans="1:3" ht="12.75">
      <c r="A76" s="728"/>
      <c r="B76" s="711"/>
      <c r="C76" s="661"/>
    </row>
    <row r="77" spans="1:3" ht="12.75">
      <c r="A77" s="728"/>
      <c r="B77" s="711"/>
      <c r="C77" s="661"/>
    </row>
    <row r="78" spans="1:3" ht="12.75">
      <c r="A78" s="728"/>
      <c r="B78" s="711"/>
      <c r="C78" s="661"/>
    </row>
    <row r="79" spans="1:3" ht="12.75">
      <c r="A79" s="728"/>
      <c r="B79" s="711"/>
      <c r="C79" s="661"/>
    </row>
    <row r="80" spans="1:3" ht="12.75">
      <c r="A80" s="728"/>
      <c r="B80" s="711"/>
      <c r="C80" s="661"/>
    </row>
    <row r="81" spans="1:3" ht="12.75">
      <c r="A81" s="728"/>
      <c r="B81" s="711"/>
      <c r="C81" s="661"/>
    </row>
    <row r="82" spans="1:3" ht="12.75">
      <c r="A82" s="728"/>
      <c r="B82" s="711"/>
      <c r="C82" s="661"/>
    </row>
  </sheetData>
  <conditionalFormatting sqref="A1:C1 A3:C7 A9:C19 A21:C31 A33:C48 A50:C82">
    <cfRule type="expression" dxfId="54" priority="1">
      <formula>ISODD(COLUMN())</formula>
    </cfRule>
    <cfRule type="expression" dxfId="53" priority="2">
      <formula>ISEVEN(COLUMN())</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BE740-526D-4D0B-9634-CB0CD97AB8D2}">
  <sheetPr>
    <tabColor rgb="FF5B0F00"/>
    <outlinePr summaryBelow="0" summaryRight="0"/>
  </sheetPr>
  <dimension ref="A1:AG85"/>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3.85546875" customWidth="1"/>
    <col min="2" max="3" width="17.5703125" customWidth="1"/>
    <col min="4" max="33" width="16.7109375" customWidth="1"/>
  </cols>
  <sheetData>
    <row r="1" spans="1:33" ht="35.25" customHeight="1">
      <c r="A1" s="811" t="s">
        <v>551</v>
      </c>
      <c r="B1" s="814" t="s">
        <v>976</v>
      </c>
      <c r="C1" s="814" t="s">
        <v>975</v>
      </c>
      <c r="D1" s="653" t="s">
        <v>974</v>
      </c>
      <c r="E1" s="653" t="s">
        <v>973</v>
      </c>
      <c r="F1" s="653" t="s">
        <v>972</v>
      </c>
      <c r="G1" s="655" t="s">
        <v>971</v>
      </c>
      <c r="H1" s="655" t="s">
        <v>970</v>
      </c>
      <c r="I1" s="655" t="s">
        <v>969</v>
      </c>
      <c r="J1" s="655" t="s">
        <v>968</v>
      </c>
      <c r="K1" s="655" t="s">
        <v>967</v>
      </c>
      <c r="L1" s="655" t="s">
        <v>966</v>
      </c>
      <c r="M1" s="655" t="s">
        <v>965</v>
      </c>
      <c r="N1" s="655" t="s">
        <v>964</v>
      </c>
      <c r="O1" s="655" t="s">
        <v>963</v>
      </c>
      <c r="P1" s="655" t="s">
        <v>962</v>
      </c>
      <c r="Q1" s="655" t="s">
        <v>961</v>
      </c>
      <c r="R1" s="655" t="s">
        <v>960</v>
      </c>
      <c r="S1" s="655" t="s">
        <v>959</v>
      </c>
      <c r="T1" s="655" t="s">
        <v>958</v>
      </c>
      <c r="U1" s="653" t="s">
        <v>957</v>
      </c>
      <c r="V1" s="655" t="s">
        <v>956</v>
      </c>
      <c r="W1" s="653" t="s">
        <v>955</v>
      </c>
      <c r="X1" s="655" t="s">
        <v>954</v>
      </c>
      <c r="Y1" s="655" t="s">
        <v>954</v>
      </c>
      <c r="Z1" s="653" t="s">
        <v>953</v>
      </c>
      <c r="AA1" s="655" t="s">
        <v>952</v>
      </c>
      <c r="AB1" s="655" t="s">
        <v>952</v>
      </c>
      <c r="AC1" s="653" t="s">
        <v>951</v>
      </c>
      <c r="AD1" s="655" t="s">
        <v>950</v>
      </c>
      <c r="AE1" s="655" t="s">
        <v>949</v>
      </c>
      <c r="AF1" s="655" t="s">
        <v>948</v>
      </c>
      <c r="AG1" s="655" t="s">
        <v>947</v>
      </c>
    </row>
    <row r="2" spans="1:33" ht="82.5" customHeight="1">
      <c r="A2" s="810" t="s">
        <v>562</v>
      </c>
      <c r="B2" s="659"/>
      <c r="C2" s="660"/>
      <c r="D2" s="660"/>
      <c r="E2" s="660"/>
      <c r="F2" s="660"/>
      <c r="G2" s="660"/>
      <c r="H2" s="660"/>
      <c r="I2" s="660"/>
      <c r="J2" s="660"/>
      <c r="K2" s="660"/>
      <c r="L2" s="660"/>
      <c r="M2" s="660"/>
      <c r="N2" s="660"/>
      <c r="O2" s="660"/>
      <c r="P2" s="660"/>
      <c r="Q2" s="660"/>
      <c r="R2" s="660"/>
      <c r="S2" s="660"/>
      <c r="T2" s="660"/>
      <c r="U2" s="659"/>
      <c r="V2" s="660"/>
      <c r="W2" s="659"/>
      <c r="X2" s="660"/>
      <c r="Y2" s="660"/>
      <c r="Z2" s="660"/>
      <c r="AA2" s="660"/>
      <c r="AB2" s="660"/>
      <c r="AC2" s="660"/>
      <c r="AD2" s="660"/>
      <c r="AE2" s="660"/>
      <c r="AF2" s="660"/>
      <c r="AG2" s="660"/>
    </row>
    <row r="3" spans="1:33" ht="15.75" customHeight="1">
      <c r="A3" s="728" t="s">
        <v>563</v>
      </c>
      <c r="B3" s="662">
        <v>330</v>
      </c>
      <c r="C3" s="662">
        <v>541</v>
      </c>
      <c r="D3" s="662">
        <v>291.20600000000002</v>
      </c>
      <c r="E3" s="662">
        <v>291.20600000000002</v>
      </c>
      <c r="F3" s="662">
        <v>291.20600000000002</v>
      </c>
      <c r="G3" s="664">
        <v>45.131999999999998</v>
      </c>
      <c r="H3" s="664">
        <v>45.131999999999998</v>
      </c>
      <c r="I3" s="664">
        <v>45.131999999999998</v>
      </c>
      <c r="J3" s="664">
        <v>45.131999999999998</v>
      </c>
      <c r="K3" s="664">
        <v>45.131999999999998</v>
      </c>
      <c r="L3" s="664">
        <v>580</v>
      </c>
      <c r="M3" s="664">
        <v>15.8</v>
      </c>
      <c r="N3" s="664">
        <v>18.071999999999999</v>
      </c>
      <c r="O3" s="664">
        <v>26.5</v>
      </c>
      <c r="P3" s="664">
        <v>46</v>
      </c>
      <c r="Q3" s="664">
        <v>520</v>
      </c>
      <c r="R3" s="664">
        <v>46</v>
      </c>
      <c r="S3" s="664">
        <v>26.5</v>
      </c>
      <c r="T3" s="664">
        <v>50</v>
      </c>
      <c r="U3" s="662">
        <v>16.8</v>
      </c>
      <c r="V3" s="664">
        <v>15</v>
      </c>
      <c r="W3" s="662">
        <v>16.399999999999999</v>
      </c>
      <c r="X3" s="664">
        <v>318</v>
      </c>
      <c r="Y3" s="664">
        <v>318</v>
      </c>
      <c r="Z3" s="662">
        <v>297</v>
      </c>
      <c r="AA3" s="664">
        <v>657</v>
      </c>
      <c r="AB3" s="664">
        <v>657</v>
      </c>
      <c r="AC3" s="662">
        <v>520</v>
      </c>
      <c r="AD3" s="664">
        <v>37.5</v>
      </c>
      <c r="AE3" s="664">
        <v>410</v>
      </c>
      <c r="AF3" s="664">
        <v>410</v>
      </c>
      <c r="AG3" s="664">
        <v>49.8</v>
      </c>
    </row>
    <row r="4" spans="1:33" ht="15.75" customHeight="1">
      <c r="A4" s="728" t="s">
        <v>564</v>
      </c>
      <c r="B4" s="662">
        <v>305</v>
      </c>
      <c r="C4" s="662">
        <v>516</v>
      </c>
      <c r="D4" s="662">
        <v>278.92099999999999</v>
      </c>
      <c r="E4" s="662">
        <v>278.92099999999999</v>
      </c>
      <c r="F4" s="662">
        <v>278.92099999999999</v>
      </c>
      <c r="G4" s="664">
        <v>35.860999999999997</v>
      </c>
      <c r="H4" s="664">
        <v>35.860999999999997</v>
      </c>
      <c r="I4" s="664">
        <v>35.860999999999997</v>
      </c>
      <c r="J4" s="664">
        <v>35.860999999999997</v>
      </c>
      <c r="K4" s="664">
        <v>35.860999999999997</v>
      </c>
      <c r="L4" s="664">
        <v>560.9</v>
      </c>
      <c r="M4" s="664">
        <v>12.62</v>
      </c>
      <c r="N4" s="664">
        <v>14.891999999999999</v>
      </c>
      <c r="O4" s="664">
        <v>23.5</v>
      </c>
      <c r="P4" s="664">
        <v>43.5</v>
      </c>
      <c r="Q4" s="664">
        <v>463</v>
      </c>
      <c r="R4" s="664">
        <v>43.5</v>
      </c>
      <c r="S4" s="664">
        <v>23.5</v>
      </c>
      <c r="T4" s="664">
        <v>41.6</v>
      </c>
      <c r="U4" s="662">
        <v>13</v>
      </c>
      <c r="V4" s="664">
        <v>11.82</v>
      </c>
      <c r="W4" s="662">
        <v>13.22</v>
      </c>
      <c r="X4" s="664">
        <v>255.5</v>
      </c>
      <c r="Y4" s="664">
        <v>255.5</v>
      </c>
      <c r="Z4" s="662">
        <v>266</v>
      </c>
      <c r="AA4" s="664">
        <v>546.20000000000005</v>
      </c>
      <c r="AB4" s="664">
        <v>546.20000000000005</v>
      </c>
      <c r="AC4" s="662">
        <v>470</v>
      </c>
      <c r="AD4" s="664">
        <v>34.5</v>
      </c>
      <c r="AE4" s="664">
        <v>320</v>
      </c>
      <c r="AF4" s="664">
        <v>320</v>
      </c>
      <c r="AG4" s="664">
        <v>38.299999999999997</v>
      </c>
    </row>
    <row r="5" spans="1:33" ht="15.75" customHeight="1">
      <c r="A5" s="728" t="s">
        <v>565</v>
      </c>
      <c r="B5" s="662" t="s">
        <v>293</v>
      </c>
      <c r="C5" s="662" t="s">
        <v>293</v>
      </c>
      <c r="D5" s="662">
        <v>261.72300000000001</v>
      </c>
      <c r="E5" s="662">
        <v>261.72300000000001</v>
      </c>
      <c r="F5" s="662">
        <v>261.72300000000001</v>
      </c>
      <c r="G5" s="670" t="s">
        <v>293</v>
      </c>
      <c r="H5" s="670" t="s">
        <v>293</v>
      </c>
      <c r="I5" s="670" t="s">
        <v>293</v>
      </c>
      <c r="J5" s="670" t="s">
        <v>293</v>
      </c>
      <c r="K5" s="670" t="s">
        <v>293</v>
      </c>
      <c r="L5" s="664">
        <v>537.70000000000005</v>
      </c>
      <c r="M5" s="670" t="s">
        <v>293</v>
      </c>
      <c r="N5" s="670" t="s">
        <v>293</v>
      </c>
      <c r="O5" s="664">
        <v>21</v>
      </c>
      <c r="P5" s="664">
        <v>35</v>
      </c>
      <c r="Q5" s="664">
        <v>393</v>
      </c>
      <c r="R5" s="664">
        <v>35</v>
      </c>
      <c r="S5" s="664">
        <v>21</v>
      </c>
      <c r="T5" s="670" t="s">
        <v>293</v>
      </c>
      <c r="U5" s="668" t="s">
        <v>293</v>
      </c>
      <c r="V5" s="670" t="s">
        <v>293</v>
      </c>
      <c r="W5" s="668" t="s">
        <v>293</v>
      </c>
      <c r="X5" s="670" t="s">
        <v>293</v>
      </c>
      <c r="Y5" s="670" t="s">
        <v>293</v>
      </c>
      <c r="Z5" s="662">
        <v>214.5</v>
      </c>
      <c r="AA5" s="670" t="s">
        <v>293</v>
      </c>
      <c r="AB5" s="670" t="s">
        <v>293</v>
      </c>
      <c r="AC5" s="662">
        <v>350</v>
      </c>
      <c r="AD5" s="664">
        <v>30.8</v>
      </c>
      <c r="AE5" s="670" t="s">
        <v>293</v>
      </c>
      <c r="AF5" s="670" t="s">
        <v>293</v>
      </c>
      <c r="AG5" s="670" t="s">
        <v>293</v>
      </c>
    </row>
    <row r="6" spans="1:33" ht="15.75" customHeight="1">
      <c r="A6" s="728" t="s">
        <v>566</v>
      </c>
      <c r="B6" s="662">
        <v>273</v>
      </c>
      <c r="C6" s="662">
        <v>356</v>
      </c>
      <c r="D6" s="662">
        <v>304.8</v>
      </c>
      <c r="E6" s="662">
        <v>304.8</v>
      </c>
      <c r="F6" s="662">
        <v>304.8</v>
      </c>
      <c r="G6" s="664">
        <v>178</v>
      </c>
      <c r="H6" s="664">
        <v>178</v>
      </c>
      <c r="I6" s="664">
        <v>178</v>
      </c>
      <c r="J6" s="664">
        <v>178</v>
      </c>
      <c r="K6" s="664">
        <v>178</v>
      </c>
      <c r="L6" s="664">
        <v>355.6</v>
      </c>
      <c r="M6" s="664">
        <v>70</v>
      </c>
      <c r="N6" s="664">
        <v>70</v>
      </c>
      <c r="O6" s="664">
        <v>140</v>
      </c>
      <c r="P6" s="664">
        <v>170</v>
      </c>
      <c r="Q6" s="664">
        <v>342</v>
      </c>
      <c r="R6" s="664">
        <v>170</v>
      </c>
      <c r="S6" s="664">
        <v>140</v>
      </c>
      <c r="T6" s="664">
        <v>177.8</v>
      </c>
      <c r="U6" s="662">
        <v>90</v>
      </c>
      <c r="V6" s="664">
        <v>70</v>
      </c>
      <c r="W6" s="662">
        <v>70</v>
      </c>
      <c r="X6" s="664">
        <v>275</v>
      </c>
      <c r="Y6" s="664">
        <v>275</v>
      </c>
      <c r="Z6" s="662">
        <v>275</v>
      </c>
      <c r="AA6" s="664">
        <v>380</v>
      </c>
      <c r="AB6" s="664">
        <v>380</v>
      </c>
      <c r="AC6" s="662">
        <v>310</v>
      </c>
      <c r="AD6" s="664">
        <v>160</v>
      </c>
      <c r="AE6" s="664">
        <v>340</v>
      </c>
      <c r="AF6" s="664">
        <v>340</v>
      </c>
      <c r="AG6" s="664">
        <v>178</v>
      </c>
    </row>
    <row r="7" spans="1:33" ht="15.75" customHeight="1">
      <c r="A7" s="728" t="s">
        <v>567</v>
      </c>
      <c r="B7" s="662">
        <v>3.11</v>
      </c>
      <c r="C7" s="662">
        <v>3.65</v>
      </c>
      <c r="D7" s="664">
        <v>2.4815800000000001</v>
      </c>
      <c r="E7" s="664">
        <v>2.4815800000000001</v>
      </c>
      <c r="F7" s="664">
        <v>2.4815800000000001</v>
      </c>
      <c r="G7" s="664">
        <v>1.63</v>
      </c>
      <c r="H7" s="664">
        <v>1.63</v>
      </c>
      <c r="I7" s="664">
        <v>1.63</v>
      </c>
      <c r="J7" s="664">
        <v>1.63</v>
      </c>
      <c r="K7" s="664">
        <v>1.63</v>
      </c>
      <c r="L7" s="664">
        <v>4.2699999999999996</v>
      </c>
      <c r="M7" s="664">
        <v>1.905</v>
      </c>
      <c r="N7" s="664">
        <v>1.905</v>
      </c>
      <c r="O7" s="664">
        <v>1.56</v>
      </c>
      <c r="P7" s="664">
        <v>1.78</v>
      </c>
      <c r="Q7" s="664">
        <v>3.8849999999999998</v>
      </c>
      <c r="R7" s="664">
        <v>1.78</v>
      </c>
      <c r="S7" s="664">
        <v>1.56</v>
      </c>
      <c r="T7" s="664">
        <v>1.8029999999999999</v>
      </c>
      <c r="U7" s="662">
        <v>2</v>
      </c>
      <c r="V7" s="664">
        <v>1.9</v>
      </c>
      <c r="W7" s="662">
        <v>1.84</v>
      </c>
      <c r="X7" s="664">
        <v>3.83</v>
      </c>
      <c r="Y7" s="664">
        <v>3.83</v>
      </c>
      <c r="Z7" s="662">
        <v>3.75</v>
      </c>
      <c r="AA7" s="664">
        <v>3.875</v>
      </c>
      <c r="AB7" s="664">
        <v>3.875</v>
      </c>
      <c r="AC7" s="662">
        <v>4.2</v>
      </c>
      <c r="AD7" s="664">
        <v>1.8</v>
      </c>
      <c r="AE7" s="664">
        <v>4.0380000000000003</v>
      </c>
      <c r="AF7" s="664">
        <v>4.0380000000000003</v>
      </c>
      <c r="AG7" s="664">
        <v>1.9950000000000001</v>
      </c>
    </row>
    <row r="8" spans="1:33" ht="20.25" customHeight="1">
      <c r="A8" s="809" t="s">
        <v>568</v>
      </c>
      <c r="B8" s="673"/>
      <c r="C8" s="673"/>
      <c r="D8" s="673"/>
      <c r="E8" s="673"/>
      <c r="F8" s="673"/>
      <c r="G8" s="673"/>
      <c r="H8" s="673"/>
      <c r="I8" s="673"/>
      <c r="J8" s="673"/>
      <c r="K8" s="673"/>
      <c r="L8" s="673"/>
      <c r="M8" s="673"/>
      <c r="N8" s="673"/>
      <c r="O8" s="673"/>
      <c r="P8" s="673"/>
      <c r="Q8" s="673"/>
      <c r="R8" s="673"/>
      <c r="S8" s="673"/>
      <c r="T8" s="673"/>
      <c r="U8" s="673"/>
      <c r="V8" s="673"/>
      <c r="W8" s="673"/>
      <c r="X8" s="673"/>
      <c r="Y8" s="673"/>
      <c r="Z8" s="673"/>
      <c r="AA8" s="673"/>
      <c r="AB8" s="673"/>
      <c r="AC8" s="673"/>
      <c r="AD8" s="673"/>
      <c r="AE8" s="673"/>
      <c r="AF8" s="673"/>
      <c r="AG8" s="673"/>
    </row>
    <row r="9" spans="1:33" ht="15.75" customHeight="1">
      <c r="A9" s="728" t="s">
        <v>569</v>
      </c>
      <c r="B9" s="688">
        <v>1670</v>
      </c>
      <c r="C9" s="688">
        <v>1670</v>
      </c>
      <c r="D9" s="808">
        <v>44497.4</v>
      </c>
      <c r="E9" s="808">
        <v>44497.4</v>
      </c>
      <c r="F9" s="808">
        <v>44497.4</v>
      </c>
      <c r="G9" s="786">
        <v>6830</v>
      </c>
      <c r="H9" s="786">
        <v>6830</v>
      </c>
      <c r="I9" s="786">
        <v>6830</v>
      </c>
      <c r="J9" s="786">
        <v>6830</v>
      </c>
      <c r="K9" s="786">
        <v>6830</v>
      </c>
      <c r="L9" s="786">
        <v>32088</v>
      </c>
      <c r="M9" s="786">
        <v>6064</v>
      </c>
      <c r="N9" s="786">
        <v>6064</v>
      </c>
      <c r="O9" s="786">
        <v>6000</v>
      </c>
      <c r="P9" s="786">
        <v>5500</v>
      </c>
      <c r="Q9" s="786">
        <v>58425</v>
      </c>
      <c r="R9" s="786">
        <v>5500</v>
      </c>
      <c r="S9" s="786">
        <v>6000</v>
      </c>
      <c r="T9" s="786">
        <v>5776.5</v>
      </c>
      <c r="U9" s="688">
        <v>8050</v>
      </c>
      <c r="V9" s="786">
        <v>6064</v>
      </c>
      <c r="W9" s="688">
        <v>6064</v>
      </c>
      <c r="X9" s="786">
        <v>24700</v>
      </c>
      <c r="Y9" s="786">
        <v>24700</v>
      </c>
      <c r="Z9" s="688">
        <v>32550</v>
      </c>
      <c r="AA9" s="786">
        <v>50800</v>
      </c>
      <c r="AB9" s="786">
        <v>50800</v>
      </c>
      <c r="AC9" s="688">
        <v>57500</v>
      </c>
      <c r="AD9" s="786">
        <v>2550</v>
      </c>
      <c r="AE9" s="786">
        <v>83000</v>
      </c>
      <c r="AF9" s="786">
        <v>83000</v>
      </c>
      <c r="AG9" s="786">
        <v>10120</v>
      </c>
    </row>
    <row r="10" spans="1:33" ht="16.5" customHeight="1">
      <c r="A10" s="728" t="s">
        <v>570</v>
      </c>
      <c r="B10" s="662">
        <v>30</v>
      </c>
      <c r="C10" s="662">
        <v>30</v>
      </c>
      <c r="D10" s="664">
        <v>0.5</v>
      </c>
      <c r="E10" s="664">
        <v>0.5</v>
      </c>
      <c r="F10" s="664">
        <v>0.5</v>
      </c>
      <c r="G10" s="664">
        <v>3</v>
      </c>
      <c r="H10" s="664">
        <v>3</v>
      </c>
      <c r="I10" s="664">
        <v>3</v>
      </c>
      <c r="J10" s="664">
        <v>3</v>
      </c>
      <c r="K10" s="664">
        <v>3</v>
      </c>
      <c r="L10" s="664">
        <v>1.25</v>
      </c>
      <c r="M10" s="664">
        <v>1.1000000000000001</v>
      </c>
      <c r="N10" s="664">
        <v>1.1000000000000001</v>
      </c>
      <c r="O10" s="664">
        <v>1</v>
      </c>
      <c r="P10" s="664">
        <v>1</v>
      </c>
      <c r="Q10" s="664">
        <v>2</v>
      </c>
      <c r="R10" s="664">
        <v>1</v>
      </c>
      <c r="S10" s="664">
        <v>1</v>
      </c>
      <c r="T10" s="664">
        <v>3.49</v>
      </c>
      <c r="U10" s="662">
        <v>0.96499999999999997</v>
      </c>
      <c r="V10" s="664">
        <v>1.1000000000000001</v>
      </c>
      <c r="W10" s="662">
        <v>1.1000000000000001</v>
      </c>
      <c r="X10" s="664">
        <v>4.9000000000000004</v>
      </c>
      <c r="Y10" s="664">
        <v>4.9000000000000004</v>
      </c>
      <c r="Z10" s="662">
        <v>2</v>
      </c>
      <c r="AA10" s="664">
        <v>4.5</v>
      </c>
      <c r="AB10" s="664">
        <v>4.5</v>
      </c>
      <c r="AC10" s="662">
        <v>2</v>
      </c>
      <c r="AD10" s="664">
        <v>2.5</v>
      </c>
      <c r="AE10" s="664">
        <v>2.35</v>
      </c>
      <c r="AF10" s="664">
        <v>2.35</v>
      </c>
      <c r="AG10" s="664">
        <v>2.5</v>
      </c>
    </row>
    <row r="11" spans="1:33" ht="15.75" customHeight="1">
      <c r="A11" s="728" t="str">
        <f>"Raw acceleration at ignition: [m/s"&amp;CHAR(178)&amp;"]"</f>
        <v>Raw acceleration at ignition: [m/s²]</v>
      </c>
      <c r="B11" s="676">
        <f t="shared" ref="B11:AG11" si="0">B9/B3</f>
        <v>5.0606060606060606</v>
      </c>
      <c r="C11" s="676">
        <f t="shared" si="0"/>
        <v>3.0868761552680222</v>
      </c>
      <c r="D11" s="679">
        <f t="shared" si="0"/>
        <v>152.80385706338467</v>
      </c>
      <c r="E11" s="679">
        <f t="shared" si="0"/>
        <v>152.80385706338467</v>
      </c>
      <c r="F11" s="679">
        <f t="shared" si="0"/>
        <v>152.80385706338467</v>
      </c>
      <c r="G11" s="679">
        <f t="shared" si="0"/>
        <v>151.33386510679784</v>
      </c>
      <c r="H11" s="679">
        <f t="shared" si="0"/>
        <v>151.33386510679784</v>
      </c>
      <c r="I11" s="679">
        <f t="shared" si="0"/>
        <v>151.33386510679784</v>
      </c>
      <c r="J11" s="679">
        <f t="shared" si="0"/>
        <v>151.33386510679784</v>
      </c>
      <c r="K11" s="679">
        <f t="shared" si="0"/>
        <v>151.33386510679784</v>
      </c>
      <c r="L11" s="679">
        <f t="shared" si="0"/>
        <v>55.324137931034485</v>
      </c>
      <c r="M11" s="679">
        <f t="shared" si="0"/>
        <v>383.79746835443035</v>
      </c>
      <c r="N11" s="679">
        <f t="shared" si="0"/>
        <v>335.54670208056666</v>
      </c>
      <c r="O11" s="679">
        <f t="shared" si="0"/>
        <v>226.41509433962264</v>
      </c>
      <c r="P11" s="679">
        <f t="shared" si="0"/>
        <v>119.56521739130434</v>
      </c>
      <c r="Q11" s="679">
        <f t="shared" si="0"/>
        <v>112.35576923076923</v>
      </c>
      <c r="R11" s="679">
        <f t="shared" si="0"/>
        <v>119.56521739130434</v>
      </c>
      <c r="S11" s="679">
        <f t="shared" si="0"/>
        <v>226.41509433962264</v>
      </c>
      <c r="T11" s="679">
        <f t="shared" si="0"/>
        <v>115.53</v>
      </c>
      <c r="U11" s="676">
        <f t="shared" si="0"/>
        <v>479.16666666666663</v>
      </c>
      <c r="V11" s="679">
        <f t="shared" si="0"/>
        <v>404.26666666666665</v>
      </c>
      <c r="W11" s="676">
        <f t="shared" si="0"/>
        <v>369.75609756097566</v>
      </c>
      <c r="X11" s="679">
        <f t="shared" si="0"/>
        <v>77.672955974842765</v>
      </c>
      <c r="Y11" s="679">
        <f t="shared" si="0"/>
        <v>77.672955974842765</v>
      </c>
      <c r="Z11" s="676">
        <f t="shared" si="0"/>
        <v>109.5959595959596</v>
      </c>
      <c r="AA11" s="679">
        <f t="shared" si="0"/>
        <v>77.32115677321157</v>
      </c>
      <c r="AB11" s="679">
        <f t="shared" si="0"/>
        <v>77.32115677321157</v>
      </c>
      <c r="AC11" s="676">
        <f t="shared" si="0"/>
        <v>110.57692307692308</v>
      </c>
      <c r="AD11" s="679">
        <f t="shared" si="0"/>
        <v>68</v>
      </c>
      <c r="AE11" s="679">
        <f t="shared" si="0"/>
        <v>202.4390243902439</v>
      </c>
      <c r="AF11" s="679">
        <f t="shared" si="0"/>
        <v>202.4390243902439</v>
      </c>
      <c r="AG11" s="679">
        <f t="shared" si="0"/>
        <v>203.2128514056225</v>
      </c>
    </row>
    <row r="12" spans="1:33" ht="15.75" customHeight="1">
      <c r="A12" s="728" t="s">
        <v>571</v>
      </c>
      <c r="B12" s="676">
        <f t="shared" ref="B12:AG12" si="1">B10*B9/(9.81*(B3-B4))</f>
        <v>204.28134556574923</v>
      </c>
      <c r="C12" s="676">
        <f t="shared" si="1"/>
        <v>204.28134556574923</v>
      </c>
      <c r="D12" s="678">
        <f t="shared" si="1"/>
        <v>184.61223150315874</v>
      </c>
      <c r="E12" s="678">
        <f t="shared" si="1"/>
        <v>184.61223150315874</v>
      </c>
      <c r="F12" s="678">
        <f t="shared" si="1"/>
        <v>184.61223150315874</v>
      </c>
      <c r="G12" s="679">
        <f t="shared" si="1"/>
        <v>225.2923110010268</v>
      </c>
      <c r="H12" s="679">
        <f t="shared" si="1"/>
        <v>225.2923110010268</v>
      </c>
      <c r="I12" s="679">
        <f t="shared" si="1"/>
        <v>225.2923110010268</v>
      </c>
      <c r="J12" s="679">
        <f t="shared" si="1"/>
        <v>225.2923110010268</v>
      </c>
      <c r="K12" s="679">
        <f t="shared" si="1"/>
        <v>225.2923110010268</v>
      </c>
      <c r="L12" s="679">
        <f t="shared" si="1"/>
        <v>214.06727828746151</v>
      </c>
      <c r="M12" s="679">
        <f t="shared" si="1"/>
        <v>213.82365574853014</v>
      </c>
      <c r="N12" s="679">
        <f t="shared" si="1"/>
        <v>213.82365574853029</v>
      </c>
      <c r="O12" s="679">
        <f t="shared" si="1"/>
        <v>203.87359836901121</v>
      </c>
      <c r="P12" s="679">
        <f t="shared" si="1"/>
        <v>224.26095820591232</v>
      </c>
      <c r="Q12" s="679">
        <f t="shared" si="1"/>
        <v>208.97043832823647</v>
      </c>
      <c r="R12" s="679">
        <f t="shared" si="1"/>
        <v>224.26095820591232</v>
      </c>
      <c r="S12" s="679">
        <f t="shared" si="1"/>
        <v>203.87359836901121</v>
      </c>
      <c r="T12" s="679">
        <f t="shared" si="1"/>
        <v>244.64813601281492</v>
      </c>
      <c r="U12" s="676">
        <f t="shared" si="1"/>
        <v>208.38698428027251</v>
      </c>
      <c r="V12" s="679">
        <f t="shared" si="1"/>
        <v>213.82365574853029</v>
      </c>
      <c r="W12" s="676">
        <f t="shared" si="1"/>
        <v>213.8236557485304</v>
      </c>
      <c r="X12" s="679">
        <f t="shared" si="1"/>
        <v>197.39857288481144</v>
      </c>
      <c r="Y12" s="679">
        <f t="shared" si="1"/>
        <v>197.39857288481144</v>
      </c>
      <c r="Z12" s="679">
        <f t="shared" si="1"/>
        <v>214.06727828746176</v>
      </c>
      <c r="AA12" s="679">
        <f t="shared" si="1"/>
        <v>210.31364885900712</v>
      </c>
      <c r="AB12" s="679">
        <f t="shared" si="1"/>
        <v>210.31364885900712</v>
      </c>
      <c r="AC12" s="679">
        <f t="shared" si="1"/>
        <v>234.4546381243629</v>
      </c>
      <c r="AD12" s="679">
        <f t="shared" si="1"/>
        <v>216.61569826707441</v>
      </c>
      <c r="AE12" s="679">
        <f t="shared" si="1"/>
        <v>220.91969645486463</v>
      </c>
      <c r="AF12" s="679">
        <f t="shared" si="1"/>
        <v>220.91969645486463</v>
      </c>
      <c r="AG12" s="679">
        <f t="shared" si="1"/>
        <v>224.26095820591232</v>
      </c>
    </row>
    <row r="13" spans="1:33" ht="15.75" customHeight="1">
      <c r="A13" s="661" t="s">
        <v>572</v>
      </c>
      <c r="B13" s="676">
        <f t="shared" ref="B13:AG13" si="2">B12*9.81*LN(B3/B4)</f>
        <v>157.87687921764123</v>
      </c>
      <c r="C13" s="676">
        <f t="shared" si="2"/>
        <v>94.814276783297416</v>
      </c>
      <c r="D13" s="678">
        <f t="shared" si="2"/>
        <v>78.060307207011164</v>
      </c>
      <c r="E13" s="678">
        <f t="shared" si="2"/>
        <v>78.060307207011164</v>
      </c>
      <c r="F13" s="678">
        <f t="shared" si="2"/>
        <v>78.060307207011164</v>
      </c>
      <c r="G13" s="678">
        <f t="shared" si="2"/>
        <v>508.19703172858306</v>
      </c>
      <c r="H13" s="678">
        <f t="shared" si="2"/>
        <v>508.19703172858306</v>
      </c>
      <c r="I13" s="678">
        <f t="shared" si="2"/>
        <v>508.19703172858306</v>
      </c>
      <c r="J13" s="678">
        <f t="shared" si="2"/>
        <v>508.19703172858306</v>
      </c>
      <c r="K13" s="678">
        <f t="shared" si="2"/>
        <v>508.19703172858306</v>
      </c>
      <c r="L13" s="678">
        <f t="shared" si="2"/>
        <v>70.319480754965085</v>
      </c>
      <c r="M13" s="678">
        <f t="shared" si="2"/>
        <v>471.38979053729389</v>
      </c>
      <c r="N13" s="678">
        <f t="shared" si="2"/>
        <v>405.97066109894888</v>
      </c>
      <c r="O13" s="678">
        <f t="shared" si="2"/>
        <v>240.28862368412643</v>
      </c>
      <c r="P13" s="678">
        <f t="shared" si="2"/>
        <v>122.93700846780459</v>
      </c>
      <c r="Q13" s="678">
        <f t="shared" si="2"/>
        <v>238.00860285293976</v>
      </c>
      <c r="R13" s="678">
        <f t="shared" si="2"/>
        <v>122.93700846780459</v>
      </c>
      <c r="S13" s="678">
        <f t="shared" si="2"/>
        <v>240.28862368412643</v>
      </c>
      <c r="T13" s="678">
        <f t="shared" si="2"/>
        <v>441.41448315258862</v>
      </c>
      <c r="U13" s="676">
        <f t="shared" si="2"/>
        <v>524.21281269678639</v>
      </c>
      <c r="V13" s="678">
        <f t="shared" si="2"/>
        <v>499.77067746366367</v>
      </c>
      <c r="W13" s="676">
        <f t="shared" si="2"/>
        <v>452.14089871454996</v>
      </c>
      <c r="X13" s="678">
        <f t="shared" si="2"/>
        <v>423.75792989921013</v>
      </c>
      <c r="Y13" s="678">
        <f t="shared" si="2"/>
        <v>423.75792989921013</v>
      </c>
      <c r="Z13" s="678">
        <f t="shared" si="2"/>
        <v>231.49524304410127</v>
      </c>
      <c r="AA13" s="678">
        <f t="shared" si="2"/>
        <v>381.06631623762047</v>
      </c>
      <c r="AB13" s="678">
        <f t="shared" si="2"/>
        <v>381.06631623762047</v>
      </c>
      <c r="AC13" s="678">
        <f t="shared" si="2"/>
        <v>232.52106880414826</v>
      </c>
      <c r="AD13" s="678">
        <f t="shared" si="2"/>
        <v>177.18591899548338</v>
      </c>
      <c r="AE13" s="678">
        <f t="shared" si="2"/>
        <v>537.1160418843175</v>
      </c>
      <c r="AF13" s="678">
        <f t="shared" si="2"/>
        <v>537.1160418843175</v>
      </c>
      <c r="AG13" s="678">
        <f t="shared" si="2"/>
        <v>577.64319325681538</v>
      </c>
    </row>
    <row r="14" spans="1:33" ht="15.75" customHeight="1">
      <c r="A14" s="728" t="s">
        <v>573</v>
      </c>
      <c r="B14" s="688">
        <v>2</v>
      </c>
      <c r="C14" s="688">
        <v>2</v>
      </c>
      <c r="D14" s="670" t="s">
        <v>293</v>
      </c>
      <c r="E14" s="670" t="s">
        <v>293</v>
      </c>
      <c r="F14" s="670" t="s">
        <v>293</v>
      </c>
      <c r="G14" s="670" t="s">
        <v>293</v>
      </c>
      <c r="H14" s="670" t="s">
        <v>293</v>
      </c>
      <c r="I14" s="670" t="s">
        <v>293</v>
      </c>
      <c r="J14" s="670" t="s">
        <v>293</v>
      </c>
      <c r="K14" s="670" t="s">
        <v>293</v>
      </c>
      <c r="L14" s="807">
        <v>0.5</v>
      </c>
      <c r="M14" s="670" t="s">
        <v>293</v>
      </c>
      <c r="N14" s="670" t="s">
        <v>293</v>
      </c>
      <c r="O14" s="718" t="s">
        <v>293</v>
      </c>
      <c r="P14" s="719" t="s">
        <v>293</v>
      </c>
      <c r="Q14" s="670" t="s">
        <v>293</v>
      </c>
      <c r="R14" s="719" t="s">
        <v>293</v>
      </c>
      <c r="S14" s="719" t="s">
        <v>293</v>
      </c>
      <c r="T14" s="718" t="s">
        <v>293</v>
      </c>
      <c r="U14" s="719" t="s">
        <v>293</v>
      </c>
      <c r="V14" s="670" t="s">
        <v>293</v>
      </c>
      <c r="W14" s="670" t="s">
        <v>293</v>
      </c>
      <c r="X14" s="670" t="s">
        <v>293</v>
      </c>
      <c r="Y14" s="670" t="s">
        <v>293</v>
      </c>
      <c r="Z14" s="670" t="s">
        <v>293</v>
      </c>
      <c r="AA14" s="807">
        <v>0.4</v>
      </c>
      <c r="AB14" s="807">
        <v>0.4</v>
      </c>
      <c r="AC14" s="807">
        <v>0.5</v>
      </c>
      <c r="AD14" s="670" t="s">
        <v>293</v>
      </c>
      <c r="AE14" s="670" t="s">
        <v>293</v>
      </c>
      <c r="AF14" s="718" t="s">
        <v>293</v>
      </c>
      <c r="AG14" s="718" t="s">
        <v>293</v>
      </c>
    </row>
    <row r="15" spans="1:33" ht="16.5" customHeight="1">
      <c r="A15" s="776" t="s">
        <v>574</v>
      </c>
      <c r="B15" s="688" t="s">
        <v>293</v>
      </c>
      <c r="C15" s="688" t="s">
        <v>293</v>
      </c>
      <c r="D15" s="679">
        <v>8899.49</v>
      </c>
      <c r="E15" s="679">
        <v>8899.49</v>
      </c>
      <c r="F15" s="679">
        <v>8899.49</v>
      </c>
      <c r="G15" s="670" t="s">
        <v>293</v>
      </c>
      <c r="H15" s="670" t="s">
        <v>293</v>
      </c>
      <c r="I15" s="670" t="s">
        <v>293</v>
      </c>
      <c r="J15" s="670" t="s">
        <v>293</v>
      </c>
      <c r="K15" s="670" t="s">
        <v>293</v>
      </c>
      <c r="L15" s="664">
        <v>2436</v>
      </c>
      <c r="M15" s="670" t="s">
        <v>293</v>
      </c>
      <c r="N15" s="670" t="s">
        <v>293</v>
      </c>
      <c r="O15" s="688">
        <v>625</v>
      </c>
      <c r="P15" s="688">
        <v>813</v>
      </c>
      <c r="Q15" s="688">
        <v>6525</v>
      </c>
      <c r="R15" s="688">
        <v>813</v>
      </c>
      <c r="S15" s="688">
        <v>625</v>
      </c>
      <c r="T15" s="670" t="s">
        <v>293</v>
      </c>
      <c r="U15" s="719" t="s">
        <v>293</v>
      </c>
      <c r="V15" s="670" t="s">
        <v>293</v>
      </c>
      <c r="W15" s="668" t="s">
        <v>293</v>
      </c>
      <c r="X15" s="718" t="s">
        <v>293</v>
      </c>
      <c r="Y15" s="718" t="s">
        <v>293</v>
      </c>
      <c r="Z15" s="688">
        <v>17300</v>
      </c>
      <c r="AA15" s="718" t="s">
        <v>293</v>
      </c>
      <c r="AB15" s="718" t="s">
        <v>293</v>
      </c>
      <c r="AC15" s="688">
        <v>25875</v>
      </c>
      <c r="AD15" s="664">
        <v>200</v>
      </c>
      <c r="AE15" s="718" t="s">
        <v>293</v>
      </c>
      <c r="AF15" s="718" t="s">
        <v>293</v>
      </c>
      <c r="AG15" s="670" t="s">
        <v>293</v>
      </c>
    </row>
    <row r="16" spans="1:33" ht="18" customHeight="1">
      <c r="A16" s="776" t="s">
        <v>575</v>
      </c>
      <c r="B16" s="662" t="s">
        <v>293</v>
      </c>
      <c r="C16" s="662" t="s">
        <v>293</v>
      </c>
      <c r="D16" s="664">
        <v>3.5</v>
      </c>
      <c r="E16" s="664">
        <v>3.5</v>
      </c>
      <c r="F16" s="664">
        <v>3.5</v>
      </c>
      <c r="G16" s="670" t="s">
        <v>293</v>
      </c>
      <c r="H16" s="670" t="s">
        <v>293</v>
      </c>
      <c r="I16" s="670" t="s">
        <v>293</v>
      </c>
      <c r="J16" s="670" t="s">
        <v>293</v>
      </c>
      <c r="K16" s="670" t="s">
        <v>293</v>
      </c>
      <c r="L16" s="664">
        <v>20</v>
      </c>
      <c r="M16" s="670" t="s">
        <v>293</v>
      </c>
      <c r="N16" s="670" t="s">
        <v>293</v>
      </c>
      <c r="O16" s="662">
        <v>8</v>
      </c>
      <c r="P16" s="662">
        <v>23</v>
      </c>
      <c r="Q16" s="662">
        <v>22</v>
      </c>
      <c r="R16" s="662">
        <v>23</v>
      </c>
      <c r="S16" s="662">
        <v>8</v>
      </c>
      <c r="T16" s="670" t="s">
        <v>293</v>
      </c>
      <c r="U16" s="668" t="s">
        <v>293</v>
      </c>
      <c r="V16" s="670" t="s">
        <v>293</v>
      </c>
      <c r="W16" s="668" t="s">
        <v>293</v>
      </c>
      <c r="X16" s="670" t="s">
        <v>293</v>
      </c>
      <c r="Y16" s="670" t="s">
        <v>293</v>
      </c>
      <c r="Z16" s="662">
        <v>6.25</v>
      </c>
      <c r="AA16" s="670" t="s">
        <v>293</v>
      </c>
      <c r="AB16" s="670" t="s">
        <v>293</v>
      </c>
      <c r="AC16" s="662">
        <v>8</v>
      </c>
      <c r="AD16" s="664">
        <v>40</v>
      </c>
      <c r="AE16" s="670" t="s">
        <v>293</v>
      </c>
      <c r="AF16" s="670" t="s">
        <v>293</v>
      </c>
      <c r="AG16" s="670" t="s">
        <v>293</v>
      </c>
    </row>
    <row r="17" spans="1:33" ht="18" customHeight="1">
      <c r="A17" s="728" t="s">
        <v>576</v>
      </c>
      <c r="B17" s="777" t="s">
        <v>293</v>
      </c>
      <c r="C17" s="777" t="s">
        <v>293</v>
      </c>
      <c r="D17" s="777">
        <f>D16*D15/(9.81*(D4-D5))</f>
        <v>184.62317347428825</v>
      </c>
      <c r="E17" s="777">
        <f>E16*E15/(9.81*(E4-E5))</f>
        <v>184.62317347428825</v>
      </c>
      <c r="F17" s="777">
        <f>F16*F15/(9.81*(F4-F5))</f>
        <v>184.62317347428825</v>
      </c>
      <c r="G17" s="670" t="s">
        <v>293</v>
      </c>
      <c r="H17" s="670" t="s">
        <v>293</v>
      </c>
      <c r="I17" s="670" t="s">
        <v>293</v>
      </c>
      <c r="J17" s="670" t="s">
        <v>293</v>
      </c>
      <c r="K17" s="670" t="s">
        <v>293</v>
      </c>
      <c r="L17" s="777">
        <f>L16*L15/(9.81*(L4-L5))</f>
        <v>214.06727828746241</v>
      </c>
      <c r="M17" s="670" t="s">
        <v>293</v>
      </c>
      <c r="N17" s="670" t="s">
        <v>293</v>
      </c>
      <c r="O17" s="777">
        <f>O16*O15/(9.81*(O4-O5))</f>
        <v>203.87359836901121</v>
      </c>
      <c r="P17" s="777">
        <f>P16*P15/(9.81*(P4-P5))</f>
        <v>224.24896564130239</v>
      </c>
      <c r="Q17" s="777">
        <f>Q16*Q15/(9.81*(Q4-Q5))</f>
        <v>209.04325032765399</v>
      </c>
      <c r="R17" s="777">
        <f>R16*R15/(9.81*(R4-R5))</f>
        <v>224.24896564130239</v>
      </c>
      <c r="S17" s="777">
        <f>S16*S15/(9.81*(S4-S5))</f>
        <v>203.87359836901121</v>
      </c>
      <c r="T17" s="670" t="s">
        <v>293</v>
      </c>
      <c r="U17" s="684" t="s">
        <v>293</v>
      </c>
      <c r="V17" s="670" t="s">
        <v>293</v>
      </c>
      <c r="W17" s="684" t="s">
        <v>293</v>
      </c>
      <c r="X17" s="670" t="s">
        <v>293</v>
      </c>
      <c r="Y17" s="670" t="s">
        <v>293</v>
      </c>
      <c r="Z17" s="777">
        <f>Z16*Z15/(9.81*(Z4-Z5))</f>
        <v>214.01779440436249</v>
      </c>
      <c r="AA17" s="670" t="s">
        <v>293</v>
      </c>
      <c r="AB17" s="670" t="s">
        <v>293</v>
      </c>
      <c r="AC17" s="777">
        <f>AC16*AC15/(9.81*(AC4-AC5))</f>
        <v>175.84097859327215</v>
      </c>
      <c r="AD17" s="777">
        <f>AD16*AD15/(9.81*(AD4-AD5))</f>
        <v>220.40389012866078</v>
      </c>
      <c r="AE17" s="670" t="s">
        <v>293</v>
      </c>
      <c r="AF17" s="670" t="s">
        <v>293</v>
      </c>
      <c r="AG17" s="670" t="s">
        <v>293</v>
      </c>
    </row>
    <row r="18" spans="1:33" ht="18" customHeight="1">
      <c r="A18" s="728" t="s">
        <v>577</v>
      </c>
      <c r="B18" s="777" t="s">
        <v>293</v>
      </c>
      <c r="C18" s="777" t="s">
        <v>293</v>
      </c>
      <c r="D18" s="777">
        <f>D17*9.81*LN(D4/D5)</f>
        <v>115.26523023567704</v>
      </c>
      <c r="E18" s="777">
        <f>E17*9.81*LN(E4/E5)</f>
        <v>115.26523023567704</v>
      </c>
      <c r="F18" s="777">
        <f>F17*9.81*LN(F4/F5)</f>
        <v>115.26523023567704</v>
      </c>
      <c r="G18" s="670" t="s">
        <v>293</v>
      </c>
      <c r="H18" s="670" t="s">
        <v>293</v>
      </c>
      <c r="I18" s="670" t="s">
        <v>293</v>
      </c>
      <c r="J18" s="670" t="s">
        <v>293</v>
      </c>
      <c r="K18" s="670" t="s">
        <v>293</v>
      </c>
      <c r="L18" s="777">
        <f>L17*9.81*LN(L4/L5)</f>
        <v>88.707890667183491</v>
      </c>
      <c r="M18" s="670" t="s">
        <v>293</v>
      </c>
      <c r="N18" s="670" t="s">
        <v>293</v>
      </c>
      <c r="O18" s="777">
        <f>O17*9.81*LN(O4/O5)</f>
        <v>224.9559668533806</v>
      </c>
      <c r="P18" s="777">
        <f>P17*9.81*LN(P4/P5)</f>
        <v>478.28275054601147</v>
      </c>
      <c r="Q18" s="777">
        <f>Q17*9.81*LN(Q4/Q5)</f>
        <v>336.14784043209204</v>
      </c>
      <c r="R18" s="777">
        <f>R17*9.81*LN(R4/R5)</f>
        <v>478.28275054601147</v>
      </c>
      <c r="S18" s="777">
        <f>S17*9.81*LN(S4/S5)</f>
        <v>224.9559668533806</v>
      </c>
      <c r="T18" s="670" t="s">
        <v>293</v>
      </c>
      <c r="U18" s="684" t="s">
        <v>293</v>
      </c>
      <c r="V18" s="670" t="s">
        <v>293</v>
      </c>
      <c r="W18" s="684" t="s">
        <v>293</v>
      </c>
      <c r="X18" s="670" t="s">
        <v>293</v>
      </c>
      <c r="Y18" s="670" t="s">
        <v>293</v>
      </c>
      <c r="Z18" s="777">
        <f>Z17*9.81*LN(Z4/Z5)</f>
        <v>451.78733836841678</v>
      </c>
      <c r="AA18" s="670" t="s">
        <v>293</v>
      </c>
      <c r="AB18" s="670" t="s">
        <v>293</v>
      </c>
      <c r="AC18" s="777">
        <f>AC17*9.81*LN(AC4/AC5)</f>
        <v>508.52920688061226</v>
      </c>
      <c r="AD18" s="777">
        <f>AD17*9.81*LN(AD4/AD5)</f>
        <v>245.28569526007627</v>
      </c>
      <c r="AE18" s="670" t="s">
        <v>293</v>
      </c>
      <c r="AF18" s="670" t="s">
        <v>293</v>
      </c>
      <c r="AG18" s="670" t="s">
        <v>293</v>
      </c>
    </row>
    <row r="19" spans="1:33" ht="18" customHeight="1">
      <c r="A19" s="728" t="s">
        <v>578</v>
      </c>
      <c r="B19" s="676">
        <f t="shared" ref="B19:AG19" si="3">IF(ISNUMBER(B18),B13+B18,B13)</f>
        <v>157.87687921764123</v>
      </c>
      <c r="C19" s="676">
        <f t="shared" si="3"/>
        <v>94.814276783297416</v>
      </c>
      <c r="D19" s="692">
        <f t="shared" si="3"/>
        <v>193.32553744268819</v>
      </c>
      <c r="E19" s="692">
        <f t="shared" si="3"/>
        <v>193.32553744268819</v>
      </c>
      <c r="F19" s="692">
        <f t="shared" si="3"/>
        <v>193.32553744268819</v>
      </c>
      <c r="G19" s="692">
        <f t="shared" si="3"/>
        <v>508.19703172858306</v>
      </c>
      <c r="H19" s="692">
        <f t="shared" si="3"/>
        <v>508.19703172858306</v>
      </c>
      <c r="I19" s="692">
        <f t="shared" si="3"/>
        <v>508.19703172858306</v>
      </c>
      <c r="J19" s="692">
        <f t="shared" si="3"/>
        <v>508.19703172858306</v>
      </c>
      <c r="K19" s="692">
        <f t="shared" si="3"/>
        <v>508.19703172858306</v>
      </c>
      <c r="L19" s="692">
        <f t="shared" si="3"/>
        <v>159.02737142214858</v>
      </c>
      <c r="M19" s="692">
        <f t="shared" si="3"/>
        <v>471.38979053729389</v>
      </c>
      <c r="N19" s="692">
        <f t="shared" si="3"/>
        <v>405.97066109894888</v>
      </c>
      <c r="O19" s="692">
        <f t="shared" si="3"/>
        <v>465.24459053750707</v>
      </c>
      <c r="P19" s="692">
        <f t="shared" si="3"/>
        <v>601.21975901381609</v>
      </c>
      <c r="Q19" s="692">
        <f t="shared" si="3"/>
        <v>574.15644328503186</v>
      </c>
      <c r="R19" s="692">
        <f t="shared" si="3"/>
        <v>601.21975901381609</v>
      </c>
      <c r="S19" s="692">
        <f t="shared" si="3"/>
        <v>465.24459053750707</v>
      </c>
      <c r="T19" s="692">
        <f t="shared" si="3"/>
        <v>441.41448315258862</v>
      </c>
      <c r="U19" s="676">
        <f t="shared" si="3"/>
        <v>524.21281269678639</v>
      </c>
      <c r="V19" s="692">
        <f t="shared" si="3"/>
        <v>499.77067746366367</v>
      </c>
      <c r="W19" s="676">
        <f t="shared" si="3"/>
        <v>452.14089871454996</v>
      </c>
      <c r="X19" s="692">
        <f t="shared" si="3"/>
        <v>423.75792989921013</v>
      </c>
      <c r="Y19" s="692">
        <f t="shared" si="3"/>
        <v>423.75792989921013</v>
      </c>
      <c r="Z19" s="692">
        <f t="shared" si="3"/>
        <v>683.28258141251808</v>
      </c>
      <c r="AA19" s="692">
        <f t="shared" si="3"/>
        <v>381.06631623762047</v>
      </c>
      <c r="AB19" s="692">
        <f t="shared" si="3"/>
        <v>381.06631623762047</v>
      </c>
      <c r="AC19" s="692">
        <f t="shared" si="3"/>
        <v>741.05027568476055</v>
      </c>
      <c r="AD19" s="692">
        <f t="shared" si="3"/>
        <v>422.47161425555964</v>
      </c>
      <c r="AE19" s="692">
        <f t="shared" si="3"/>
        <v>537.1160418843175</v>
      </c>
      <c r="AF19" s="692">
        <f t="shared" si="3"/>
        <v>537.1160418843175</v>
      </c>
      <c r="AG19" s="692">
        <f t="shared" si="3"/>
        <v>577.64319325681538</v>
      </c>
    </row>
    <row r="20" spans="1:33" ht="20.25" customHeight="1">
      <c r="A20" s="805" t="s">
        <v>579</v>
      </c>
      <c r="B20" s="697"/>
      <c r="C20" s="697"/>
      <c r="D20" s="697"/>
      <c r="E20" s="697"/>
      <c r="F20" s="697"/>
      <c r="G20" s="697"/>
      <c r="H20" s="697"/>
      <c r="I20" s="697"/>
      <c r="J20" s="697"/>
      <c r="K20" s="697"/>
      <c r="L20" s="697"/>
      <c r="M20" s="697"/>
      <c r="N20" s="697"/>
      <c r="O20" s="697"/>
      <c r="P20" s="697"/>
      <c r="Q20" s="697"/>
      <c r="R20" s="697"/>
      <c r="S20" s="697"/>
      <c r="T20" s="697"/>
      <c r="U20" s="697"/>
      <c r="V20" s="697"/>
      <c r="W20" s="697"/>
      <c r="X20" s="697"/>
      <c r="Y20" s="697"/>
      <c r="Z20" s="697"/>
      <c r="AA20" s="697"/>
      <c r="AB20" s="697"/>
      <c r="AC20" s="697"/>
      <c r="AD20" s="697"/>
      <c r="AE20" s="697"/>
      <c r="AF20" s="697"/>
      <c r="AG20" s="697"/>
    </row>
    <row r="21" spans="1:33" ht="15.75" customHeight="1">
      <c r="A21" s="728" t="s">
        <v>580</v>
      </c>
      <c r="B21" s="662">
        <f>87.1*1.35</f>
        <v>117.58499999999999</v>
      </c>
      <c r="C21" s="662">
        <f>201.8*1.35</f>
        <v>272.43</v>
      </c>
      <c r="D21" s="664">
        <f>1.28*39</f>
        <v>49.92</v>
      </c>
      <c r="E21" s="664">
        <f>1.28*39</f>
        <v>49.92</v>
      </c>
      <c r="F21" s="664">
        <f>1.28*39</f>
        <v>49.92</v>
      </c>
      <c r="G21" s="664">
        <f>1.41*5.688</f>
        <v>8.0200799999999983</v>
      </c>
      <c r="H21" s="664">
        <f>1.41*5.688</f>
        <v>8.0200799999999983</v>
      </c>
      <c r="I21" s="664">
        <f>1.41*5.688</f>
        <v>8.0200799999999983</v>
      </c>
      <c r="J21" s="664">
        <f>1.41*6.68592</f>
        <v>9.4271472000000003</v>
      </c>
      <c r="K21" s="664">
        <f>1.41*6.68592</f>
        <v>9.4271472000000003</v>
      </c>
      <c r="L21" s="664">
        <f>1.35*201.8</f>
        <v>272.43</v>
      </c>
      <c r="M21" s="664">
        <f>1.31*1.04</f>
        <v>1.3624000000000001</v>
      </c>
      <c r="N21" s="664">
        <f>1.28*0.444</f>
        <v>0.56832000000000005</v>
      </c>
      <c r="O21" s="664">
        <f>1.2*2.05</f>
        <v>2.4599999999999995</v>
      </c>
      <c r="P21" s="664">
        <f>1.2*5.21</f>
        <v>6.2519999999999998</v>
      </c>
      <c r="Q21" s="664">
        <f>1.31*76</f>
        <v>99.56</v>
      </c>
      <c r="R21" s="664">
        <f>1.2*5.21</f>
        <v>6.2519999999999998</v>
      </c>
      <c r="S21" s="664">
        <f>1.2*2.05</f>
        <v>2.4599999999999995</v>
      </c>
      <c r="T21" s="664">
        <f>1.41*6.685952</f>
        <v>9.4271923199999996</v>
      </c>
      <c r="U21" s="662">
        <f>0.91*1.31</f>
        <v>1.1921000000000002</v>
      </c>
      <c r="V21" s="662">
        <f>0.91*1.31</f>
        <v>1.1921000000000002</v>
      </c>
      <c r="W21" s="664">
        <f>1.28*0.444</f>
        <v>0.56832000000000005</v>
      </c>
      <c r="X21" s="664">
        <f>1.28*93</f>
        <v>119.04</v>
      </c>
      <c r="Y21" s="664">
        <f>1.28*93</f>
        <v>119.04</v>
      </c>
      <c r="Z21" s="664">
        <f>1.28*93</f>
        <v>119.04</v>
      </c>
      <c r="AA21" s="664">
        <f>1.6*116.4</f>
        <v>186.24</v>
      </c>
      <c r="AB21" s="664">
        <f>1.6*116.4</f>
        <v>186.24</v>
      </c>
      <c r="AC21" s="664">
        <f>1.6*95</f>
        <v>152</v>
      </c>
      <c r="AD21" s="664">
        <f>1.31*5.25</f>
        <v>6.8775000000000004</v>
      </c>
      <c r="AE21" s="664">
        <f>1*20</f>
        <v>20</v>
      </c>
      <c r="AF21" s="664">
        <f>1*20</f>
        <v>20</v>
      </c>
      <c r="AG21" s="664">
        <f>1.31*4.1</f>
        <v>5.3709999999999996</v>
      </c>
    </row>
    <row r="22" spans="1:33" ht="15.75" customHeight="1">
      <c r="A22" s="775" t="s">
        <v>764</v>
      </c>
      <c r="B22" s="668" t="s">
        <v>876</v>
      </c>
      <c r="C22" s="668" t="s">
        <v>876</v>
      </c>
      <c r="D22" s="667" t="s">
        <v>763</v>
      </c>
      <c r="E22" s="667" t="s">
        <v>763</v>
      </c>
      <c r="F22" s="667" t="s">
        <v>763</v>
      </c>
      <c r="G22" s="670" t="s">
        <v>894</v>
      </c>
      <c r="H22" s="670" t="s">
        <v>894</v>
      </c>
      <c r="I22" s="670" t="s">
        <v>894</v>
      </c>
      <c r="J22" s="670" t="s">
        <v>914</v>
      </c>
      <c r="K22" s="670" t="s">
        <v>914</v>
      </c>
      <c r="L22" s="670" t="s">
        <v>876</v>
      </c>
      <c r="M22" s="670" t="s">
        <v>876</v>
      </c>
      <c r="N22" s="670" t="s">
        <v>763</v>
      </c>
      <c r="O22" s="670" t="s">
        <v>914</v>
      </c>
      <c r="P22" s="670" t="s">
        <v>914</v>
      </c>
      <c r="Q22" s="670" t="s">
        <v>876</v>
      </c>
      <c r="R22" s="670" t="s">
        <v>914</v>
      </c>
      <c r="S22" s="670" t="s">
        <v>914</v>
      </c>
      <c r="T22" s="670" t="s">
        <v>914</v>
      </c>
      <c r="U22" s="668" t="s">
        <v>894</v>
      </c>
      <c r="V22" s="670" t="s">
        <v>894</v>
      </c>
      <c r="W22" s="668" t="s">
        <v>763</v>
      </c>
      <c r="X22" s="670" t="s">
        <v>876</v>
      </c>
      <c r="Y22" s="670" t="s">
        <v>876</v>
      </c>
      <c r="Z22" s="670" t="s">
        <v>876</v>
      </c>
      <c r="AA22" s="670" t="s">
        <v>876</v>
      </c>
      <c r="AB22" s="670" t="s">
        <v>876</v>
      </c>
      <c r="AC22" s="670" t="s">
        <v>876</v>
      </c>
      <c r="AD22" s="670" t="s">
        <v>914</v>
      </c>
      <c r="AE22" s="670" t="s">
        <v>876</v>
      </c>
      <c r="AF22" s="670" t="s">
        <v>876</v>
      </c>
      <c r="AG22" s="670" t="s">
        <v>914</v>
      </c>
    </row>
    <row r="23" spans="1:33" ht="15.75" customHeight="1">
      <c r="A23" s="776" t="s">
        <v>762</v>
      </c>
      <c r="B23" s="662">
        <v>81.637749999999997</v>
      </c>
      <c r="C23" s="662">
        <v>93.856666000000004</v>
      </c>
      <c r="D23" s="664">
        <v>122</v>
      </c>
      <c r="E23" s="664">
        <v>122</v>
      </c>
      <c r="F23" s="664">
        <v>122</v>
      </c>
      <c r="G23" s="664">
        <v>1100</v>
      </c>
      <c r="H23" s="664">
        <v>1100</v>
      </c>
      <c r="I23" s="664">
        <v>1100</v>
      </c>
      <c r="J23" s="664">
        <v>1200</v>
      </c>
      <c r="K23" s="664">
        <v>1200</v>
      </c>
      <c r="L23" s="664">
        <v>93.855599999999995</v>
      </c>
      <c r="M23" s="664">
        <v>17.91555</v>
      </c>
      <c r="N23" s="664">
        <v>41</v>
      </c>
      <c r="O23" s="664">
        <v>800</v>
      </c>
      <c r="P23" s="664">
        <v>1400</v>
      </c>
      <c r="Q23" s="664">
        <v>78.933999999999997</v>
      </c>
      <c r="R23" s="664">
        <v>1400</v>
      </c>
      <c r="S23" s="664">
        <v>800</v>
      </c>
      <c r="T23" s="664">
        <v>1200</v>
      </c>
      <c r="U23" s="662">
        <v>283</v>
      </c>
      <c r="V23" s="664">
        <v>290</v>
      </c>
      <c r="W23" s="662">
        <v>41</v>
      </c>
      <c r="X23" s="664">
        <v>81.855999999999995</v>
      </c>
      <c r="Y23" s="664">
        <v>81.855999999999995</v>
      </c>
      <c r="Z23" s="664">
        <v>81.855999999999995</v>
      </c>
      <c r="AA23" s="664">
        <v>87.152000000000001</v>
      </c>
      <c r="AB23" s="664">
        <v>87.152000000000001</v>
      </c>
      <c r="AC23" s="664">
        <v>84.488888000000003</v>
      </c>
      <c r="AD23" s="664">
        <v>1100</v>
      </c>
      <c r="AE23" s="664">
        <v>64.285700000000006</v>
      </c>
      <c r="AF23" s="664">
        <v>64.285713999999999</v>
      </c>
      <c r="AG23" s="664">
        <v>1350</v>
      </c>
    </row>
    <row r="24" spans="1:33" ht="15.75" customHeight="1">
      <c r="A24" s="661" t="s">
        <v>761</v>
      </c>
      <c r="B24" s="662">
        <v>0.1</v>
      </c>
      <c r="C24" s="662">
        <v>0.1</v>
      </c>
      <c r="D24" s="664">
        <v>0.1</v>
      </c>
      <c r="E24" s="664">
        <v>0.1</v>
      </c>
      <c r="F24" s="664">
        <v>0.1</v>
      </c>
      <c r="G24" s="664">
        <v>0.1</v>
      </c>
      <c r="H24" s="664">
        <v>0.1</v>
      </c>
      <c r="I24" s="664">
        <v>0.1</v>
      </c>
      <c r="J24" s="664">
        <v>0.01</v>
      </c>
      <c r="K24" s="664">
        <v>0.01</v>
      </c>
      <c r="L24" s="664">
        <v>0.1</v>
      </c>
      <c r="M24" s="664">
        <v>1.0000000000000001E-5</v>
      </c>
      <c r="N24" s="664">
        <v>1.0000000000000001E-5</v>
      </c>
      <c r="O24" s="664">
        <v>0.01</v>
      </c>
      <c r="P24" s="664">
        <v>0.01</v>
      </c>
      <c r="Q24" s="664">
        <v>0.1</v>
      </c>
      <c r="R24" s="664">
        <v>0.01</v>
      </c>
      <c r="S24" s="664">
        <v>0.01</v>
      </c>
      <c r="T24" s="664">
        <v>0.01</v>
      </c>
      <c r="U24" s="662">
        <v>1.0000000000000001E-5</v>
      </c>
      <c r="V24" s="662">
        <v>1.0000000000000001E-5</v>
      </c>
      <c r="W24" s="662">
        <v>1.0000000000000001E-5</v>
      </c>
      <c r="X24" s="664">
        <v>0.1</v>
      </c>
      <c r="Y24" s="664">
        <v>0.1</v>
      </c>
      <c r="Z24" s="664">
        <v>0.1</v>
      </c>
      <c r="AA24" s="664">
        <v>0.1</v>
      </c>
      <c r="AB24" s="664">
        <v>0.1</v>
      </c>
      <c r="AC24" s="664">
        <v>0.1</v>
      </c>
      <c r="AD24" s="664">
        <v>0.01</v>
      </c>
      <c r="AE24" s="664">
        <v>0.1</v>
      </c>
      <c r="AF24" s="664">
        <v>0.1</v>
      </c>
      <c r="AG24" s="664">
        <v>0.01</v>
      </c>
    </row>
    <row r="25" spans="1:33" ht="15.75" customHeight="1">
      <c r="A25" s="661" t="s">
        <v>760</v>
      </c>
      <c r="B25" s="662">
        <v>0.1</v>
      </c>
      <c r="C25" s="662">
        <v>0.1</v>
      </c>
      <c r="D25" s="664">
        <v>1</v>
      </c>
      <c r="E25" s="664">
        <v>1</v>
      </c>
      <c r="F25" s="664">
        <v>1</v>
      </c>
      <c r="G25" s="664">
        <v>5.0000000000000001E-3</v>
      </c>
      <c r="H25" s="664">
        <v>5.0000000000000001E-3</v>
      </c>
      <c r="I25" s="664">
        <v>5.0000000000000001E-3</v>
      </c>
      <c r="J25" s="664">
        <v>0.4</v>
      </c>
      <c r="K25" s="664">
        <v>0.4</v>
      </c>
      <c r="L25" s="664">
        <v>0.1</v>
      </c>
      <c r="M25" s="670" t="s">
        <v>293</v>
      </c>
      <c r="N25" s="664">
        <v>1</v>
      </c>
      <c r="O25" s="664">
        <v>0.4</v>
      </c>
      <c r="P25" s="664">
        <v>0.4</v>
      </c>
      <c r="Q25" s="668" t="s">
        <v>293</v>
      </c>
      <c r="R25" s="664">
        <v>0.4</v>
      </c>
      <c r="S25" s="664">
        <v>0.4</v>
      </c>
      <c r="T25" s="664">
        <v>0.4</v>
      </c>
      <c r="U25" s="668" t="s">
        <v>293</v>
      </c>
      <c r="V25" s="668" t="s">
        <v>293</v>
      </c>
      <c r="W25" s="668" t="s">
        <v>293</v>
      </c>
      <c r="X25" s="664">
        <v>0.1</v>
      </c>
      <c r="Y25" s="664">
        <v>0.1</v>
      </c>
      <c r="Z25" s="664">
        <v>0.1</v>
      </c>
      <c r="AA25" s="664">
        <v>0.1</v>
      </c>
      <c r="AB25" s="664">
        <v>0.1</v>
      </c>
      <c r="AC25" s="664">
        <v>0.1</v>
      </c>
      <c r="AD25" s="664">
        <v>0.4</v>
      </c>
      <c r="AE25" s="664">
        <v>0.1</v>
      </c>
      <c r="AF25" s="664">
        <v>0.1</v>
      </c>
      <c r="AG25" s="664">
        <v>0.4</v>
      </c>
    </row>
    <row r="26" spans="1:33" ht="20.25" customHeight="1">
      <c r="A26" s="804" t="s">
        <v>585</v>
      </c>
      <c r="B26" s="702"/>
      <c r="C26" s="702"/>
      <c r="D26" s="702"/>
      <c r="E26" s="702"/>
      <c r="F26" s="702"/>
      <c r="G26" s="702"/>
      <c r="H26" s="702"/>
      <c r="I26" s="702"/>
      <c r="J26" s="702"/>
      <c r="K26" s="702"/>
      <c r="L26" s="702"/>
      <c r="M26" s="702"/>
      <c r="N26" s="702"/>
      <c r="O26" s="702"/>
      <c r="P26" s="702"/>
      <c r="Q26" s="702"/>
      <c r="R26" s="702"/>
      <c r="S26" s="702"/>
      <c r="T26" s="702"/>
      <c r="U26" s="702"/>
      <c r="V26" s="702"/>
      <c r="W26" s="702"/>
      <c r="X26" s="702"/>
      <c r="Y26" s="702"/>
      <c r="Z26" s="702"/>
      <c r="AA26" s="702"/>
      <c r="AB26" s="702"/>
      <c r="AC26" s="702"/>
      <c r="AD26" s="702"/>
      <c r="AE26" s="702"/>
      <c r="AF26" s="702"/>
      <c r="AG26" s="702"/>
    </row>
    <row r="27" spans="1:33" ht="15.75" customHeight="1">
      <c r="A27" s="728" t="s">
        <v>586</v>
      </c>
      <c r="B27" s="668" t="s">
        <v>944</v>
      </c>
      <c r="C27" s="670" t="s">
        <v>944</v>
      </c>
      <c r="D27" s="670" t="s">
        <v>945</v>
      </c>
      <c r="E27" s="670" t="s">
        <v>945</v>
      </c>
      <c r="F27" s="670" t="s">
        <v>945</v>
      </c>
      <c r="G27" s="670" t="s">
        <v>944</v>
      </c>
      <c r="H27" s="670" t="s">
        <v>944</v>
      </c>
      <c r="I27" s="670" t="s">
        <v>944</v>
      </c>
      <c r="J27" s="670" t="s">
        <v>944</v>
      </c>
      <c r="K27" s="670" t="s">
        <v>944</v>
      </c>
      <c r="L27" s="670" t="s">
        <v>945</v>
      </c>
      <c r="M27" s="670" t="s">
        <v>945</v>
      </c>
      <c r="N27" s="670" t="s">
        <v>945</v>
      </c>
      <c r="O27" s="670" t="s">
        <v>944</v>
      </c>
      <c r="P27" s="670" t="s">
        <v>944</v>
      </c>
      <c r="Q27" s="670" t="s">
        <v>946</v>
      </c>
      <c r="R27" s="670" t="s">
        <v>944</v>
      </c>
      <c r="S27" s="670" t="s">
        <v>944</v>
      </c>
      <c r="T27" s="670" t="s">
        <v>944</v>
      </c>
      <c r="U27" s="668" t="s">
        <v>945</v>
      </c>
      <c r="V27" s="670" t="s">
        <v>945</v>
      </c>
      <c r="W27" s="668" t="s">
        <v>945</v>
      </c>
      <c r="X27" s="670" t="s">
        <v>945</v>
      </c>
      <c r="Y27" s="670" t="s">
        <v>945</v>
      </c>
      <c r="Z27" s="668" t="s">
        <v>945</v>
      </c>
      <c r="AA27" s="670" t="s">
        <v>945</v>
      </c>
      <c r="AB27" s="670" t="s">
        <v>945</v>
      </c>
      <c r="AC27" s="668" t="s">
        <v>944</v>
      </c>
      <c r="AD27" s="670" t="s">
        <v>944</v>
      </c>
      <c r="AE27" s="670" t="s">
        <v>945</v>
      </c>
      <c r="AF27" s="670" t="s">
        <v>945</v>
      </c>
      <c r="AG27" s="670" t="s">
        <v>944</v>
      </c>
    </row>
    <row r="28" spans="1:33" ht="15.75" customHeight="1">
      <c r="A28" s="728" t="s">
        <v>587</v>
      </c>
      <c r="B28" s="662">
        <v>1</v>
      </c>
      <c r="C28" s="664">
        <v>1</v>
      </c>
      <c r="D28" s="664">
        <v>0.5</v>
      </c>
      <c r="E28" s="664">
        <v>0.5</v>
      </c>
      <c r="F28" s="664">
        <v>0.5</v>
      </c>
      <c r="G28" s="670" t="s">
        <v>293</v>
      </c>
      <c r="H28" s="670" t="s">
        <v>293</v>
      </c>
      <c r="I28" s="670" t="s">
        <v>293</v>
      </c>
      <c r="J28" s="670" t="s">
        <v>293</v>
      </c>
      <c r="K28" s="670" t="s">
        <v>293</v>
      </c>
      <c r="L28" s="664">
        <v>1</v>
      </c>
      <c r="M28" s="664">
        <v>1</v>
      </c>
      <c r="N28" s="664">
        <v>1</v>
      </c>
      <c r="O28" s="670" t="s">
        <v>293</v>
      </c>
      <c r="P28" s="670" t="s">
        <v>293</v>
      </c>
      <c r="Q28" s="664">
        <v>0.8</v>
      </c>
      <c r="R28" s="670" t="s">
        <v>293</v>
      </c>
      <c r="S28" s="670" t="s">
        <v>293</v>
      </c>
      <c r="T28" s="670" t="s">
        <v>293</v>
      </c>
      <c r="U28" s="662">
        <v>0.75</v>
      </c>
      <c r="V28" s="664">
        <v>0.75</v>
      </c>
      <c r="W28" s="668" t="s">
        <v>293</v>
      </c>
      <c r="X28" s="664">
        <v>0.8</v>
      </c>
      <c r="Y28" s="664">
        <v>0.8</v>
      </c>
      <c r="Z28" s="662">
        <v>0.5</v>
      </c>
      <c r="AA28" s="664">
        <v>0.8</v>
      </c>
      <c r="AB28" s="664">
        <v>0.8</v>
      </c>
      <c r="AC28" s="662">
        <v>0.8</v>
      </c>
      <c r="AD28" s="670" t="s">
        <v>293</v>
      </c>
      <c r="AE28" s="664">
        <v>0.5</v>
      </c>
      <c r="AF28" s="664">
        <v>0.5</v>
      </c>
      <c r="AG28" s="670" t="s">
        <v>293</v>
      </c>
    </row>
    <row r="29" spans="1:33" ht="15.75" customHeight="1">
      <c r="A29" s="728" t="s">
        <v>588</v>
      </c>
      <c r="B29" s="662">
        <v>250</v>
      </c>
      <c r="C29" s="664">
        <v>250</v>
      </c>
      <c r="D29" s="664">
        <v>105</v>
      </c>
      <c r="E29" s="664">
        <v>105</v>
      </c>
      <c r="F29" s="664">
        <v>105</v>
      </c>
      <c r="G29" s="664">
        <v>45</v>
      </c>
      <c r="H29" s="664">
        <v>45</v>
      </c>
      <c r="I29" s="664">
        <v>45</v>
      </c>
      <c r="J29" s="664">
        <v>45</v>
      </c>
      <c r="K29" s="664">
        <v>45</v>
      </c>
      <c r="L29" s="664">
        <v>70</v>
      </c>
      <c r="M29" s="664">
        <v>30</v>
      </c>
      <c r="N29" s="664">
        <v>30</v>
      </c>
      <c r="O29" s="664">
        <v>25</v>
      </c>
      <c r="P29" s="664">
        <v>36</v>
      </c>
      <c r="Q29" s="664">
        <v>24</v>
      </c>
      <c r="R29" s="664">
        <v>36</v>
      </c>
      <c r="S29" s="664">
        <v>25</v>
      </c>
      <c r="T29" s="664">
        <v>60</v>
      </c>
      <c r="U29" s="662">
        <v>45</v>
      </c>
      <c r="V29" s="664">
        <v>45</v>
      </c>
      <c r="W29" s="662">
        <v>45</v>
      </c>
      <c r="X29" s="664">
        <v>25</v>
      </c>
      <c r="Y29" s="664">
        <v>25</v>
      </c>
      <c r="Z29" s="662">
        <v>45</v>
      </c>
      <c r="AA29" s="664">
        <v>40</v>
      </c>
      <c r="AB29" s="664">
        <v>40</v>
      </c>
      <c r="AC29" s="662">
        <v>90</v>
      </c>
      <c r="AD29" s="664">
        <v>50</v>
      </c>
      <c r="AE29" s="664">
        <v>18</v>
      </c>
      <c r="AF29" s="664">
        <v>27</v>
      </c>
      <c r="AG29" s="664">
        <v>50</v>
      </c>
    </row>
    <row r="30" spans="1:33" ht="15.75" customHeight="1">
      <c r="A30" s="728" t="s">
        <v>872</v>
      </c>
      <c r="B30" s="670" t="s">
        <v>293</v>
      </c>
      <c r="C30" s="670" t="s">
        <v>293</v>
      </c>
      <c r="D30" s="670" t="s">
        <v>293</v>
      </c>
      <c r="E30" s="670" t="s">
        <v>293</v>
      </c>
      <c r="F30" s="670" t="s">
        <v>293</v>
      </c>
      <c r="G30" s="664">
        <v>8</v>
      </c>
      <c r="H30" s="664">
        <v>8</v>
      </c>
      <c r="I30" s="664">
        <v>8</v>
      </c>
      <c r="J30" s="664">
        <v>8</v>
      </c>
      <c r="K30" s="664">
        <v>8</v>
      </c>
      <c r="L30" s="670" t="s">
        <v>293</v>
      </c>
      <c r="M30" s="664">
        <v>11</v>
      </c>
      <c r="N30" s="664">
        <v>11</v>
      </c>
      <c r="O30" s="664"/>
      <c r="P30" s="664">
        <v>10</v>
      </c>
      <c r="Q30" s="670" t="s">
        <v>293</v>
      </c>
      <c r="R30" s="664">
        <v>10</v>
      </c>
      <c r="S30" s="664">
        <v>6</v>
      </c>
      <c r="T30" s="670" t="s">
        <v>293</v>
      </c>
      <c r="U30" s="662">
        <v>10</v>
      </c>
      <c r="V30" s="664">
        <v>10</v>
      </c>
      <c r="W30" s="662">
        <v>10</v>
      </c>
      <c r="X30" s="670" t="s">
        <v>293</v>
      </c>
      <c r="Y30" s="670" t="s">
        <v>293</v>
      </c>
      <c r="Z30" s="670" t="s">
        <v>293</v>
      </c>
      <c r="AA30" s="670" t="s">
        <v>293</v>
      </c>
      <c r="AB30" s="670" t="s">
        <v>293</v>
      </c>
      <c r="AC30" s="670" t="s">
        <v>293</v>
      </c>
      <c r="AD30" s="664">
        <v>8</v>
      </c>
      <c r="AE30" s="670" t="s">
        <v>293</v>
      </c>
      <c r="AF30" s="664"/>
      <c r="AG30" s="664"/>
    </row>
    <row r="31" spans="1:33" ht="15.75" customHeight="1">
      <c r="A31" s="728" t="s">
        <v>589</v>
      </c>
      <c r="B31" s="662">
        <v>1</v>
      </c>
      <c r="C31" s="664">
        <v>1</v>
      </c>
      <c r="D31" s="664">
        <v>1</v>
      </c>
      <c r="E31" s="664">
        <v>1</v>
      </c>
      <c r="F31" s="664">
        <v>1</v>
      </c>
      <c r="G31" s="670" t="s">
        <v>293</v>
      </c>
      <c r="H31" s="670" t="s">
        <v>293</v>
      </c>
      <c r="I31" s="670" t="s">
        <v>293</v>
      </c>
      <c r="J31" s="670" t="s">
        <v>293</v>
      </c>
      <c r="K31" s="670" t="s">
        <v>293</v>
      </c>
      <c r="L31" s="670" t="s">
        <v>293</v>
      </c>
      <c r="M31" s="670" t="s">
        <v>293</v>
      </c>
      <c r="N31" s="670" t="s">
        <v>293</v>
      </c>
      <c r="O31" s="670" t="s">
        <v>293</v>
      </c>
      <c r="P31" s="670" t="s">
        <v>293</v>
      </c>
      <c r="Q31" s="664">
        <v>1</v>
      </c>
      <c r="R31" s="670" t="s">
        <v>293</v>
      </c>
      <c r="S31" s="670" t="s">
        <v>293</v>
      </c>
      <c r="T31" s="670" t="s">
        <v>293</v>
      </c>
      <c r="U31" s="668" t="s">
        <v>293</v>
      </c>
      <c r="V31" s="670" t="s">
        <v>293</v>
      </c>
      <c r="W31" s="668" t="s">
        <v>293</v>
      </c>
      <c r="X31" s="664">
        <v>1</v>
      </c>
      <c r="Y31" s="664">
        <v>1</v>
      </c>
      <c r="Z31" s="662">
        <v>1</v>
      </c>
      <c r="AA31" s="664">
        <v>1</v>
      </c>
      <c r="AB31" s="664">
        <v>1</v>
      </c>
      <c r="AC31" s="662">
        <v>1</v>
      </c>
      <c r="AD31" s="670" t="s">
        <v>293</v>
      </c>
      <c r="AE31" s="664">
        <v>1</v>
      </c>
      <c r="AF31" s="664">
        <v>1</v>
      </c>
      <c r="AG31" s="670" t="s">
        <v>293</v>
      </c>
    </row>
    <row r="32" spans="1:33" ht="15.75" customHeight="1">
      <c r="A32" s="728" t="s">
        <v>590</v>
      </c>
      <c r="B32" s="662">
        <v>3600</v>
      </c>
      <c r="C32" s="664">
        <v>3600</v>
      </c>
      <c r="D32" s="664">
        <v>3600</v>
      </c>
      <c r="E32" s="664">
        <v>3600</v>
      </c>
      <c r="F32" s="664">
        <v>3600</v>
      </c>
      <c r="G32" s="670" t="s">
        <v>293</v>
      </c>
      <c r="H32" s="670" t="s">
        <v>293</v>
      </c>
      <c r="I32" s="670" t="s">
        <v>293</v>
      </c>
      <c r="J32" s="670" t="s">
        <v>293</v>
      </c>
      <c r="K32" s="670" t="s">
        <v>293</v>
      </c>
      <c r="L32" s="670" t="s">
        <v>293</v>
      </c>
      <c r="M32" s="670" t="s">
        <v>293</v>
      </c>
      <c r="N32" s="670" t="s">
        <v>293</v>
      </c>
      <c r="O32" s="670" t="s">
        <v>293</v>
      </c>
      <c r="P32" s="670" t="s">
        <v>293</v>
      </c>
      <c r="Q32" s="664">
        <v>3600</v>
      </c>
      <c r="R32" s="670" t="s">
        <v>293</v>
      </c>
      <c r="S32" s="670" t="s">
        <v>293</v>
      </c>
      <c r="T32" s="670" t="s">
        <v>293</v>
      </c>
      <c r="U32" s="668" t="s">
        <v>293</v>
      </c>
      <c r="V32" s="670" t="s">
        <v>293</v>
      </c>
      <c r="W32" s="668" t="s">
        <v>293</v>
      </c>
      <c r="X32" s="664">
        <v>3600</v>
      </c>
      <c r="Y32" s="664">
        <v>3600</v>
      </c>
      <c r="Z32" s="662">
        <v>3600</v>
      </c>
      <c r="AA32" s="664">
        <v>3600</v>
      </c>
      <c r="AB32" s="664">
        <v>3600</v>
      </c>
      <c r="AC32" s="662">
        <v>3600</v>
      </c>
      <c r="AD32" s="670" t="s">
        <v>293</v>
      </c>
      <c r="AE32" s="664">
        <v>3600</v>
      </c>
      <c r="AF32" s="664">
        <v>3600</v>
      </c>
      <c r="AG32" s="670" t="s">
        <v>293</v>
      </c>
    </row>
    <row r="33" spans="1:33" ht="15.75" customHeight="1">
      <c r="A33" s="728" t="s">
        <v>591</v>
      </c>
      <c r="B33" s="662">
        <v>30</v>
      </c>
      <c r="C33" s="664">
        <v>30</v>
      </c>
      <c r="D33" s="664">
        <v>30</v>
      </c>
      <c r="E33" s="664">
        <v>30</v>
      </c>
      <c r="F33" s="664">
        <v>30</v>
      </c>
      <c r="G33" s="664">
        <v>30</v>
      </c>
      <c r="H33" s="664">
        <v>30</v>
      </c>
      <c r="I33" s="664">
        <v>30</v>
      </c>
      <c r="J33" s="664">
        <v>30</v>
      </c>
      <c r="K33" s="664">
        <v>30</v>
      </c>
      <c r="L33" s="664">
        <v>32</v>
      </c>
      <c r="M33" s="664">
        <v>40</v>
      </c>
      <c r="N33" s="664">
        <v>40</v>
      </c>
      <c r="O33" s="664">
        <v>30</v>
      </c>
      <c r="P33" s="664">
        <v>30</v>
      </c>
      <c r="Q33" s="664">
        <v>30</v>
      </c>
      <c r="R33" s="664">
        <v>30</v>
      </c>
      <c r="S33" s="664">
        <v>30</v>
      </c>
      <c r="T33" s="664">
        <v>30</v>
      </c>
      <c r="U33" s="662">
        <v>30</v>
      </c>
      <c r="V33" s="664">
        <v>30</v>
      </c>
      <c r="W33" s="662">
        <v>40</v>
      </c>
      <c r="X33" s="664">
        <v>1</v>
      </c>
      <c r="Y33" s="664">
        <v>1</v>
      </c>
      <c r="Z33" s="662">
        <v>30</v>
      </c>
      <c r="AA33" s="664">
        <v>30</v>
      </c>
      <c r="AB33" s="664">
        <v>2</v>
      </c>
      <c r="AC33" s="662">
        <v>30</v>
      </c>
      <c r="AD33" s="664">
        <v>30</v>
      </c>
      <c r="AE33" s="664">
        <v>30</v>
      </c>
      <c r="AF33" s="664">
        <v>30</v>
      </c>
      <c r="AG33" s="664">
        <v>30</v>
      </c>
    </row>
    <row r="34" spans="1:33" ht="15.75" customHeight="1">
      <c r="A34" s="728" t="s">
        <v>592</v>
      </c>
      <c r="B34" s="662">
        <v>80</v>
      </c>
      <c r="C34" s="664">
        <v>80</v>
      </c>
      <c r="D34" s="664">
        <v>30</v>
      </c>
      <c r="E34" s="664">
        <v>30</v>
      </c>
      <c r="F34" s="664">
        <v>30</v>
      </c>
      <c r="G34" s="664">
        <v>45</v>
      </c>
      <c r="H34" s="664">
        <v>45</v>
      </c>
      <c r="I34" s="664">
        <v>45</v>
      </c>
      <c r="J34" s="664">
        <v>45</v>
      </c>
      <c r="K34" s="664">
        <v>45</v>
      </c>
      <c r="L34" s="664">
        <v>0</v>
      </c>
      <c r="M34" s="664">
        <v>0</v>
      </c>
      <c r="N34" s="664">
        <v>0</v>
      </c>
      <c r="O34" s="664">
        <v>45</v>
      </c>
      <c r="P34" s="664">
        <v>45</v>
      </c>
      <c r="Q34" s="664">
        <v>30</v>
      </c>
      <c r="R34" s="664">
        <v>45</v>
      </c>
      <c r="S34" s="664">
        <v>45</v>
      </c>
      <c r="T34" s="664">
        <v>45</v>
      </c>
      <c r="U34" s="662">
        <v>0</v>
      </c>
      <c r="V34" s="664">
        <v>0</v>
      </c>
      <c r="W34" s="662">
        <v>0</v>
      </c>
      <c r="X34" s="664">
        <v>30</v>
      </c>
      <c r="Y34" s="664">
        <v>30</v>
      </c>
      <c r="Z34" s="662">
        <v>30</v>
      </c>
      <c r="AA34" s="664">
        <v>30</v>
      </c>
      <c r="AB34" s="664">
        <v>30</v>
      </c>
      <c r="AC34" s="662">
        <v>50</v>
      </c>
      <c r="AD34" s="664">
        <v>45</v>
      </c>
      <c r="AE34" s="664">
        <v>30</v>
      </c>
      <c r="AF34" s="664">
        <v>30</v>
      </c>
      <c r="AG34" s="664">
        <v>45</v>
      </c>
    </row>
    <row r="35" spans="1:33" ht="15.75" customHeight="1">
      <c r="A35" s="728" t="s">
        <v>593</v>
      </c>
      <c r="B35" s="662">
        <v>10</v>
      </c>
      <c r="C35" s="664">
        <v>10</v>
      </c>
      <c r="D35" s="664">
        <v>8</v>
      </c>
      <c r="E35" s="664">
        <v>8</v>
      </c>
      <c r="F35" s="664">
        <v>8</v>
      </c>
      <c r="G35" s="664">
        <v>8</v>
      </c>
      <c r="H35" s="664">
        <v>8</v>
      </c>
      <c r="I35" s="664">
        <v>8</v>
      </c>
      <c r="J35" s="664">
        <v>8</v>
      </c>
      <c r="K35" s="664">
        <v>8</v>
      </c>
      <c r="L35" s="664">
        <v>10000</v>
      </c>
      <c r="M35" s="664">
        <v>10000</v>
      </c>
      <c r="N35" s="664">
        <v>10000</v>
      </c>
      <c r="O35" s="664">
        <v>8</v>
      </c>
      <c r="P35" s="664">
        <v>8</v>
      </c>
      <c r="Q35" s="664">
        <v>8</v>
      </c>
      <c r="R35" s="664">
        <v>8</v>
      </c>
      <c r="S35" s="664">
        <v>8</v>
      </c>
      <c r="T35" s="664">
        <v>8</v>
      </c>
      <c r="U35" s="662">
        <v>10000</v>
      </c>
      <c r="V35" s="664">
        <v>10000</v>
      </c>
      <c r="W35" s="662">
        <v>10000</v>
      </c>
      <c r="X35" s="664">
        <v>10</v>
      </c>
      <c r="Y35" s="664">
        <v>10</v>
      </c>
      <c r="Z35" s="662">
        <v>8</v>
      </c>
      <c r="AA35" s="664">
        <v>8</v>
      </c>
      <c r="AB35" s="664">
        <v>8</v>
      </c>
      <c r="AC35" s="662">
        <v>8</v>
      </c>
      <c r="AD35" s="664">
        <v>8</v>
      </c>
      <c r="AE35" s="664">
        <v>8</v>
      </c>
      <c r="AF35" s="664">
        <v>8</v>
      </c>
      <c r="AG35" s="664">
        <v>8</v>
      </c>
    </row>
    <row r="36" spans="1:33" ht="17.25" customHeight="1">
      <c r="A36" s="728" t="s">
        <v>594</v>
      </c>
      <c r="B36" s="668" t="s">
        <v>328</v>
      </c>
      <c r="C36" s="670" t="s">
        <v>328</v>
      </c>
      <c r="D36" s="670" t="s">
        <v>328</v>
      </c>
      <c r="E36" s="670" t="s">
        <v>328</v>
      </c>
      <c r="F36" s="670" t="s">
        <v>328</v>
      </c>
      <c r="G36" s="670" t="s">
        <v>324</v>
      </c>
      <c r="H36" s="670" t="s">
        <v>324</v>
      </c>
      <c r="I36" s="670" t="s">
        <v>324</v>
      </c>
      <c r="J36" s="670" t="s">
        <v>324</v>
      </c>
      <c r="K36" s="670" t="s">
        <v>324</v>
      </c>
      <c r="L36" s="670" t="s">
        <v>324</v>
      </c>
      <c r="M36" s="670" t="s">
        <v>324</v>
      </c>
      <c r="N36" s="670" t="s">
        <v>324</v>
      </c>
      <c r="O36" s="670" t="s">
        <v>324</v>
      </c>
      <c r="P36" s="670" t="s">
        <v>324</v>
      </c>
      <c r="Q36" s="670" t="s">
        <v>328</v>
      </c>
      <c r="R36" s="670" t="s">
        <v>324</v>
      </c>
      <c r="S36" s="670" t="s">
        <v>324</v>
      </c>
      <c r="T36" s="670" t="s">
        <v>324</v>
      </c>
      <c r="U36" s="668" t="s">
        <v>324</v>
      </c>
      <c r="V36" s="670" t="s">
        <v>324</v>
      </c>
      <c r="W36" s="668" t="s">
        <v>324</v>
      </c>
      <c r="X36" s="670" t="s">
        <v>324</v>
      </c>
      <c r="Y36" s="670" t="s">
        <v>328</v>
      </c>
      <c r="Z36" s="670" t="s">
        <v>328</v>
      </c>
      <c r="AA36" s="670" t="s">
        <v>328</v>
      </c>
      <c r="AB36" s="670" t="s">
        <v>324</v>
      </c>
      <c r="AC36" s="670" t="s">
        <v>328</v>
      </c>
      <c r="AD36" s="670" t="s">
        <v>324</v>
      </c>
      <c r="AE36" s="670" t="s">
        <v>328</v>
      </c>
      <c r="AF36" s="670" t="s">
        <v>328</v>
      </c>
      <c r="AG36" s="670" t="s">
        <v>324</v>
      </c>
    </row>
    <row r="37" spans="1:33" ht="15.75" customHeight="1">
      <c r="A37" s="728" t="s">
        <v>595</v>
      </c>
      <c r="B37" s="662">
        <v>30</v>
      </c>
      <c r="C37" s="664">
        <v>30</v>
      </c>
      <c r="D37" s="664">
        <v>30</v>
      </c>
      <c r="E37" s="664">
        <v>30</v>
      </c>
      <c r="F37" s="664">
        <v>30</v>
      </c>
      <c r="G37" s="670" t="s">
        <v>293</v>
      </c>
      <c r="H37" s="670" t="s">
        <v>293</v>
      </c>
      <c r="I37" s="670" t="s">
        <v>293</v>
      </c>
      <c r="J37" s="670" t="s">
        <v>293</v>
      </c>
      <c r="K37" s="670" t="s">
        <v>293</v>
      </c>
      <c r="L37" s="670" t="s">
        <v>293</v>
      </c>
      <c r="M37" s="670" t="s">
        <v>293</v>
      </c>
      <c r="N37" s="670" t="s">
        <v>293</v>
      </c>
      <c r="O37" s="670" t="s">
        <v>293</v>
      </c>
      <c r="P37" s="670" t="s">
        <v>293</v>
      </c>
      <c r="Q37" s="664">
        <v>30</v>
      </c>
      <c r="R37" s="670" t="s">
        <v>293</v>
      </c>
      <c r="S37" s="670" t="s">
        <v>293</v>
      </c>
      <c r="T37" s="670" t="s">
        <v>293</v>
      </c>
      <c r="U37" s="668" t="s">
        <v>293</v>
      </c>
      <c r="V37" s="670" t="s">
        <v>293</v>
      </c>
      <c r="W37" s="670" t="s">
        <v>293</v>
      </c>
      <c r="X37" s="670" t="s">
        <v>293</v>
      </c>
      <c r="Y37" s="664">
        <v>30</v>
      </c>
      <c r="Z37" s="664">
        <v>30</v>
      </c>
      <c r="AA37" s="664">
        <v>30</v>
      </c>
      <c r="AB37" s="670" t="s">
        <v>293</v>
      </c>
      <c r="AC37" s="664">
        <v>30</v>
      </c>
      <c r="AD37" s="670" t="s">
        <v>293</v>
      </c>
      <c r="AE37" s="664">
        <v>30</v>
      </c>
      <c r="AF37" s="664">
        <v>30</v>
      </c>
      <c r="AG37" s="670" t="s">
        <v>293</v>
      </c>
    </row>
    <row r="38" spans="1:33" ht="15.75" customHeight="1">
      <c r="A38" s="728" t="s">
        <v>943</v>
      </c>
      <c r="B38" s="662">
        <v>10</v>
      </c>
      <c r="C38" s="664">
        <v>10</v>
      </c>
      <c r="D38" s="664">
        <v>10</v>
      </c>
      <c r="E38" s="664">
        <v>10</v>
      </c>
      <c r="F38" s="664">
        <v>10</v>
      </c>
      <c r="G38" s="664">
        <v>10</v>
      </c>
      <c r="H38" s="664">
        <v>10</v>
      </c>
      <c r="I38" s="664">
        <v>10</v>
      </c>
      <c r="J38" s="664">
        <v>10</v>
      </c>
      <c r="K38" s="664">
        <v>10</v>
      </c>
      <c r="L38" s="664">
        <v>4.8768000000000002</v>
      </c>
      <c r="M38" s="664">
        <v>3</v>
      </c>
      <c r="N38" s="664">
        <v>3</v>
      </c>
      <c r="O38" s="664">
        <v>10</v>
      </c>
      <c r="P38" s="664">
        <v>10</v>
      </c>
      <c r="Q38" s="664">
        <v>10</v>
      </c>
      <c r="R38" s="664">
        <v>10</v>
      </c>
      <c r="S38" s="664">
        <v>10</v>
      </c>
      <c r="T38" s="664">
        <v>10</v>
      </c>
      <c r="U38" s="662">
        <v>5</v>
      </c>
      <c r="V38" s="664">
        <v>5</v>
      </c>
      <c r="W38" s="662">
        <v>3</v>
      </c>
      <c r="X38" s="664">
        <v>8</v>
      </c>
      <c r="Y38" s="664">
        <v>8</v>
      </c>
      <c r="Z38" s="664">
        <v>10</v>
      </c>
      <c r="AA38" s="664">
        <v>10</v>
      </c>
      <c r="AB38" s="664">
        <v>10</v>
      </c>
      <c r="AC38" s="664">
        <v>10</v>
      </c>
      <c r="AD38" s="664">
        <v>10</v>
      </c>
      <c r="AE38" s="664">
        <v>10</v>
      </c>
      <c r="AF38" s="664">
        <v>12</v>
      </c>
      <c r="AG38" s="664">
        <v>10</v>
      </c>
    </row>
    <row r="39" spans="1:33" ht="15.75" customHeight="1">
      <c r="A39" s="661" t="s">
        <v>606</v>
      </c>
      <c r="B39" s="662">
        <v>250</v>
      </c>
      <c r="C39" s="664">
        <v>250</v>
      </c>
      <c r="D39" s="664">
        <v>120</v>
      </c>
      <c r="E39" s="664">
        <v>120</v>
      </c>
      <c r="F39" s="664">
        <v>120</v>
      </c>
      <c r="G39" s="664">
        <v>30</v>
      </c>
      <c r="H39" s="664">
        <v>30</v>
      </c>
      <c r="I39" s="664">
        <v>30</v>
      </c>
      <c r="J39" s="664">
        <v>30</v>
      </c>
      <c r="K39" s="664">
        <v>30</v>
      </c>
      <c r="L39" s="664">
        <v>70</v>
      </c>
      <c r="M39" s="664">
        <v>30</v>
      </c>
      <c r="N39" s="664">
        <v>30</v>
      </c>
      <c r="O39" s="664">
        <v>30</v>
      </c>
      <c r="P39" s="664">
        <v>30</v>
      </c>
      <c r="Q39" s="664">
        <v>22</v>
      </c>
      <c r="R39" s="664">
        <v>30</v>
      </c>
      <c r="S39" s="664">
        <v>30</v>
      </c>
      <c r="T39" s="664">
        <v>60</v>
      </c>
      <c r="U39" s="662">
        <v>45</v>
      </c>
      <c r="V39" s="664">
        <v>45</v>
      </c>
      <c r="W39" s="662">
        <v>45</v>
      </c>
      <c r="X39" s="664">
        <v>120</v>
      </c>
      <c r="Y39" s="664">
        <v>120</v>
      </c>
      <c r="Z39" s="662">
        <v>120</v>
      </c>
      <c r="AA39" s="664">
        <v>120</v>
      </c>
      <c r="AB39" s="664">
        <v>120</v>
      </c>
      <c r="AC39" s="662">
        <v>90</v>
      </c>
      <c r="AD39" s="664">
        <v>50</v>
      </c>
      <c r="AE39" s="664">
        <v>120</v>
      </c>
      <c r="AF39" s="664">
        <v>120</v>
      </c>
      <c r="AG39" s="664">
        <v>50</v>
      </c>
    </row>
    <row r="40" spans="1:33" ht="15.75" customHeight="1">
      <c r="A40" s="661" t="s">
        <v>729</v>
      </c>
      <c r="B40" s="670" t="s">
        <v>293</v>
      </c>
      <c r="C40" s="670" t="s">
        <v>293</v>
      </c>
      <c r="D40" s="670" t="s">
        <v>293</v>
      </c>
      <c r="E40" s="670" t="s">
        <v>293</v>
      </c>
      <c r="F40" s="670" t="s">
        <v>293</v>
      </c>
      <c r="G40" s="664">
        <v>3.5</v>
      </c>
      <c r="H40" s="664">
        <v>3.5</v>
      </c>
      <c r="I40" s="664">
        <v>3.5</v>
      </c>
      <c r="J40" s="664">
        <v>3.5</v>
      </c>
      <c r="K40" s="664">
        <v>3.5</v>
      </c>
      <c r="L40" s="670" t="s">
        <v>293</v>
      </c>
      <c r="M40" s="670" t="s">
        <v>293</v>
      </c>
      <c r="N40" s="670" t="s">
        <v>293</v>
      </c>
      <c r="O40" s="664">
        <v>3.5</v>
      </c>
      <c r="P40" s="664">
        <v>3.5</v>
      </c>
      <c r="Q40" s="664">
        <v>2</v>
      </c>
      <c r="R40" s="664">
        <v>3.5</v>
      </c>
      <c r="S40" s="664">
        <v>3.5</v>
      </c>
      <c r="T40" s="664">
        <v>2</v>
      </c>
      <c r="U40" s="668" t="s">
        <v>293</v>
      </c>
      <c r="V40" s="670" t="s">
        <v>293</v>
      </c>
      <c r="W40" s="668" t="s">
        <v>293</v>
      </c>
      <c r="X40" s="670" t="s">
        <v>293</v>
      </c>
      <c r="Y40" s="670" t="s">
        <v>293</v>
      </c>
      <c r="Z40" s="670" t="s">
        <v>293</v>
      </c>
      <c r="AA40" s="670" t="s">
        <v>293</v>
      </c>
      <c r="AB40" s="670" t="s">
        <v>293</v>
      </c>
      <c r="AC40" s="664">
        <v>1.25</v>
      </c>
      <c r="AD40" s="664">
        <v>3.5</v>
      </c>
      <c r="AE40" s="670" t="s">
        <v>293</v>
      </c>
      <c r="AF40" s="670" t="s">
        <v>293</v>
      </c>
      <c r="AG40" s="664">
        <v>3.5</v>
      </c>
    </row>
    <row r="41" spans="1:33" ht="25.5">
      <c r="A41" s="682" t="s">
        <v>607</v>
      </c>
      <c r="B41" s="662">
        <v>4</v>
      </c>
      <c r="C41" s="664">
        <v>4</v>
      </c>
      <c r="D41" s="664">
        <v>4</v>
      </c>
      <c r="E41" s="664">
        <v>4</v>
      </c>
      <c r="F41" s="664">
        <v>4</v>
      </c>
      <c r="G41" s="664">
        <v>4</v>
      </c>
      <c r="H41" s="664">
        <v>4</v>
      </c>
      <c r="I41" s="664">
        <v>4</v>
      </c>
      <c r="J41" s="664">
        <v>4</v>
      </c>
      <c r="K41" s="664">
        <v>4</v>
      </c>
      <c r="L41" s="664">
        <v>4</v>
      </c>
      <c r="M41" s="664">
        <v>4</v>
      </c>
      <c r="N41" s="664">
        <v>4</v>
      </c>
      <c r="O41" s="664">
        <v>4</v>
      </c>
      <c r="P41" s="664">
        <v>4</v>
      </c>
      <c r="Q41" s="664">
        <v>4</v>
      </c>
      <c r="R41" s="664">
        <v>4</v>
      </c>
      <c r="S41" s="664">
        <v>4</v>
      </c>
      <c r="T41" s="664">
        <v>4</v>
      </c>
      <c r="U41" s="668" t="s">
        <v>293</v>
      </c>
      <c r="V41" s="670" t="s">
        <v>293</v>
      </c>
      <c r="W41" s="670" t="s">
        <v>293</v>
      </c>
      <c r="X41" s="664">
        <v>4</v>
      </c>
      <c r="Y41" s="664">
        <v>4</v>
      </c>
      <c r="Z41" s="664">
        <v>4</v>
      </c>
      <c r="AA41" s="664">
        <v>4</v>
      </c>
      <c r="AB41" s="664">
        <v>4</v>
      </c>
      <c r="AC41" s="664">
        <v>4</v>
      </c>
      <c r="AD41" s="670" t="s">
        <v>293</v>
      </c>
      <c r="AE41" s="664">
        <v>4</v>
      </c>
      <c r="AF41" s="664">
        <v>4</v>
      </c>
      <c r="AG41" s="670" t="s">
        <v>293</v>
      </c>
    </row>
    <row r="42" spans="1:33" ht="15.75" customHeight="1">
      <c r="A42" s="682" t="s">
        <v>608</v>
      </c>
      <c r="B42" s="662">
        <v>1800</v>
      </c>
      <c r="C42" s="664">
        <v>1800</v>
      </c>
      <c r="D42" s="664">
        <v>1800</v>
      </c>
      <c r="E42" s="664">
        <v>1800</v>
      </c>
      <c r="F42" s="664">
        <v>1800</v>
      </c>
      <c r="G42" s="664">
        <v>1800</v>
      </c>
      <c r="H42" s="664">
        <v>1800</v>
      </c>
      <c r="I42" s="664">
        <v>1800</v>
      </c>
      <c r="J42" s="664">
        <v>1800</v>
      </c>
      <c r="K42" s="664">
        <v>1800</v>
      </c>
      <c r="L42" s="664">
        <v>1800</v>
      </c>
      <c r="M42" s="664">
        <v>1800</v>
      </c>
      <c r="N42" s="664">
        <v>1800</v>
      </c>
      <c r="O42" s="664">
        <v>1800</v>
      </c>
      <c r="P42" s="664">
        <v>1800</v>
      </c>
      <c r="Q42" s="664">
        <v>1800</v>
      </c>
      <c r="R42" s="664">
        <v>1800</v>
      </c>
      <c r="S42" s="664">
        <v>1800</v>
      </c>
      <c r="T42" s="664">
        <v>1800</v>
      </c>
      <c r="U42" s="664">
        <v>1800</v>
      </c>
      <c r="V42" s="664">
        <v>1800</v>
      </c>
      <c r="W42" s="664">
        <v>1800</v>
      </c>
      <c r="X42" s="664">
        <v>1800</v>
      </c>
      <c r="Y42" s="664">
        <v>1800</v>
      </c>
      <c r="Z42" s="664">
        <v>1800</v>
      </c>
      <c r="AA42" s="664">
        <v>1800</v>
      </c>
      <c r="AB42" s="664">
        <v>1800</v>
      </c>
      <c r="AC42" s="664">
        <v>1800</v>
      </c>
      <c r="AD42" s="664">
        <v>1800</v>
      </c>
      <c r="AE42" s="664">
        <v>1800</v>
      </c>
      <c r="AF42" s="664">
        <v>1800</v>
      </c>
      <c r="AG42" s="664">
        <v>1800</v>
      </c>
    </row>
    <row r="43" spans="1:33" ht="15.75" customHeight="1">
      <c r="A43" s="661" t="s">
        <v>609</v>
      </c>
      <c r="B43" s="662">
        <v>4.1000000000000002E-2</v>
      </c>
      <c r="C43" s="664">
        <v>2.75E-2</v>
      </c>
      <c r="D43" s="664">
        <v>2.5000000000000001E-2</v>
      </c>
      <c r="E43" s="664">
        <v>2.5000000000000001E-2</v>
      </c>
      <c r="F43" s="664">
        <v>2.5000000000000001E-2</v>
      </c>
      <c r="G43" s="664">
        <v>1.0999999999999999E-2</v>
      </c>
      <c r="H43" s="664">
        <v>1.0999999999999999E-2</v>
      </c>
      <c r="I43" s="664">
        <v>1.0999999999999999E-2</v>
      </c>
      <c r="J43" s="664">
        <v>1.0999999999999999E-2</v>
      </c>
      <c r="K43" s="664">
        <v>1.0999999999999999E-2</v>
      </c>
      <c r="L43" s="664">
        <v>8.9599999999999999E-2</v>
      </c>
      <c r="M43" s="664">
        <v>4.3099999999999999E-2</v>
      </c>
      <c r="N43" s="664">
        <v>4.5100000000000001E-2</v>
      </c>
      <c r="O43" s="664">
        <v>5.6099999999999997E-2</v>
      </c>
      <c r="P43" s="664">
        <v>8.2600000000000007E-2</v>
      </c>
      <c r="Q43" s="664">
        <v>3.95E-2</v>
      </c>
      <c r="R43" s="664">
        <v>8.2600000000000007E-2</v>
      </c>
      <c r="S43" s="664">
        <v>5.6099999999999997E-2</v>
      </c>
      <c r="T43" s="664">
        <v>5.5999999999999999E-3</v>
      </c>
      <c r="U43" s="662">
        <v>4.1500000000000002E-2</v>
      </c>
      <c r="V43" s="664">
        <v>1.9099999999999999E-2</v>
      </c>
      <c r="W43" s="662">
        <v>5.7500000000000002E-2</v>
      </c>
      <c r="X43" s="664">
        <v>4.4999999999999997E-3</v>
      </c>
      <c r="Y43" s="664">
        <v>4.4999999999999997E-3</v>
      </c>
      <c r="Z43" s="664">
        <v>8.9999999999999993E-3</v>
      </c>
      <c r="AA43" s="664">
        <v>1.0500000000000001E-2</v>
      </c>
      <c r="AB43" s="664">
        <v>1.0500000000000001E-2</v>
      </c>
      <c r="AC43" s="664">
        <v>1.5E-3</v>
      </c>
      <c r="AD43" s="664">
        <v>2.9600000000000001E-2</v>
      </c>
      <c r="AE43" s="664">
        <v>8.0000000000000002E-3</v>
      </c>
      <c r="AF43" s="664">
        <v>8.0000000000000002E-3</v>
      </c>
      <c r="AG43" s="664">
        <v>6.7100000000000007E-2</v>
      </c>
    </row>
    <row r="44" spans="1:33" ht="15.75" customHeight="1">
      <c r="A44" s="661" t="s">
        <v>611</v>
      </c>
      <c r="B44" s="662">
        <v>0.121</v>
      </c>
      <c r="C44" s="664">
        <v>9.6000000000000002E-2</v>
      </c>
      <c r="D44" s="664">
        <v>0.03</v>
      </c>
      <c r="E44" s="664">
        <v>0.03</v>
      </c>
      <c r="F44" s="664">
        <v>0.03</v>
      </c>
      <c r="G44" s="664">
        <v>3.5000000000000003E-2</v>
      </c>
      <c r="H44" s="664">
        <v>3.5000000000000003E-2</v>
      </c>
      <c r="I44" s="664">
        <v>3.5000000000000003E-2</v>
      </c>
      <c r="J44" s="664">
        <v>3.5000000000000003E-2</v>
      </c>
      <c r="K44" s="664">
        <v>3.5000000000000003E-2</v>
      </c>
      <c r="L44" s="664">
        <v>9.9599999999999994E-2</v>
      </c>
      <c r="M44" s="664">
        <v>4.36E-2</v>
      </c>
      <c r="N44" s="664">
        <v>5.0099999999999999E-2</v>
      </c>
      <c r="O44" s="664">
        <v>9.9599999999999994E-2</v>
      </c>
      <c r="P44" s="664">
        <v>1.61E-2</v>
      </c>
      <c r="Q44" s="664">
        <v>3.4500000000000003E-2</v>
      </c>
      <c r="R44" s="664">
        <v>1.61E-2</v>
      </c>
      <c r="S44" s="664">
        <v>9.9599999999999994E-2</v>
      </c>
      <c r="T44" s="664">
        <v>4.7100000000000003E-2</v>
      </c>
      <c r="U44" s="662">
        <v>1E-3</v>
      </c>
      <c r="V44" s="664">
        <v>7.46E-2</v>
      </c>
      <c r="W44" s="662">
        <v>0.10349999999999999</v>
      </c>
      <c r="X44" s="664">
        <v>4.2500000000000003E-2</v>
      </c>
      <c r="Y44" s="664">
        <v>4.2500000000000003E-2</v>
      </c>
      <c r="Z44" s="664">
        <v>5.2999999999999999E-2</v>
      </c>
      <c r="AA44" s="664">
        <v>4.1000000000000002E-2</v>
      </c>
      <c r="AB44" s="664">
        <v>4.1000000000000002E-2</v>
      </c>
      <c r="AC44" s="664">
        <v>3.7999999999999999E-2</v>
      </c>
      <c r="AD44" s="664">
        <v>4.5999999999999999E-3</v>
      </c>
      <c r="AE44" s="664">
        <v>6.3500000000000001E-2</v>
      </c>
      <c r="AF44" s="664">
        <v>6.3500000000000001E-2</v>
      </c>
      <c r="AG44" s="664">
        <v>9.9599999999999994E-2</v>
      </c>
    </row>
    <row r="45" spans="1:33" ht="15.75" customHeight="1">
      <c r="A45" s="661" t="s">
        <v>613</v>
      </c>
      <c r="B45" s="662">
        <v>1</v>
      </c>
      <c r="C45" s="664">
        <v>1</v>
      </c>
      <c r="D45" s="664">
        <v>1</v>
      </c>
      <c r="E45" s="664">
        <v>1</v>
      </c>
      <c r="F45" s="664">
        <v>1</v>
      </c>
      <c r="G45" s="664">
        <v>1</v>
      </c>
      <c r="H45" s="664">
        <v>1</v>
      </c>
      <c r="I45" s="664">
        <v>1</v>
      </c>
      <c r="J45" s="664">
        <v>1</v>
      </c>
      <c r="K45" s="664">
        <v>1</v>
      </c>
      <c r="L45" s="664">
        <v>1</v>
      </c>
      <c r="M45" s="664">
        <v>1</v>
      </c>
      <c r="N45" s="664">
        <v>1</v>
      </c>
      <c r="O45" s="664">
        <v>1</v>
      </c>
      <c r="P45" s="664">
        <v>1</v>
      </c>
      <c r="Q45" s="662">
        <v>1</v>
      </c>
      <c r="R45" s="664">
        <v>1</v>
      </c>
      <c r="S45" s="664">
        <v>1</v>
      </c>
      <c r="T45" s="664">
        <v>1</v>
      </c>
      <c r="U45" s="662">
        <v>1</v>
      </c>
      <c r="V45" s="662">
        <v>1</v>
      </c>
      <c r="W45" s="662">
        <v>1</v>
      </c>
      <c r="X45" s="664">
        <v>1</v>
      </c>
      <c r="Y45" s="664">
        <v>1</v>
      </c>
      <c r="Z45" s="664">
        <v>1</v>
      </c>
      <c r="AA45" s="664">
        <v>1</v>
      </c>
      <c r="AB45" s="664">
        <v>1</v>
      </c>
      <c r="AC45" s="664">
        <v>1</v>
      </c>
      <c r="AD45" s="662">
        <v>1</v>
      </c>
      <c r="AE45" s="664">
        <v>1</v>
      </c>
      <c r="AF45" s="664">
        <v>1</v>
      </c>
      <c r="AG45" s="664">
        <v>1</v>
      </c>
    </row>
    <row r="46" spans="1:33" ht="15.75" customHeight="1">
      <c r="A46" s="661" t="s">
        <v>615</v>
      </c>
      <c r="B46" s="662">
        <v>1E-3</v>
      </c>
      <c r="C46" s="664">
        <v>6.9999999999999999E-4</v>
      </c>
      <c r="D46" s="664">
        <v>4.5999999999999999E-3</v>
      </c>
      <c r="E46" s="664">
        <v>4.5999999999999999E-3</v>
      </c>
      <c r="F46" s="664">
        <v>4.5999999999999999E-3</v>
      </c>
      <c r="G46" s="664">
        <v>4.4999999999999997E-3</v>
      </c>
      <c r="H46" s="664">
        <v>4.4999999999999997E-3</v>
      </c>
      <c r="I46" s="664">
        <v>4.4999999999999997E-3</v>
      </c>
      <c r="J46" s="664">
        <v>4.4999999999999997E-3</v>
      </c>
      <c r="K46" s="664">
        <v>4.4999999999999997E-3</v>
      </c>
      <c r="L46" s="664">
        <v>2.9999999999999997E-4</v>
      </c>
      <c r="M46" s="664">
        <v>5.9999999999999995E-4</v>
      </c>
      <c r="N46" s="664">
        <v>5.9999999999999995E-4</v>
      </c>
      <c r="O46" s="664">
        <v>3.8E-3</v>
      </c>
      <c r="P46" s="664">
        <v>5.7000000000000002E-3</v>
      </c>
      <c r="Q46" s="664">
        <v>6.1000000000000004E-3</v>
      </c>
      <c r="R46" s="664">
        <v>5.7000000000000002E-3</v>
      </c>
      <c r="S46" s="664">
        <v>3.8E-3</v>
      </c>
      <c r="T46" s="664">
        <v>1.1000000000000001E-3</v>
      </c>
      <c r="U46" s="662">
        <v>2.8999999999999998E-3</v>
      </c>
      <c r="V46" s="664">
        <v>4.0000000000000002E-4</v>
      </c>
      <c r="W46" s="662">
        <v>7.3000000000000001E-3</v>
      </c>
      <c r="X46" s="664">
        <v>2.0999999999999999E-3</v>
      </c>
      <c r="Y46" s="664">
        <v>2.0999999999999999E-3</v>
      </c>
      <c r="Z46" s="664">
        <v>2.2000000000000001E-3</v>
      </c>
      <c r="AA46" s="664">
        <v>2.8999999999999998E-3</v>
      </c>
      <c r="AB46" s="664">
        <v>2.8999999999999998E-3</v>
      </c>
      <c r="AC46" s="664">
        <v>2.5000000000000001E-3</v>
      </c>
      <c r="AD46" s="664">
        <v>1.6999999999999999E-3</v>
      </c>
      <c r="AE46" s="664">
        <v>3.5000000000000001E-3</v>
      </c>
      <c r="AF46" s="664">
        <v>3.5000000000000001E-3</v>
      </c>
      <c r="AG46" s="664">
        <v>4.8999999999999998E-3</v>
      </c>
    </row>
    <row r="47" spans="1:33" ht="24" customHeight="1">
      <c r="A47" s="803" t="s">
        <v>617</v>
      </c>
      <c r="B47" s="802"/>
      <c r="C47" s="802"/>
      <c r="D47" s="802"/>
      <c r="E47" s="802"/>
      <c r="F47" s="802"/>
      <c r="G47" s="802"/>
      <c r="H47" s="802"/>
      <c r="I47" s="802"/>
      <c r="J47" s="802"/>
      <c r="K47" s="802"/>
      <c r="L47" s="802"/>
      <c r="M47" s="802"/>
      <c r="N47" s="802"/>
      <c r="O47" s="802"/>
      <c r="P47" s="802"/>
      <c r="Q47" s="802"/>
      <c r="R47" s="802"/>
      <c r="S47" s="802"/>
      <c r="T47" s="802"/>
      <c r="U47" s="802"/>
      <c r="V47" s="802"/>
      <c r="W47" s="802"/>
      <c r="X47" s="802"/>
      <c r="Y47" s="802"/>
      <c r="Z47" s="802"/>
      <c r="AA47" s="802"/>
      <c r="AB47" s="802"/>
      <c r="AC47" s="802"/>
      <c r="AD47" s="802"/>
      <c r="AE47" s="802"/>
      <c r="AF47" s="802"/>
      <c r="AG47" s="802"/>
    </row>
    <row r="48" spans="1:33" ht="15.75" customHeight="1">
      <c r="A48" s="728" t="s">
        <v>884</v>
      </c>
      <c r="B48" s="662" t="s">
        <v>942</v>
      </c>
      <c r="C48" s="664" t="s">
        <v>942</v>
      </c>
      <c r="D48" s="664" t="s">
        <v>883</v>
      </c>
      <c r="E48" s="664" t="s">
        <v>883</v>
      </c>
      <c r="F48" s="664" t="s">
        <v>883</v>
      </c>
      <c r="G48" s="664" t="s">
        <v>938</v>
      </c>
      <c r="H48" s="664" t="s">
        <v>938</v>
      </c>
      <c r="I48" s="664" t="s">
        <v>938</v>
      </c>
      <c r="J48" s="664" t="s">
        <v>938</v>
      </c>
      <c r="K48" s="664" t="s">
        <v>938</v>
      </c>
      <c r="L48" s="670" t="s">
        <v>293</v>
      </c>
      <c r="M48" s="670" t="s">
        <v>293</v>
      </c>
      <c r="N48" s="670" t="s">
        <v>293</v>
      </c>
      <c r="O48" s="664" t="s">
        <v>938</v>
      </c>
      <c r="P48" s="664" t="s">
        <v>938</v>
      </c>
      <c r="Q48" s="664" t="s">
        <v>941</v>
      </c>
      <c r="R48" s="664" t="s">
        <v>938</v>
      </c>
      <c r="S48" s="664" t="s">
        <v>938</v>
      </c>
      <c r="T48" s="670" t="s">
        <v>293</v>
      </c>
      <c r="U48" s="668" t="s">
        <v>293</v>
      </c>
      <c r="V48" s="670" t="s">
        <v>293</v>
      </c>
      <c r="W48" s="668" t="s">
        <v>293</v>
      </c>
      <c r="X48" s="670" t="s">
        <v>293</v>
      </c>
      <c r="Y48" s="670" t="s">
        <v>293</v>
      </c>
      <c r="Z48" s="664" t="s">
        <v>939</v>
      </c>
      <c r="AA48" s="664" t="s">
        <v>939</v>
      </c>
      <c r="AB48" s="664" t="s">
        <v>939</v>
      </c>
      <c r="AC48" s="670" t="s">
        <v>293</v>
      </c>
      <c r="AD48" s="664" t="s">
        <v>940</v>
      </c>
      <c r="AE48" s="664" t="s">
        <v>939</v>
      </c>
      <c r="AF48" s="664" t="s">
        <v>939</v>
      </c>
      <c r="AG48" s="664" t="s">
        <v>938</v>
      </c>
    </row>
    <row r="49" spans="1:33" ht="15.75" customHeight="1">
      <c r="A49" s="728" t="s">
        <v>618</v>
      </c>
      <c r="B49" s="664">
        <f>90*0.2</f>
        <v>18</v>
      </c>
      <c r="C49" s="664">
        <f>90*0.2</f>
        <v>18</v>
      </c>
      <c r="D49" s="664">
        <f>90*0.2</f>
        <v>18</v>
      </c>
      <c r="E49" s="664">
        <f>90*0.2</f>
        <v>18</v>
      </c>
      <c r="F49" s="664">
        <f>90*0.2</f>
        <v>18</v>
      </c>
      <c r="G49" s="664">
        <f t="shared" ref="G49:L49" si="4">90*0.15</f>
        <v>13.5</v>
      </c>
      <c r="H49" s="664">
        <f t="shared" si="4"/>
        <v>13.5</v>
      </c>
      <c r="I49" s="664">
        <f t="shared" si="4"/>
        <v>13.5</v>
      </c>
      <c r="J49" s="664">
        <f t="shared" si="4"/>
        <v>13.5</v>
      </c>
      <c r="K49" s="664">
        <f t="shared" si="4"/>
        <v>13.5</v>
      </c>
      <c r="L49" s="664">
        <f t="shared" si="4"/>
        <v>13.5</v>
      </c>
      <c r="M49" s="664">
        <f>90*0.05</f>
        <v>4.5</v>
      </c>
      <c r="N49" s="664">
        <f>90*0.05</f>
        <v>4.5</v>
      </c>
      <c r="O49" s="664">
        <f t="shared" ref="O49:T49" si="5">90*0.15</f>
        <v>13.5</v>
      </c>
      <c r="P49" s="664">
        <f t="shared" si="5"/>
        <v>13.5</v>
      </c>
      <c r="Q49" s="664">
        <f t="shared" si="5"/>
        <v>13.5</v>
      </c>
      <c r="R49" s="664">
        <f t="shared" si="5"/>
        <v>13.5</v>
      </c>
      <c r="S49" s="664">
        <f t="shared" si="5"/>
        <v>13.5</v>
      </c>
      <c r="T49" s="664">
        <f t="shared" si="5"/>
        <v>13.5</v>
      </c>
      <c r="U49" s="662">
        <f>90*0.0778006</f>
        <v>7.0020539999999993</v>
      </c>
      <c r="V49" s="664">
        <f>90*0.05</f>
        <v>4.5</v>
      </c>
      <c r="W49" s="662">
        <f>90*0.05</f>
        <v>4.5</v>
      </c>
      <c r="X49" s="664">
        <f>90*0.15</f>
        <v>13.5</v>
      </c>
      <c r="Y49" s="664">
        <f>90*0.15</f>
        <v>13.5</v>
      </c>
      <c r="Z49" s="664">
        <f>90*0.15</f>
        <v>13.5</v>
      </c>
      <c r="AA49" s="664">
        <f>90*0.18</f>
        <v>16.2</v>
      </c>
      <c r="AB49" s="664">
        <f>90*0.18</f>
        <v>16.2</v>
      </c>
      <c r="AC49" s="664">
        <f>90*0.2</f>
        <v>18</v>
      </c>
      <c r="AD49" s="664">
        <f>90*0.2</f>
        <v>18</v>
      </c>
      <c r="AE49" s="664">
        <f>90*0.15</f>
        <v>13.5</v>
      </c>
      <c r="AF49" s="664">
        <f>90*0.15</f>
        <v>13.5</v>
      </c>
      <c r="AG49" s="664">
        <f>90*0.15</f>
        <v>13.5</v>
      </c>
    </row>
    <row r="50" spans="1:33" ht="15.75" customHeight="1">
      <c r="A50" s="728" t="s">
        <v>619</v>
      </c>
      <c r="B50" s="668" t="s">
        <v>293</v>
      </c>
      <c r="C50" s="668" t="s">
        <v>293</v>
      </c>
      <c r="D50" s="664">
        <v>7.5</v>
      </c>
      <c r="E50" s="664">
        <v>7.5</v>
      </c>
      <c r="F50" s="664">
        <v>7.5</v>
      </c>
      <c r="G50" s="670" t="s">
        <v>293</v>
      </c>
      <c r="H50" s="670" t="s">
        <v>293</v>
      </c>
      <c r="I50" s="670" t="s">
        <v>293</v>
      </c>
      <c r="J50" s="670" t="s">
        <v>293</v>
      </c>
      <c r="K50" s="670" t="s">
        <v>293</v>
      </c>
      <c r="L50" s="670" t="s">
        <v>293</v>
      </c>
      <c r="M50" s="670" t="s">
        <v>293</v>
      </c>
      <c r="N50" s="670" t="s">
        <v>293</v>
      </c>
      <c r="O50" s="669" t="s">
        <v>293</v>
      </c>
      <c r="P50" s="668" t="s">
        <v>293</v>
      </c>
      <c r="Q50" s="670" t="s">
        <v>293</v>
      </c>
      <c r="R50" s="668" t="s">
        <v>293</v>
      </c>
      <c r="S50" s="668" t="s">
        <v>293</v>
      </c>
      <c r="T50" s="664">
        <v>7</v>
      </c>
      <c r="U50" s="668" t="s">
        <v>293</v>
      </c>
      <c r="V50" s="670" t="s">
        <v>293</v>
      </c>
      <c r="W50" s="670" t="s">
        <v>293</v>
      </c>
      <c r="X50" s="670" t="s">
        <v>293</v>
      </c>
      <c r="Y50" s="670" t="s">
        <v>293</v>
      </c>
      <c r="Z50" s="669" t="s">
        <v>293</v>
      </c>
      <c r="AA50" s="669" t="s">
        <v>293</v>
      </c>
      <c r="AB50" s="669" t="s">
        <v>293</v>
      </c>
      <c r="AC50" s="669" t="s">
        <v>293</v>
      </c>
      <c r="AD50" s="670" t="s">
        <v>293</v>
      </c>
      <c r="AE50" s="669" t="s">
        <v>293</v>
      </c>
      <c r="AF50" s="669" t="s">
        <v>293</v>
      </c>
      <c r="AG50" s="669" t="s">
        <v>293</v>
      </c>
    </row>
    <row r="51" spans="1:33" ht="15.75" customHeight="1">
      <c r="A51" s="728" t="s">
        <v>621</v>
      </c>
      <c r="B51" s="662">
        <v>2</v>
      </c>
      <c r="C51" s="662">
        <v>3.5</v>
      </c>
      <c r="D51" s="664">
        <v>1.5149999999999999</v>
      </c>
      <c r="E51" s="664">
        <v>1.5149999999999999</v>
      </c>
      <c r="F51" s="664">
        <v>1.5149999999999999</v>
      </c>
      <c r="G51" s="664">
        <v>1.125</v>
      </c>
      <c r="H51" s="664">
        <v>1.125</v>
      </c>
      <c r="I51" s="664">
        <v>1.125</v>
      </c>
      <c r="J51" s="664">
        <v>1.125</v>
      </c>
      <c r="K51" s="664">
        <v>1.125</v>
      </c>
      <c r="L51" s="664">
        <v>1.35</v>
      </c>
      <c r="M51" s="664">
        <v>1.05</v>
      </c>
      <c r="N51" s="664">
        <v>1.05</v>
      </c>
      <c r="O51" s="664">
        <v>1.1499999999999999</v>
      </c>
      <c r="P51" s="664">
        <v>1.1000000000000001</v>
      </c>
      <c r="Q51" s="664">
        <v>1.1499999999999999</v>
      </c>
      <c r="R51" s="664">
        <v>1.1000000000000001</v>
      </c>
      <c r="S51" s="664">
        <v>1.1499999999999999</v>
      </c>
      <c r="T51" s="664">
        <v>1.1100000000000001</v>
      </c>
      <c r="U51" s="662">
        <v>1.075</v>
      </c>
      <c r="V51" s="664">
        <v>1.05</v>
      </c>
      <c r="W51" s="662">
        <v>1.05</v>
      </c>
      <c r="X51" s="664">
        <v>1.1499999999999999</v>
      </c>
      <c r="Y51" s="664">
        <v>1.1499999999999999</v>
      </c>
      <c r="Z51" s="664">
        <v>1.1499999999999999</v>
      </c>
      <c r="AA51" s="664">
        <v>1.35</v>
      </c>
      <c r="AB51" s="664">
        <v>1.35</v>
      </c>
      <c r="AC51" s="664">
        <v>1.3</v>
      </c>
      <c r="AD51" s="664">
        <v>1.35</v>
      </c>
      <c r="AE51" s="664">
        <v>1.2</v>
      </c>
      <c r="AF51" s="664">
        <v>1.2</v>
      </c>
      <c r="AG51" s="664">
        <v>1.1100000000000001</v>
      </c>
    </row>
    <row r="52" spans="1:33" ht="15.75" customHeight="1">
      <c r="A52" s="661" t="s">
        <v>622</v>
      </c>
      <c r="B52" s="668" t="s">
        <v>293</v>
      </c>
      <c r="C52" s="668" t="s">
        <v>293</v>
      </c>
      <c r="D52" s="669" t="s">
        <v>293</v>
      </c>
      <c r="E52" s="669" t="s">
        <v>293</v>
      </c>
      <c r="F52" s="670" t="s">
        <v>293</v>
      </c>
      <c r="G52" s="669" t="s">
        <v>293</v>
      </c>
      <c r="H52" s="669" t="s">
        <v>293</v>
      </c>
      <c r="I52" s="669" t="s">
        <v>293</v>
      </c>
      <c r="J52" s="669" t="s">
        <v>293</v>
      </c>
      <c r="K52" s="669" t="s">
        <v>293</v>
      </c>
      <c r="L52" s="669" t="s">
        <v>293</v>
      </c>
      <c r="M52" s="670" t="s">
        <v>293</v>
      </c>
      <c r="N52" s="670" t="s">
        <v>293</v>
      </c>
      <c r="O52" s="669" t="s">
        <v>293</v>
      </c>
      <c r="P52" s="669" t="s">
        <v>293</v>
      </c>
      <c r="Q52" s="669" t="s">
        <v>293</v>
      </c>
      <c r="R52" s="669" t="s">
        <v>293</v>
      </c>
      <c r="S52" s="669" t="s">
        <v>293</v>
      </c>
      <c r="T52" s="669" t="s">
        <v>293</v>
      </c>
      <c r="U52" s="668" t="s">
        <v>293</v>
      </c>
      <c r="V52" s="669" t="s">
        <v>293</v>
      </c>
      <c r="W52" s="668" t="s">
        <v>293</v>
      </c>
      <c r="X52" s="669" t="s">
        <v>293</v>
      </c>
      <c r="Y52" s="669" t="s">
        <v>293</v>
      </c>
      <c r="Z52" s="669" t="s">
        <v>293</v>
      </c>
      <c r="AA52" s="669" t="s">
        <v>293</v>
      </c>
      <c r="AB52" s="669" t="s">
        <v>293</v>
      </c>
      <c r="AC52" s="669" t="s">
        <v>293</v>
      </c>
      <c r="AD52" s="669" t="s">
        <v>293</v>
      </c>
      <c r="AE52" s="669" t="s">
        <v>293</v>
      </c>
      <c r="AF52" s="669" t="s">
        <v>293</v>
      </c>
      <c r="AG52" s="669" t="s">
        <v>293</v>
      </c>
    </row>
    <row r="53" spans="1:33" ht="15.75" customHeight="1">
      <c r="A53" s="728" t="s">
        <v>623</v>
      </c>
      <c r="B53" s="668" t="s">
        <v>293</v>
      </c>
      <c r="C53" s="668" t="s">
        <v>293</v>
      </c>
      <c r="D53" s="670" t="s">
        <v>293</v>
      </c>
      <c r="E53" s="670" t="s">
        <v>293</v>
      </c>
      <c r="F53" s="670" t="s">
        <v>293</v>
      </c>
      <c r="G53" s="670" t="s">
        <v>293</v>
      </c>
      <c r="H53" s="670" t="s">
        <v>293</v>
      </c>
      <c r="I53" s="670" t="s">
        <v>293</v>
      </c>
      <c r="J53" s="670" t="s">
        <v>293</v>
      </c>
      <c r="K53" s="670" t="s">
        <v>293</v>
      </c>
      <c r="L53" s="670" t="s">
        <v>293</v>
      </c>
      <c r="M53" s="670" t="s">
        <v>293</v>
      </c>
      <c r="N53" s="670" t="s">
        <v>293</v>
      </c>
      <c r="O53" s="670" t="s">
        <v>293</v>
      </c>
      <c r="P53" s="670" t="s">
        <v>293</v>
      </c>
      <c r="Q53" s="670" t="s">
        <v>293</v>
      </c>
      <c r="R53" s="670" t="s">
        <v>293</v>
      </c>
      <c r="S53" s="670" t="s">
        <v>293</v>
      </c>
      <c r="T53" s="669" t="s">
        <v>293</v>
      </c>
      <c r="U53" s="668" t="s">
        <v>293</v>
      </c>
      <c r="V53" s="670" t="s">
        <v>293</v>
      </c>
      <c r="W53" s="668" t="s">
        <v>293</v>
      </c>
      <c r="X53" s="670" t="s">
        <v>293</v>
      </c>
      <c r="Y53" s="670" t="s">
        <v>293</v>
      </c>
      <c r="Z53" s="670" t="s">
        <v>293</v>
      </c>
      <c r="AA53" s="670" t="s">
        <v>293</v>
      </c>
      <c r="AB53" s="670" t="s">
        <v>293</v>
      </c>
      <c r="AC53" s="669" t="s">
        <v>293</v>
      </c>
      <c r="AD53" s="670" t="s">
        <v>293</v>
      </c>
      <c r="AE53" s="670" t="s">
        <v>293</v>
      </c>
      <c r="AF53" s="670" t="s">
        <v>293</v>
      </c>
      <c r="AG53" s="670" t="s">
        <v>293</v>
      </c>
    </row>
    <row r="54" spans="1:33" ht="15.75" customHeight="1">
      <c r="A54" s="728" t="s">
        <v>865</v>
      </c>
      <c r="B54" s="662">
        <v>1</v>
      </c>
      <c r="C54" s="662">
        <v>1</v>
      </c>
      <c r="D54" s="664">
        <v>0.9</v>
      </c>
      <c r="E54" s="664">
        <v>0.9</v>
      </c>
      <c r="F54" s="664">
        <v>0.9</v>
      </c>
      <c r="G54" s="664">
        <v>475</v>
      </c>
      <c r="H54" s="664">
        <v>475</v>
      </c>
      <c r="I54" s="664">
        <v>475</v>
      </c>
      <c r="J54" s="664">
        <v>475</v>
      </c>
      <c r="K54" s="664">
        <v>475</v>
      </c>
      <c r="L54" s="664">
        <v>1</v>
      </c>
      <c r="M54" s="664">
        <v>455</v>
      </c>
      <c r="N54" s="664">
        <v>395</v>
      </c>
      <c r="O54" s="664">
        <v>340</v>
      </c>
      <c r="P54" s="664">
        <v>345</v>
      </c>
      <c r="Q54" s="664">
        <v>370</v>
      </c>
      <c r="R54" s="664">
        <v>345</v>
      </c>
      <c r="S54" s="664">
        <v>340</v>
      </c>
      <c r="T54" s="664">
        <v>450</v>
      </c>
      <c r="U54" s="662">
        <v>565</v>
      </c>
      <c r="V54" s="664">
        <v>480</v>
      </c>
      <c r="W54" s="662">
        <v>395</v>
      </c>
      <c r="X54" s="664">
        <v>2</v>
      </c>
      <c r="Y54" s="664">
        <v>2</v>
      </c>
      <c r="Z54" s="662">
        <v>2</v>
      </c>
      <c r="AA54" s="664">
        <v>1.75</v>
      </c>
      <c r="AB54" s="664">
        <v>1.75</v>
      </c>
      <c r="AC54" s="662">
        <v>2.2000000000000002</v>
      </c>
      <c r="AD54" s="664">
        <v>180</v>
      </c>
      <c r="AE54" s="664">
        <v>510</v>
      </c>
      <c r="AF54" s="664">
        <v>510</v>
      </c>
      <c r="AG54" s="664">
        <v>530</v>
      </c>
    </row>
    <row r="55" spans="1:33" ht="15.75" customHeight="1">
      <c r="A55" s="728" t="s">
        <v>625</v>
      </c>
      <c r="B55" s="662">
        <v>60</v>
      </c>
      <c r="C55" s="662">
        <v>70</v>
      </c>
      <c r="D55" s="664">
        <v>23</v>
      </c>
      <c r="E55" s="664">
        <v>23</v>
      </c>
      <c r="F55" s="664">
        <v>23</v>
      </c>
      <c r="G55" s="670" t="s">
        <v>293</v>
      </c>
      <c r="H55" s="670" t="s">
        <v>293</v>
      </c>
      <c r="I55" s="670" t="s">
        <v>293</v>
      </c>
      <c r="J55" s="670" t="s">
        <v>293</v>
      </c>
      <c r="K55" s="670" t="s">
        <v>293</v>
      </c>
      <c r="L55" s="664">
        <v>20</v>
      </c>
      <c r="M55" s="670" t="s">
        <v>293</v>
      </c>
      <c r="N55" s="670" t="s">
        <v>293</v>
      </c>
      <c r="O55" s="670" t="s">
        <v>293</v>
      </c>
      <c r="P55" s="670" t="s">
        <v>293</v>
      </c>
      <c r="Q55" s="670" t="s">
        <v>293</v>
      </c>
      <c r="R55" s="670" t="s">
        <v>293</v>
      </c>
      <c r="S55" s="670" t="s">
        <v>293</v>
      </c>
      <c r="T55" s="669" t="s">
        <v>293</v>
      </c>
      <c r="U55" s="668" t="s">
        <v>293</v>
      </c>
      <c r="V55" s="670" t="s">
        <v>293</v>
      </c>
      <c r="W55" s="668" t="s">
        <v>293</v>
      </c>
      <c r="X55" s="664">
        <v>7</v>
      </c>
      <c r="Y55" s="664">
        <v>7</v>
      </c>
      <c r="Z55" s="662">
        <v>10</v>
      </c>
      <c r="AA55" s="664">
        <v>10</v>
      </c>
      <c r="AB55" s="664">
        <v>10</v>
      </c>
      <c r="AC55" s="662">
        <v>40</v>
      </c>
      <c r="AD55" s="670" t="s">
        <v>293</v>
      </c>
      <c r="AE55" s="664">
        <v>10</v>
      </c>
      <c r="AF55" s="664">
        <v>12</v>
      </c>
      <c r="AG55" s="670" t="s">
        <v>293</v>
      </c>
    </row>
    <row r="56" spans="1:33" ht="15.75" customHeight="1">
      <c r="A56" s="661" t="s">
        <v>629</v>
      </c>
      <c r="B56" s="662">
        <v>3000</v>
      </c>
      <c r="C56" s="662">
        <v>3000</v>
      </c>
      <c r="D56" s="664">
        <v>600</v>
      </c>
      <c r="E56" s="664">
        <v>600</v>
      </c>
      <c r="F56" s="664">
        <v>600</v>
      </c>
      <c r="G56" s="664">
        <v>30</v>
      </c>
      <c r="H56" s="664">
        <v>30</v>
      </c>
      <c r="I56" s="664">
        <v>30</v>
      </c>
      <c r="J56" s="664">
        <v>30</v>
      </c>
      <c r="K56" s="664">
        <v>30</v>
      </c>
      <c r="L56" s="664">
        <v>3000</v>
      </c>
      <c r="M56" s="664">
        <v>2000</v>
      </c>
      <c r="N56" s="664">
        <v>2000</v>
      </c>
      <c r="O56" s="664">
        <v>30</v>
      </c>
      <c r="P56" s="664">
        <v>30</v>
      </c>
      <c r="Q56" s="664">
        <v>30</v>
      </c>
      <c r="R56" s="664">
        <v>30</v>
      </c>
      <c r="S56" s="664">
        <v>30</v>
      </c>
      <c r="T56" s="664">
        <v>1000</v>
      </c>
      <c r="U56" s="662">
        <v>1500</v>
      </c>
      <c r="V56" s="664">
        <v>1500</v>
      </c>
      <c r="W56" s="662">
        <v>2000</v>
      </c>
      <c r="X56" s="664">
        <v>500</v>
      </c>
      <c r="Y56" s="664">
        <v>500</v>
      </c>
      <c r="Z56" s="662">
        <v>500</v>
      </c>
      <c r="AA56" s="664">
        <v>3000</v>
      </c>
      <c r="AB56" s="664">
        <v>3000</v>
      </c>
      <c r="AC56" s="662">
        <v>3000</v>
      </c>
      <c r="AD56" s="664">
        <v>600</v>
      </c>
      <c r="AE56" s="664">
        <v>2000</v>
      </c>
      <c r="AF56" s="664">
        <v>2000</v>
      </c>
      <c r="AG56" s="664">
        <v>1000</v>
      </c>
    </row>
    <row r="57" spans="1:33" ht="15.75" customHeight="1">
      <c r="A57" s="728" t="s">
        <v>759</v>
      </c>
      <c r="B57" s="662">
        <v>70</v>
      </c>
      <c r="C57" s="662">
        <v>70</v>
      </c>
      <c r="D57" s="664">
        <v>26.4</v>
      </c>
      <c r="E57" s="664">
        <v>26.4</v>
      </c>
      <c r="F57" s="664">
        <v>26.4</v>
      </c>
      <c r="G57" s="664">
        <v>8</v>
      </c>
      <c r="H57" s="664">
        <v>8</v>
      </c>
      <c r="I57" s="664">
        <v>8</v>
      </c>
      <c r="J57" s="664">
        <v>8</v>
      </c>
      <c r="K57" s="664">
        <v>8</v>
      </c>
      <c r="L57" s="664">
        <v>20</v>
      </c>
      <c r="M57" s="664">
        <v>11</v>
      </c>
      <c r="N57" s="664">
        <v>11</v>
      </c>
      <c r="O57" s="664">
        <v>6</v>
      </c>
      <c r="P57" s="664">
        <v>10</v>
      </c>
      <c r="Q57" s="664">
        <v>12</v>
      </c>
      <c r="R57" s="664">
        <v>10</v>
      </c>
      <c r="S57" s="664">
        <v>6</v>
      </c>
      <c r="T57" s="664">
        <v>27</v>
      </c>
      <c r="U57" s="662">
        <v>10</v>
      </c>
      <c r="V57" s="664">
        <v>10</v>
      </c>
      <c r="W57" s="662">
        <v>10</v>
      </c>
      <c r="X57" s="664">
        <v>10</v>
      </c>
      <c r="Y57" s="664">
        <v>10</v>
      </c>
      <c r="Z57" s="662">
        <v>10</v>
      </c>
      <c r="AA57" s="664">
        <v>10</v>
      </c>
      <c r="AB57" s="664">
        <v>10</v>
      </c>
      <c r="AC57" s="662">
        <v>40</v>
      </c>
      <c r="AD57" s="664">
        <v>8</v>
      </c>
      <c r="AE57" s="664">
        <v>10</v>
      </c>
      <c r="AF57" s="664">
        <v>12</v>
      </c>
      <c r="AG57" s="664">
        <v>10</v>
      </c>
    </row>
    <row r="58" spans="1:33" ht="15.75" customHeight="1">
      <c r="A58" s="728" t="s">
        <v>631</v>
      </c>
      <c r="B58" s="662">
        <v>15</v>
      </c>
      <c r="C58" s="662">
        <v>15</v>
      </c>
      <c r="D58" s="664">
        <v>6</v>
      </c>
      <c r="E58" s="664">
        <v>6</v>
      </c>
      <c r="F58" s="664">
        <v>6</v>
      </c>
      <c r="G58" s="664">
        <v>6</v>
      </c>
      <c r="H58" s="664">
        <v>6</v>
      </c>
      <c r="I58" s="664">
        <v>6</v>
      </c>
      <c r="J58" s="664">
        <v>6</v>
      </c>
      <c r="K58" s="664">
        <v>6</v>
      </c>
      <c r="L58" s="664">
        <v>4</v>
      </c>
      <c r="M58" s="664">
        <v>2</v>
      </c>
      <c r="N58" s="664">
        <v>2</v>
      </c>
      <c r="O58" s="664">
        <v>6</v>
      </c>
      <c r="P58" s="664">
        <v>6</v>
      </c>
      <c r="Q58" s="664">
        <v>6</v>
      </c>
      <c r="R58" s="664">
        <v>6</v>
      </c>
      <c r="S58" s="664">
        <v>6</v>
      </c>
      <c r="T58" s="664">
        <v>7</v>
      </c>
      <c r="U58" s="662">
        <v>2</v>
      </c>
      <c r="V58" s="664">
        <v>2</v>
      </c>
      <c r="W58" s="662">
        <v>4</v>
      </c>
      <c r="X58" s="664">
        <v>8</v>
      </c>
      <c r="Y58" s="664">
        <v>8</v>
      </c>
      <c r="Z58" s="662">
        <v>10</v>
      </c>
      <c r="AA58" s="664">
        <v>6</v>
      </c>
      <c r="AB58" s="664">
        <v>6</v>
      </c>
      <c r="AC58" s="662">
        <v>15</v>
      </c>
      <c r="AD58" s="664">
        <v>2.5</v>
      </c>
      <c r="AE58" s="664">
        <v>8</v>
      </c>
      <c r="AF58" s="664">
        <v>8</v>
      </c>
      <c r="AG58" s="664">
        <v>6</v>
      </c>
    </row>
    <row r="59" spans="1:33" ht="15.75" customHeight="1">
      <c r="A59" s="728" t="s">
        <v>632</v>
      </c>
      <c r="B59" s="668" t="s">
        <v>293</v>
      </c>
      <c r="C59" s="668" t="s">
        <v>293</v>
      </c>
      <c r="D59" s="664">
        <v>5</v>
      </c>
      <c r="E59" s="664">
        <v>5</v>
      </c>
      <c r="F59" s="664">
        <v>5</v>
      </c>
      <c r="G59" s="762" t="s">
        <v>293</v>
      </c>
      <c r="H59" s="762" t="s">
        <v>293</v>
      </c>
      <c r="I59" s="762" t="s">
        <v>293</v>
      </c>
      <c r="J59" s="762" t="s">
        <v>293</v>
      </c>
      <c r="K59" s="762" t="s">
        <v>293</v>
      </c>
      <c r="L59" s="664">
        <v>4</v>
      </c>
      <c r="M59" s="762" t="s">
        <v>293</v>
      </c>
      <c r="N59" s="762" t="s">
        <v>293</v>
      </c>
      <c r="O59" s="762" t="s">
        <v>293</v>
      </c>
      <c r="P59" s="762" t="s">
        <v>293</v>
      </c>
      <c r="Q59" s="762" t="s">
        <v>293</v>
      </c>
      <c r="R59" s="762" t="s">
        <v>293</v>
      </c>
      <c r="S59" s="762" t="s">
        <v>293</v>
      </c>
      <c r="T59" s="669" t="s">
        <v>293</v>
      </c>
      <c r="U59" s="719" t="s">
        <v>293</v>
      </c>
      <c r="V59" s="762" t="s">
        <v>293</v>
      </c>
      <c r="W59" s="719" t="s">
        <v>293</v>
      </c>
      <c r="X59" s="664">
        <v>8</v>
      </c>
      <c r="Y59" s="664">
        <v>8</v>
      </c>
      <c r="Z59" s="662">
        <v>8</v>
      </c>
      <c r="AA59" s="664">
        <v>6</v>
      </c>
      <c r="AB59" s="664">
        <v>6</v>
      </c>
      <c r="AC59" s="662">
        <v>6</v>
      </c>
      <c r="AD59" s="762" t="s">
        <v>293</v>
      </c>
      <c r="AE59" s="664">
        <v>2</v>
      </c>
      <c r="AF59" s="664">
        <v>2</v>
      </c>
      <c r="AG59" s="762" t="s">
        <v>293</v>
      </c>
    </row>
    <row r="60" spans="1:33" ht="12.75">
      <c r="A60" s="661" t="s">
        <v>626</v>
      </c>
      <c r="B60" s="664">
        <v>1</v>
      </c>
      <c r="C60" s="664">
        <v>1</v>
      </c>
      <c r="D60" s="664">
        <v>0.5</v>
      </c>
      <c r="E60" s="664">
        <v>0.5</v>
      </c>
      <c r="F60" s="664">
        <v>0.5</v>
      </c>
      <c r="G60" s="668" t="s">
        <v>293</v>
      </c>
      <c r="H60" s="668" t="s">
        <v>293</v>
      </c>
      <c r="I60" s="668" t="s">
        <v>293</v>
      </c>
      <c r="J60" s="668" t="s">
        <v>293</v>
      </c>
      <c r="K60" s="668" t="s">
        <v>293</v>
      </c>
      <c r="L60" s="664">
        <v>1</v>
      </c>
      <c r="M60" s="664">
        <v>1</v>
      </c>
      <c r="N60" s="664">
        <v>1</v>
      </c>
      <c r="O60" s="668" t="s">
        <v>293</v>
      </c>
      <c r="P60" s="668" t="s">
        <v>293</v>
      </c>
      <c r="Q60" s="664">
        <v>0.8</v>
      </c>
      <c r="R60" s="668" t="s">
        <v>293</v>
      </c>
      <c r="S60" s="668" t="s">
        <v>293</v>
      </c>
      <c r="T60" s="668" t="s">
        <v>293</v>
      </c>
      <c r="U60" s="664">
        <v>0.75</v>
      </c>
      <c r="V60" s="664">
        <v>0.75</v>
      </c>
      <c r="W60" s="668" t="s">
        <v>293</v>
      </c>
      <c r="X60" s="664">
        <v>0.8</v>
      </c>
      <c r="Y60" s="664">
        <v>0.8</v>
      </c>
      <c r="Z60" s="664">
        <v>0.5</v>
      </c>
      <c r="AA60" s="664">
        <v>0.8</v>
      </c>
      <c r="AB60" s="664">
        <v>0.8</v>
      </c>
      <c r="AC60" s="664">
        <v>0.8</v>
      </c>
      <c r="AD60" s="668" t="s">
        <v>293</v>
      </c>
      <c r="AE60" s="664">
        <v>0.5</v>
      </c>
      <c r="AF60" s="664">
        <v>0.5</v>
      </c>
      <c r="AG60" s="668" t="s">
        <v>293</v>
      </c>
    </row>
    <row r="61" spans="1:33" ht="12.75">
      <c r="A61" s="661" t="s">
        <v>756</v>
      </c>
      <c r="B61" s="668" t="s">
        <v>293</v>
      </c>
      <c r="C61" s="668" t="s">
        <v>293</v>
      </c>
      <c r="D61" s="668" t="s">
        <v>293</v>
      </c>
      <c r="E61" s="668" t="s">
        <v>293</v>
      </c>
      <c r="F61" s="668" t="s">
        <v>293</v>
      </c>
      <c r="G61" s="668" t="s">
        <v>293</v>
      </c>
      <c r="H61" s="668" t="s">
        <v>293</v>
      </c>
      <c r="I61" s="668" t="s">
        <v>293</v>
      </c>
      <c r="J61" s="668" t="s">
        <v>293</v>
      </c>
      <c r="K61" s="668" t="s">
        <v>293</v>
      </c>
      <c r="L61" s="668" t="s">
        <v>293</v>
      </c>
      <c r="M61" s="668" t="s">
        <v>293</v>
      </c>
      <c r="N61" s="668" t="s">
        <v>293</v>
      </c>
      <c r="O61" s="668" t="s">
        <v>293</v>
      </c>
      <c r="P61" s="668" t="s">
        <v>293</v>
      </c>
      <c r="Q61" s="668" t="s">
        <v>293</v>
      </c>
      <c r="R61" s="668" t="s">
        <v>293</v>
      </c>
      <c r="S61" s="668" t="s">
        <v>293</v>
      </c>
      <c r="T61" s="668" t="s">
        <v>293</v>
      </c>
      <c r="U61" s="668" t="s">
        <v>293</v>
      </c>
      <c r="V61" s="668" t="s">
        <v>293</v>
      </c>
      <c r="W61" s="668" t="s">
        <v>293</v>
      </c>
      <c r="X61" s="668" t="s">
        <v>293</v>
      </c>
      <c r="Y61" s="668" t="s">
        <v>293</v>
      </c>
      <c r="Z61" s="668" t="s">
        <v>293</v>
      </c>
      <c r="AA61" s="668" t="s">
        <v>293</v>
      </c>
      <c r="AB61" s="668" t="s">
        <v>293</v>
      </c>
      <c r="AC61" s="668" t="s">
        <v>293</v>
      </c>
      <c r="AD61" s="668" t="s">
        <v>293</v>
      </c>
      <c r="AE61" s="668" t="s">
        <v>293</v>
      </c>
      <c r="AF61" s="668" t="s">
        <v>293</v>
      </c>
      <c r="AG61" s="668" t="s">
        <v>293</v>
      </c>
    </row>
    <row r="62" spans="1:33" ht="12.75">
      <c r="A62" s="661" t="s">
        <v>756</v>
      </c>
      <c r="B62" s="668" t="s">
        <v>293</v>
      </c>
      <c r="C62" s="668" t="s">
        <v>293</v>
      </c>
      <c r="D62" s="668" t="s">
        <v>293</v>
      </c>
      <c r="E62" s="668" t="s">
        <v>293</v>
      </c>
      <c r="F62" s="668" t="s">
        <v>293</v>
      </c>
      <c r="G62" s="668" t="s">
        <v>293</v>
      </c>
      <c r="H62" s="668" t="s">
        <v>293</v>
      </c>
      <c r="I62" s="668" t="s">
        <v>293</v>
      </c>
      <c r="J62" s="668" t="s">
        <v>293</v>
      </c>
      <c r="K62" s="668" t="s">
        <v>293</v>
      </c>
      <c r="L62" s="668" t="s">
        <v>293</v>
      </c>
      <c r="M62" s="668" t="s">
        <v>293</v>
      </c>
      <c r="N62" s="668" t="s">
        <v>293</v>
      </c>
      <c r="O62" s="668" t="s">
        <v>293</v>
      </c>
      <c r="P62" s="668" t="s">
        <v>293</v>
      </c>
      <c r="Q62" s="668" t="s">
        <v>293</v>
      </c>
      <c r="R62" s="668" t="s">
        <v>293</v>
      </c>
      <c r="S62" s="668" t="s">
        <v>293</v>
      </c>
      <c r="T62" s="668" t="s">
        <v>293</v>
      </c>
      <c r="U62" s="668" t="s">
        <v>293</v>
      </c>
      <c r="V62" s="668" t="s">
        <v>293</v>
      </c>
      <c r="W62" s="668" t="s">
        <v>293</v>
      </c>
      <c r="X62" s="668" t="s">
        <v>293</v>
      </c>
      <c r="Y62" s="668" t="s">
        <v>293</v>
      </c>
      <c r="Z62" s="668" t="s">
        <v>293</v>
      </c>
      <c r="AA62" s="668" t="s">
        <v>293</v>
      </c>
      <c r="AB62" s="668" t="s">
        <v>293</v>
      </c>
      <c r="AC62" s="668" t="s">
        <v>293</v>
      </c>
      <c r="AD62" s="668" t="s">
        <v>293</v>
      </c>
      <c r="AE62" s="668" t="s">
        <v>293</v>
      </c>
      <c r="AF62" s="668" t="s">
        <v>293</v>
      </c>
      <c r="AG62" s="668" t="s">
        <v>293</v>
      </c>
    </row>
    <row r="63" spans="1:33" ht="12.75">
      <c r="A63" s="661" t="s">
        <v>628</v>
      </c>
      <c r="B63" s="664">
        <v>1.5</v>
      </c>
      <c r="C63" s="664">
        <v>1.5</v>
      </c>
      <c r="D63" s="668" t="s">
        <v>293</v>
      </c>
      <c r="E63" s="668" t="s">
        <v>293</v>
      </c>
      <c r="F63" s="668" t="s">
        <v>293</v>
      </c>
      <c r="G63" s="668" t="s">
        <v>293</v>
      </c>
      <c r="H63" s="668" t="s">
        <v>293</v>
      </c>
      <c r="I63" s="668" t="s">
        <v>293</v>
      </c>
      <c r="J63" s="668" t="s">
        <v>293</v>
      </c>
      <c r="K63" s="668" t="s">
        <v>293</v>
      </c>
      <c r="L63" s="668" t="s">
        <v>293</v>
      </c>
      <c r="M63" s="668" t="s">
        <v>293</v>
      </c>
      <c r="N63" s="668" t="s">
        <v>293</v>
      </c>
      <c r="O63" s="668" t="s">
        <v>293</v>
      </c>
      <c r="P63" s="668" t="s">
        <v>293</v>
      </c>
      <c r="Q63" s="668" t="s">
        <v>293</v>
      </c>
      <c r="R63" s="668" t="s">
        <v>293</v>
      </c>
      <c r="S63" s="668" t="s">
        <v>293</v>
      </c>
      <c r="T63" s="668" t="s">
        <v>293</v>
      </c>
      <c r="U63" s="668" t="s">
        <v>293</v>
      </c>
      <c r="V63" s="668" t="s">
        <v>293</v>
      </c>
      <c r="W63" s="668" t="s">
        <v>293</v>
      </c>
      <c r="X63" s="668" t="s">
        <v>293</v>
      </c>
      <c r="Y63" s="668" t="s">
        <v>293</v>
      </c>
      <c r="Z63" s="668" t="s">
        <v>293</v>
      </c>
      <c r="AA63" s="668" t="s">
        <v>293</v>
      </c>
      <c r="AB63" s="668" t="s">
        <v>293</v>
      </c>
      <c r="AC63" s="668" t="s">
        <v>293</v>
      </c>
      <c r="AD63" s="668" t="s">
        <v>293</v>
      </c>
      <c r="AE63" s="668" t="s">
        <v>293</v>
      </c>
      <c r="AF63" s="668" t="s">
        <v>293</v>
      </c>
      <c r="AG63" s="668" t="s">
        <v>293</v>
      </c>
    </row>
    <row r="64" spans="1:33" ht="12.75">
      <c r="A64" s="661" t="s">
        <v>633</v>
      </c>
      <c r="B64" s="719" t="s">
        <v>328</v>
      </c>
      <c r="C64" s="719" t="s">
        <v>328</v>
      </c>
      <c r="D64" s="670" t="s">
        <v>324</v>
      </c>
      <c r="E64" s="670" t="s">
        <v>324</v>
      </c>
      <c r="F64" s="670" t="s">
        <v>324</v>
      </c>
      <c r="G64" s="670" t="s">
        <v>324</v>
      </c>
      <c r="H64" s="670" t="s">
        <v>324</v>
      </c>
      <c r="I64" s="670" t="s">
        <v>324</v>
      </c>
      <c r="J64" s="670" t="s">
        <v>324</v>
      </c>
      <c r="K64" s="670" t="s">
        <v>324</v>
      </c>
      <c r="L64" s="670" t="s">
        <v>324</v>
      </c>
      <c r="M64" s="670" t="s">
        <v>324</v>
      </c>
      <c r="N64" s="670" t="s">
        <v>324</v>
      </c>
      <c r="O64" s="670" t="s">
        <v>324</v>
      </c>
      <c r="P64" s="670" t="s">
        <v>324</v>
      </c>
      <c r="Q64" s="670" t="s">
        <v>324</v>
      </c>
      <c r="R64" s="670" t="s">
        <v>324</v>
      </c>
      <c r="S64" s="670" t="s">
        <v>324</v>
      </c>
      <c r="T64" s="670" t="s">
        <v>324</v>
      </c>
      <c r="U64" s="670" t="s">
        <v>324</v>
      </c>
      <c r="V64" s="670" t="s">
        <v>324</v>
      </c>
      <c r="W64" s="670" t="s">
        <v>324</v>
      </c>
      <c r="X64" s="670" t="s">
        <v>324</v>
      </c>
      <c r="Y64" s="670" t="s">
        <v>324</v>
      </c>
      <c r="Z64" s="670" t="s">
        <v>324</v>
      </c>
      <c r="AA64" s="670" t="s">
        <v>324</v>
      </c>
      <c r="AB64" s="670" t="s">
        <v>324</v>
      </c>
      <c r="AC64" s="670" t="s">
        <v>324</v>
      </c>
      <c r="AD64" s="670" t="s">
        <v>324</v>
      </c>
      <c r="AE64" s="670" t="s">
        <v>324</v>
      </c>
      <c r="AF64" s="670" t="s">
        <v>324</v>
      </c>
      <c r="AG64" s="670" t="s">
        <v>324</v>
      </c>
    </row>
    <row r="65" spans="1:33" ht="12.75">
      <c r="A65" s="661" t="s">
        <v>634</v>
      </c>
      <c r="B65" s="664">
        <v>4.5</v>
      </c>
      <c r="C65" s="664">
        <v>4.5</v>
      </c>
      <c r="D65" s="670" t="s">
        <v>293</v>
      </c>
      <c r="E65" s="670" t="s">
        <v>293</v>
      </c>
      <c r="F65" s="670" t="s">
        <v>293</v>
      </c>
      <c r="G65" s="670" t="s">
        <v>293</v>
      </c>
      <c r="H65" s="670" t="s">
        <v>293</v>
      </c>
      <c r="I65" s="670" t="s">
        <v>293</v>
      </c>
      <c r="J65" s="670" t="s">
        <v>293</v>
      </c>
      <c r="K65" s="670" t="s">
        <v>293</v>
      </c>
      <c r="L65" s="670" t="s">
        <v>293</v>
      </c>
      <c r="M65" s="670" t="s">
        <v>293</v>
      </c>
      <c r="N65" s="670" t="s">
        <v>293</v>
      </c>
      <c r="O65" s="670" t="s">
        <v>293</v>
      </c>
      <c r="P65" s="670" t="s">
        <v>293</v>
      </c>
      <c r="Q65" s="670" t="s">
        <v>293</v>
      </c>
      <c r="R65" s="670" t="s">
        <v>293</v>
      </c>
      <c r="S65" s="670" t="s">
        <v>293</v>
      </c>
      <c r="T65" s="670" t="s">
        <v>293</v>
      </c>
      <c r="U65" s="670" t="s">
        <v>293</v>
      </c>
      <c r="V65" s="670" t="s">
        <v>293</v>
      </c>
      <c r="W65" s="670" t="s">
        <v>293</v>
      </c>
      <c r="X65" s="670" t="s">
        <v>293</v>
      </c>
      <c r="Y65" s="670" t="s">
        <v>293</v>
      </c>
      <c r="Z65" s="670" t="s">
        <v>293</v>
      </c>
      <c r="AA65" s="670" t="s">
        <v>293</v>
      </c>
      <c r="AB65" s="670" t="s">
        <v>293</v>
      </c>
      <c r="AC65" s="670" t="s">
        <v>293</v>
      </c>
      <c r="AD65" s="670" t="s">
        <v>293</v>
      </c>
      <c r="AE65" s="670" t="s">
        <v>293</v>
      </c>
      <c r="AF65" s="670" t="s">
        <v>293</v>
      </c>
      <c r="AG65" s="670" t="s">
        <v>293</v>
      </c>
    </row>
    <row r="66" spans="1:33" ht="12.75">
      <c r="A66" s="728" t="s">
        <v>686</v>
      </c>
      <c r="B66" s="719" t="s">
        <v>328</v>
      </c>
      <c r="C66" s="719" t="s">
        <v>328</v>
      </c>
      <c r="D66" s="670" t="s">
        <v>328</v>
      </c>
      <c r="E66" s="670" t="s">
        <v>328</v>
      </c>
      <c r="F66" s="670" t="s">
        <v>328</v>
      </c>
      <c r="G66" s="670" t="s">
        <v>328</v>
      </c>
      <c r="H66" s="670" t="s">
        <v>328</v>
      </c>
      <c r="I66" s="670" t="s">
        <v>328</v>
      </c>
      <c r="J66" s="670" t="s">
        <v>328</v>
      </c>
      <c r="K66" s="670" t="s">
        <v>328</v>
      </c>
      <c r="L66" s="670" t="s">
        <v>328</v>
      </c>
      <c r="M66" s="670" t="s">
        <v>324</v>
      </c>
      <c r="N66" s="670" t="s">
        <v>324</v>
      </c>
      <c r="O66" s="670" t="s">
        <v>328</v>
      </c>
      <c r="P66" s="670" t="s">
        <v>328</v>
      </c>
      <c r="Q66" s="670" t="s">
        <v>328</v>
      </c>
      <c r="R66" s="670" t="s">
        <v>328</v>
      </c>
      <c r="S66" s="670" t="s">
        <v>328</v>
      </c>
      <c r="T66" s="668" t="s">
        <v>328</v>
      </c>
      <c r="U66" s="668" t="s">
        <v>324</v>
      </c>
      <c r="V66" s="670" t="s">
        <v>324</v>
      </c>
      <c r="W66" s="668" t="s">
        <v>324</v>
      </c>
      <c r="X66" s="670" t="s">
        <v>328</v>
      </c>
      <c r="Y66" s="670" t="s">
        <v>328</v>
      </c>
      <c r="Z66" s="668" t="s">
        <v>328</v>
      </c>
      <c r="AA66" s="670" t="s">
        <v>328</v>
      </c>
      <c r="AB66" s="670" t="s">
        <v>328</v>
      </c>
      <c r="AC66" s="668" t="s">
        <v>328</v>
      </c>
      <c r="AD66" s="670" t="s">
        <v>328</v>
      </c>
      <c r="AE66" s="668" t="s">
        <v>328</v>
      </c>
      <c r="AF66" s="668" t="s">
        <v>328</v>
      </c>
      <c r="AG66" s="670" t="s">
        <v>328</v>
      </c>
    </row>
    <row r="67" spans="1:33" ht="12.75">
      <c r="A67" s="728" t="s">
        <v>687</v>
      </c>
      <c r="B67" s="688">
        <v>5</v>
      </c>
      <c r="C67" s="688">
        <v>10</v>
      </c>
      <c r="D67" s="664">
        <v>16</v>
      </c>
      <c r="E67" s="664">
        <v>16</v>
      </c>
      <c r="F67" s="664">
        <v>16</v>
      </c>
      <c r="G67" s="728">
        <v>9.6</v>
      </c>
      <c r="H67" s="728">
        <v>9.6</v>
      </c>
      <c r="I67" s="728">
        <v>9.6</v>
      </c>
      <c r="J67" s="728">
        <v>9.6</v>
      </c>
      <c r="K67" s="728">
        <v>9.6</v>
      </c>
      <c r="L67" s="664">
        <v>5</v>
      </c>
      <c r="M67" s="670" t="s">
        <v>293</v>
      </c>
      <c r="N67" s="670" t="s">
        <v>293</v>
      </c>
      <c r="O67" s="728">
        <v>8</v>
      </c>
      <c r="P67" s="728">
        <v>8</v>
      </c>
      <c r="Q67" s="728">
        <v>15</v>
      </c>
      <c r="R67" s="728">
        <v>8</v>
      </c>
      <c r="S67" s="728">
        <v>8</v>
      </c>
      <c r="T67" s="711">
        <v>20</v>
      </c>
      <c r="U67" s="668" t="s">
        <v>293</v>
      </c>
      <c r="V67" s="762" t="s">
        <v>293</v>
      </c>
      <c r="W67" s="668" t="s">
        <v>293</v>
      </c>
      <c r="X67" s="728">
        <v>27</v>
      </c>
      <c r="Y67" s="728">
        <v>27</v>
      </c>
      <c r="Z67" s="711">
        <v>27</v>
      </c>
      <c r="AA67" s="728">
        <v>27</v>
      </c>
      <c r="AB67" s="728">
        <v>27</v>
      </c>
      <c r="AC67" s="711">
        <v>10</v>
      </c>
      <c r="AD67" s="728">
        <v>10</v>
      </c>
      <c r="AE67" s="711">
        <v>5</v>
      </c>
      <c r="AF67" s="711">
        <v>5</v>
      </c>
      <c r="AG67" s="728">
        <v>9.6</v>
      </c>
    </row>
    <row r="68" spans="1:33" ht="12.75">
      <c r="A68" s="728" t="s">
        <v>688</v>
      </c>
      <c r="B68" s="688">
        <v>-80</v>
      </c>
      <c r="C68" s="688">
        <v>-75</v>
      </c>
      <c r="D68" s="664">
        <v>-6.75</v>
      </c>
      <c r="E68" s="664">
        <v>-6.75</v>
      </c>
      <c r="F68" s="664">
        <v>-6.75</v>
      </c>
      <c r="G68" s="728">
        <v>-15</v>
      </c>
      <c r="H68" s="728">
        <v>-15</v>
      </c>
      <c r="I68" s="728">
        <v>-15</v>
      </c>
      <c r="J68" s="728">
        <v>-15</v>
      </c>
      <c r="K68" s="728">
        <v>-15</v>
      </c>
      <c r="L68" s="664">
        <v>-3.75</v>
      </c>
      <c r="M68" s="670" t="s">
        <v>293</v>
      </c>
      <c r="N68" s="670" t="s">
        <v>293</v>
      </c>
      <c r="O68" s="728">
        <v>-15</v>
      </c>
      <c r="P68" s="728">
        <v>-15</v>
      </c>
      <c r="Q68" s="728">
        <v>-10</v>
      </c>
      <c r="R68" s="728">
        <v>-15</v>
      </c>
      <c r="S68" s="728">
        <v>-15</v>
      </c>
      <c r="T68" s="711">
        <v>-20</v>
      </c>
      <c r="U68" s="668" t="s">
        <v>293</v>
      </c>
      <c r="V68" s="762" t="s">
        <v>293</v>
      </c>
      <c r="W68" s="668" t="s">
        <v>293</v>
      </c>
      <c r="X68" s="728">
        <v>-35</v>
      </c>
      <c r="Y68" s="728">
        <v>-35</v>
      </c>
      <c r="Z68" s="711">
        <v>-35</v>
      </c>
      <c r="AA68" s="728">
        <v>-35</v>
      </c>
      <c r="AB68" s="728">
        <v>-35</v>
      </c>
      <c r="AC68" s="711">
        <v>-35</v>
      </c>
      <c r="AD68" s="728">
        <v>-15</v>
      </c>
      <c r="AE68" s="711">
        <v>-35</v>
      </c>
      <c r="AF68" s="711">
        <v>-35</v>
      </c>
      <c r="AG68" s="728">
        <v>-15</v>
      </c>
    </row>
    <row r="69" spans="1:33" ht="12.75">
      <c r="A69" s="785" t="s">
        <v>689</v>
      </c>
      <c r="B69" s="676">
        <v>1.25</v>
      </c>
      <c r="C69" s="676">
        <v>1.95</v>
      </c>
      <c r="D69" s="664">
        <v>0.42499999999999999</v>
      </c>
      <c r="E69" s="664">
        <v>0.42499999999999999</v>
      </c>
      <c r="F69" s="664">
        <v>0.42499999999999999</v>
      </c>
      <c r="G69" s="728">
        <v>0.85</v>
      </c>
      <c r="H69" s="728">
        <v>0.85</v>
      </c>
      <c r="I69" s="728">
        <v>0.85</v>
      </c>
      <c r="J69" s="728">
        <v>0.85</v>
      </c>
      <c r="K69" s="728">
        <v>0.85</v>
      </c>
      <c r="L69" s="664">
        <v>0.72499999999999998</v>
      </c>
      <c r="M69" s="670" t="s">
        <v>293</v>
      </c>
      <c r="N69" s="670" t="s">
        <v>293</v>
      </c>
      <c r="O69" s="728">
        <v>2</v>
      </c>
      <c r="P69" s="728">
        <v>2</v>
      </c>
      <c r="Q69" s="728">
        <v>1.5</v>
      </c>
      <c r="R69" s="728">
        <v>2</v>
      </c>
      <c r="S69" s="728">
        <v>2</v>
      </c>
      <c r="T69" s="797">
        <v>1.35</v>
      </c>
      <c r="U69" s="668" t="s">
        <v>293</v>
      </c>
      <c r="V69" s="670" t="s">
        <v>293</v>
      </c>
      <c r="W69" s="668" t="s">
        <v>293</v>
      </c>
      <c r="X69" s="728">
        <v>0.85</v>
      </c>
      <c r="Y69" s="728">
        <v>0.85</v>
      </c>
      <c r="Z69" s="711">
        <v>0.85</v>
      </c>
      <c r="AA69" s="728">
        <v>0.45</v>
      </c>
      <c r="AB69" s="728">
        <v>0.45</v>
      </c>
      <c r="AC69" s="711">
        <v>1.5</v>
      </c>
      <c r="AD69" s="728">
        <v>0.75</v>
      </c>
      <c r="AE69" s="797">
        <v>0.75</v>
      </c>
      <c r="AF69" s="797">
        <v>0.75</v>
      </c>
      <c r="AG69" s="728">
        <v>0.85</v>
      </c>
    </row>
    <row r="70" spans="1:33" ht="81.75" customHeight="1">
      <c r="A70" s="722" t="s">
        <v>635</v>
      </c>
      <c r="B70" s="711"/>
      <c r="C70" s="787"/>
      <c r="D70" s="762"/>
      <c r="E70" s="762" t="s">
        <v>937</v>
      </c>
      <c r="F70" s="762" t="s">
        <v>937</v>
      </c>
      <c r="G70" s="728"/>
      <c r="H70" s="728"/>
      <c r="I70" s="728"/>
      <c r="J70" s="728"/>
      <c r="K70" s="728"/>
      <c r="L70" s="728"/>
      <c r="M70" s="728"/>
      <c r="N70" s="776" t="s">
        <v>936</v>
      </c>
      <c r="O70" s="776"/>
      <c r="P70" s="776"/>
      <c r="Q70" s="728"/>
      <c r="R70" s="728"/>
      <c r="S70" s="728"/>
      <c r="T70" s="728"/>
      <c r="U70" s="788"/>
      <c r="V70" s="728"/>
      <c r="W70" s="788" t="s">
        <v>936</v>
      </c>
      <c r="X70" s="776" t="s">
        <v>934</v>
      </c>
      <c r="Y70" s="776" t="s">
        <v>935</v>
      </c>
      <c r="Z70" s="711"/>
      <c r="AA70" s="776" t="s">
        <v>935</v>
      </c>
      <c r="AB70" s="776" t="s">
        <v>934</v>
      </c>
      <c r="AC70" s="711"/>
      <c r="AD70" s="728"/>
      <c r="AE70" s="728"/>
      <c r="AF70" s="728"/>
      <c r="AG70" s="776"/>
    </row>
    <row r="71" spans="1:33" ht="12.75">
      <c r="A71" s="728"/>
      <c r="B71" s="711"/>
      <c r="C71" s="728"/>
      <c r="D71" s="762"/>
      <c r="E71" s="762"/>
      <c r="F71" s="762"/>
      <c r="G71" s="728"/>
      <c r="H71" s="728"/>
      <c r="I71" s="728"/>
      <c r="J71" s="728"/>
      <c r="K71" s="728"/>
      <c r="L71" s="728"/>
      <c r="M71" s="728"/>
      <c r="N71" s="728"/>
      <c r="O71" s="728"/>
      <c r="P71" s="728"/>
      <c r="Q71" s="728"/>
      <c r="R71" s="728"/>
      <c r="S71" s="728"/>
      <c r="T71" s="728"/>
      <c r="U71" s="711"/>
      <c r="V71" s="728"/>
      <c r="W71" s="711"/>
      <c r="X71" s="728"/>
      <c r="Y71" s="728"/>
      <c r="Z71" s="711"/>
      <c r="AA71" s="728"/>
      <c r="AB71" s="728"/>
      <c r="AC71" s="711"/>
      <c r="AD71" s="728"/>
      <c r="AE71" s="728"/>
      <c r="AF71" s="728"/>
      <c r="AG71" s="728"/>
    </row>
    <row r="72" spans="1:33" ht="12.75">
      <c r="A72" s="728"/>
      <c r="B72" s="711"/>
      <c r="C72" s="728"/>
      <c r="D72" s="800"/>
      <c r="E72" s="800"/>
      <c r="F72" s="800"/>
      <c r="G72" s="661"/>
      <c r="H72" s="661"/>
      <c r="I72" s="661"/>
      <c r="J72" s="661"/>
      <c r="K72" s="661"/>
      <c r="L72" s="661"/>
      <c r="M72" s="661"/>
      <c r="N72" s="661"/>
      <c r="O72" s="661"/>
      <c r="P72" s="661"/>
      <c r="Q72" s="728"/>
      <c r="R72" s="661"/>
      <c r="S72" s="661"/>
      <c r="T72" s="728"/>
      <c r="U72" s="711"/>
      <c r="V72" s="728"/>
      <c r="W72" s="711"/>
      <c r="X72" s="661"/>
      <c r="Y72" s="661"/>
      <c r="Z72" s="711"/>
      <c r="AA72" s="728"/>
      <c r="AB72" s="728"/>
      <c r="AC72" s="711"/>
      <c r="AD72" s="661"/>
      <c r="AE72" s="728"/>
      <c r="AF72" s="728"/>
      <c r="AG72" s="661"/>
    </row>
    <row r="73" spans="1:33" ht="12.75">
      <c r="A73" s="728"/>
      <c r="B73" s="711"/>
      <c r="C73" s="728"/>
      <c r="D73" s="797"/>
      <c r="E73" s="797"/>
      <c r="F73" s="797"/>
      <c r="G73" s="661"/>
      <c r="H73" s="661"/>
      <c r="I73" s="661"/>
      <c r="J73" s="661"/>
      <c r="K73" s="661"/>
      <c r="L73" s="661"/>
      <c r="M73" s="661"/>
      <c r="N73" s="661"/>
      <c r="O73" s="661"/>
      <c r="P73" s="661"/>
      <c r="Q73" s="728"/>
      <c r="R73" s="661"/>
      <c r="S73" s="661"/>
      <c r="T73" s="728"/>
      <c r="U73" s="711"/>
      <c r="V73" s="728"/>
      <c r="W73" s="711"/>
      <c r="X73" s="661"/>
      <c r="Y73" s="661"/>
      <c r="Z73" s="711"/>
      <c r="AA73" s="728"/>
      <c r="AB73" s="728"/>
      <c r="AC73" s="711"/>
      <c r="AD73" s="661"/>
      <c r="AE73" s="728"/>
      <c r="AF73" s="728"/>
      <c r="AG73" s="661"/>
    </row>
    <row r="74" spans="1:33" ht="12.75">
      <c r="A74" s="728"/>
      <c r="B74" s="711"/>
      <c r="C74" s="728"/>
      <c r="D74" s="796"/>
      <c r="E74" s="796"/>
      <c r="F74" s="796"/>
      <c r="G74" s="661"/>
      <c r="H74" s="661"/>
      <c r="I74" s="661"/>
      <c r="J74" s="661"/>
      <c r="K74" s="661"/>
      <c r="L74" s="661"/>
      <c r="M74" s="661"/>
      <c r="N74" s="661"/>
      <c r="O74" s="661"/>
      <c r="P74" s="661"/>
      <c r="Q74" s="728"/>
      <c r="R74" s="661"/>
      <c r="S74" s="661"/>
      <c r="T74" s="728"/>
      <c r="U74" s="711"/>
      <c r="V74" s="728"/>
      <c r="W74" s="711"/>
      <c r="X74" s="661"/>
      <c r="Y74" s="661"/>
      <c r="Z74" s="711"/>
      <c r="AA74" s="728"/>
      <c r="AB74" s="728"/>
      <c r="AC74" s="711"/>
      <c r="AD74" s="661"/>
      <c r="AE74" s="728"/>
      <c r="AF74" s="728"/>
      <c r="AG74" s="661"/>
    </row>
    <row r="75" spans="1:33" ht="12.75">
      <c r="A75" s="728"/>
      <c r="B75" s="711"/>
      <c r="C75" s="728"/>
      <c r="D75" s="788"/>
      <c r="E75" s="788"/>
      <c r="F75" s="788"/>
      <c r="G75" s="661"/>
      <c r="H75" s="661"/>
      <c r="I75" s="661"/>
      <c r="J75" s="661"/>
      <c r="K75" s="661"/>
      <c r="L75" s="661"/>
      <c r="M75" s="661"/>
      <c r="N75" s="661"/>
      <c r="O75" s="661"/>
      <c r="P75" s="661"/>
      <c r="Q75" s="728"/>
      <c r="R75" s="661"/>
      <c r="S75" s="661"/>
      <c r="T75" s="728"/>
      <c r="U75" s="711"/>
      <c r="V75" s="728"/>
      <c r="W75" s="711"/>
      <c r="X75" s="661"/>
      <c r="Y75" s="661"/>
      <c r="Z75" s="711"/>
      <c r="AA75" s="728"/>
      <c r="AB75" s="728"/>
      <c r="AC75" s="711"/>
      <c r="AD75" s="661"/>
      <c r="AE75" s="728"/>
      <c r="AF75" s="728"/>
      <c r="AG75" s="661"/>
    </row>
    <row r="76" spans="1:33" ht="12.75">
      <c r="A76" s="728"/>
      <c r="B76" s="711"/>
      <c r="C76" s="728"/>
      <c r="D76" s="711"/>
      <c r="E76" s="711"/>
      <c r="F76" s="711"/>
      <c r="G76" s="661"/>
      <c r="H76" s="661"/>
      <c r="I76" s="661"/>
      <c r="J76" s="661"/>
      <c r="K76" s="661"/>
      <c r="L76" s="661"/>
      <c r="M76" s="661"/>
      <c r="N76" s="661"/>
      <c r="O76" s="661"/>
      <c r="P76" s="661"/>
      <c r="Q76" s="728"/>
      <c r="R76" s="661"/>
      <c r="S76" s="661"/>
      <c r="T76" s="728"/>
      <c r="U76" s="711"/>
      <c r="V76" s="728"/>
      <c r="W76" s="711"/>
      <c r="X76" s="661"/>
      <c r="Y76" s="661"/>
      <c r="Z76" s="711"/>
      <c r="AA76" s="728"/>
      <c r="AB76" s="728"/>
      <c r="AC76" s="711"/>
      <c r="AD76" s="661"/>
      <c r="AE76" s="728"/>
      <c r="AF76" s="728"/>
      <c r="AG76" s="661"/>
    </row>
    <row r="77" spans="1:33" ht="12.75">
      <c r="A77" s="728"/>
      <c r="B77" s="711"/>
      <c r="C77" s="728"/>
      <c r="D77" s="711"/>
      <c r="E77" s="711"/>
      <c r="F77" s="711"/>
      <c r="G77" s="661"/>
      <c r="H77" s="661"/>
      <c r="I77" s="661"/>
      <c r="J77" s="661"/>
      <c r="K77" s="661"/>
      <c r="L77" s="661"/>
      <c r="M77" s="661"/>
      <c r="N77" s="661"/>
      <c r="O77" s="661"/>
      <c r="P77" s="661"/>
      <c r="Q77" s="728"/>
      <c r="R77" s="661"/>
      <c r="S77" s="661"/>
      <c r="T77" s="728"/>
      <c r="U77" s="711"/>
      <c r="V77" s="728"/>
      <c r="W77" s="711"/>
      <c r="X77" s="661"/>
      <c r="Y77" s="661"/>
      <c r="Z77" s="711"/>
      <c r="AA77" s="728"/>
      <c r="AB77" s="728"/>
      <c r="AC77" s="711"/>
      <c r="AD77" s="661"/>
      <c r="AE77" s="728"/>
      <c r="AF77" s="728"/>
      <c r="AG77" s="661"/>
    </row>
    <row r="78" spans="1:33" ht="12.75">
      <c r="A78" s="728"/>
      <c r="B78" s="711"/>
      <c r="C78" s="728"/>
      <c r="D78" s="711"/>
      <c r="E78" s="711"/>
      <c r="F78" s="711"/>
      <c r="G78" s="661"/>
      <c r="H78" s="661"/>
      <c r="I78" s="661"/>
      <c r="J78" s="661"/>
      <c r="K78" s="661"/>
      <c r="L78" s="661"/>
      <c r="M78" s="661"/>
      <c r="N78" s="661"/>
      <c r="O78" s="661"/>
      <c r="P78" s="661"/>
      <c r="Q78" s="728"/>
      <c r="R78" s="661"/>
      <c r="S78" s="661"/>
      <c r="T78" s="728"/>
      <c r="U78" s="711"/>
      <c r="V78" s="728"/>
      <c r="W78" s="711"/>
      <c r="X78" s="661"/>
      <c r="Y78" s="661"/>
      <c r="Z78" s="711"/>
      <c r="AA78" s="728"/>
      <c r="AB78" s="728"/>
      <c r="AC78" s="711"/>
      <c r="AD78" s="661"/>
      <c r="AE78" s="728"/>
      <c r="AF78" s="728"/>
      <c r="AG78" s="661"/>
    </row>
    <row r="79" spans="1:33" ht="12.75">
      <c r="A79" s="728"/>
      <c r="B79" s="711"/>
      <c r="C79" s="728"/>
      <c r="D79" s="663"/>
      <c r="E79" s="663"/>
      <c r="F79" s="663"/>
      <c r="G79" s="661"/>
      <c r="H79" s="661"/>
      <c r="I79" s="661"/>
      <c r="J79" s="661"/>
      <c r="K79" s="661"/>
      <c r="L79" s="661"/>
      <c r="M79" s="661"/>
      <c r="N79" s="661"/>
      <c r="O79" s="661"/>
      <c r="P79" s="661"/>
      <c r="Q79" s="728"/>
      <c r="R79" s="661"/>
      <c r="S79" s="661"/>
      <c r="T79" s="728"/>
      <c r="U79" s="711"/>
      <c r="V79" s="728"/>
      <c r="W79" s="711"/>
      <c r="X79" s="661"/>
      <c r="Y79" s="661"/>
      <c r="Z79" s="711"/>
      <c r="AA79" s="728"/>
      <c r="AB79" s="728"/>
      <c r="AC79" s="711"/>
      <c r="AD79" s="661"/>
      <c r="AE79" s="728"/>
      <c r="AF79" s="728"/>
      <c r="AG79" s="661"/>
    </row>
    <row r="80" spans="1:33" ht="12.75">
      <c r="A80" s="728"/>
      <c r="B80" s="711"/>
      <c r="C80" s="728"/>
      <c r="D80" s="663"/>
      <c r="E80" s="663"/>
      <c r="F80" s="663"/>
      <c r="G80" s="661"/>
      <c r="H80" s="661"/>
      <c r="I80" s="661"/>
      <c r="J80" s="661"/>
      <c r="K80" s="661"/>
      <c r="L80" s="661"/>
      <c r="M80" s="661"/>
      <c r="N80" s="661"/>
      <c r="O80" s="661"/>
      <c r="P80" s="661"/>
      <c r="Q80" s="728"/>
      <c r="R80" s="661"/>
      <c r="S80" s="661"/>
      <c r="T80" s="728"/>
      <c r="U80" s="711"/>
      <c r="V80" s="728"/>
      <c r="W80" s="711"/>
      <c r="X80" s="661"/>
      <c r="Y80" s="661"/>
      <c r="Z80" s="711"/>
      <c r="AA80" s="728"/>
      <c r="AB80" s="728"/>
      <c r="AC80" s="711"/>
      <c r="AD80" s="661"/>
      <c r="AE80" s="728"/>
      <c r="AF80" s="728"/>
      <c r="AG80" s="661"/>
    </row>
    <row r="81" spans="1:33" ht="12.75">
      <c r="A81" s="728"/>
      <c r="B81" s="711"/>
      <c r="C81" s="728"/>
      <c r="D81" s="663"/>
      <c r="E81" s="663"/>
      <c r="F81" s="663"/>
      <c r="G81" s="661"/>
      <c r="H81" s="661"/>
      <c r="I81" s="661"/>
      <c r="J81" s="661"/>
      <c r="K81" s="661"/>
      <c r="L81" s="661"/>
      <c r="M81" s="661"/>
      <c r="N81" s="661"/>
      <c r="O81" s="661"/>
      <c r="P81" s="661"/>
      <c r="Q81" s="728"/>
      <c r="R81" s="661"/>
      <c r="S81" s="661"/>
      <c r="T81" s="728"/>
      <c r="U81" s="711"/>
      <c r="V81" s="728"/>
      <c r="W81" s="711"/>
      <c r="X81" s="661"/>
      <c r="Y81" s="661"/>
      <c r="Z81" s="711"/>
      <c r="AA81" s="728"/>
      <c r="AB81" s="728"/>
      <c r="AC81" s="711"/>
      <c r="AD81" s="661"/>
      <c r="AE81" s="728"/>
      <c r="AF81" s="728"/>
      <c r="AG81" s="661"/>
    </row>
    <row r="82" spans="1:33" ht="12.75">
      <c r="A82" s="728"/>
      <c r="B82" s="711"/>
      <c r="C82" s="728"/>
      <c r="D82" s="663"/>
      <c r="E82" s="663"/>
      <c r="F82" s="663"/>
      <c r="G82" s="661"/>
      <c r="H82" s="661"/>
      <c r="I82" s="661"/>
      <c r="J82" s="661"/>
      <c r="K82" s="661"/>
      <c r="L82" s="661"/>
      <c r="M82" s="661"/>
      <c r="N82" s="661"/>
      <c r="O82" s="661"/>
      <c r="P82" s="661"/>
      <c r="Q82" s="728"/>
      <c r="R82" s="661"/>
      <c r="S82" s="661"/>
      <c r="T82" s="728"/>
      <c r="U82" s="711"/>
      <c r="V82" s="728"/>
      <c r="W82" s="711"/>
      <c r="X82" s="661"/>
      <c r="Y82" s="661"/>
      <c r="Z82" s="711"/>
      <c r="AA82" s="728"/>
      <c r="AB82" s="728"/>
      <c r="AC82" s="711"/>
      <c r="AD82" s="661"/>
      <c r="AE82" s="728"/>
      <c r="AF82" s="728"/>
      <c r="AG82" s="661"/>
    </row>
    <row r="83" spans="1:33" ht="12.75">
      <c r="A83" s="728"/>
      <c r="B83" s="711"/>
      <c r="C83" s="728"/>
      <c r="D83" s="663"/>
      <c r="E83" s="663"/>
      <c r="F83" s="663"/>
      <c r="G83" s="661"/>
      <c r="H83" s="661"/>
      <c r="I83" s="661"/>
      <c r="J83" s="661"/>
      <c r="K83" s="661"/>
      <c r="L83" s="661"/>
      <c r="M83" s="661"/>
      <c r="N83" s="661"/>
      <c r="O83" s="661"/>
      <c r="P83" s="661"/>
      <c r="Q83" s="728"/>
      <c r="R83" s="661"/>
      <c r="S83" s="661"/>
      <c r="T83" s="728"/>
      <c r="U83" s="711"/>
      <c r="V83" s="728"/>
      <c r="W83" s="711"/>
      <c r="X83" s="661"/>
      <c r="Y83" s="661"/>
      <c r="Z83" s="711"/>
      <c r="AA83" s="728"/>
      <c r="AB83" s="728"/>
      <c r="AC83" s="711"/>
      <c r="AD83" s="661"/>
      <c r="AE83" s="728"/>
      <c r="AF83" s="728"/>
      <c r="AG83" s="661"/>
    </row>
    <row r="84" spans="1:33" ht="12.75">
      <c r="A84" s="728"/>
      <c r="B84" s="711"/>
      <c r="C84" s="728"/>
      <c r="D84" s="663"/>
      <c r="E84" s="663"/>
      <c r="F84" s="663"/>
      <c r="G84" s="661"/>
      <c r="H84" s="661"/>
      <c r="I84" s="661"/>
      <c r="J84" s="661"/>
      <c r="K84" s="661"/>
      <c r="L84" s="661"/>
      <c r="M84" s="661"/>
      <c r="N84" s="661"/>
      <c r="O84" s="661"/>
      <c r="P84" s="661"/>
      <c r="Q84" s="728"/>
      <c r="R84" s="661"/>
      <c r="S84" s="661"/>
      <c r="T84" s="728"/>
      <c r="U84" s="711"/>
      <c r="V84" s="728"/>
      <c r="W84" s="711"/>
      <c r="X84" s="661"/>
      <c r="Y84" s="661"/>
      <c r="Z84" s="711"/>
      <c r="AA84" s="728"/>
      <c r="AB84" s="728"/>
      <c r="AC84" s="711"/>
      <c r="AD84" s="661"/>
      <c r="AE84" s="728"/>
      <c r="AF84" s="728"/>
      <c r="AG84" s="661"/>
    </row>
    <row r="85" spans="1:33" ht="12.75">
      <c r="A85" s="728"/>
      <c r="B85" s="711"/>
      <c r="C85" s="728"/>
      <c r="D85" s="663"/>
      <c r="E85" s="663"/>
      <c r="F85" s="663"/>
      <c r="G85" s="661"/>
      <c r="H85" s="661"/>
      <c r="I85" s="661"/>
      <c r="J85" s="661"/>
      <c r="K85" s="661"/>
      <c r="L85" s="661"/>
      <c r="M85" s="661"/>
      <c r="N85" s="661"/>
      <c r="O85" s="661"/>
      <c r="P85" s="661"/>
      <c r="Q85" s="728"/>
      <c r="R85" s="661"/>
      <c r="S85" s="661"/>
      <c r="T85" s="728"/>
      <c r="U85" s="711"/>
      <c r="V85" s="728"/>
      <c r="W85" s="711"/>
      <c r="X85" s="661"/>
      <c r="Y85" s="661"/>
      <c r="Z85" s="711"/>
      <c r="AA85" s="728"/>
      <c r="AB85" s="728"/>
      <c r="AC85" s="711"/>
      <c r="AD85" s="661"/>
      <c r="AE85" s="728"/>
      <c r="AF85" s="728"/>
      <c r="AG85" s="661"/>
    </row>
  </sheetData>
  <conditionalFormatting sqref="A1:AG1 A3:AG7 A9:AG19 A21:AG25 A27:AG46 A48:AG85">
    <cfRule type="expression" dxfId="52" priority="1">
      <formula>ISODD(COLUMN())</formula>
    </cfRule>
    <cfRule type="expression" dxfId="51" priority="2">
      <formula>ISEVEN(COLUMN())</formula>
    </cfRule>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F084-FD8D-4B49-8167-E4F096243DAD}">
  <sheetPr>
    <tabColor rgb="FF5B0F00"/>
    <outlinePr summaryBelow="0" summaryRight="0"/>
  </sheetPr>
  <dimension ref="A1:H75"/>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2" width="16.7109375" customWidth="1"/>
    <col min="3" max="3" width="19.85546875" customWidth="1"/>
    <col min="4" max="8" width="16.7109375" customWidth="1"/>
  </cols>
  <sheetData>
    <row r="1" spans="1:8" ht="35.25" customHeight="1">
      <c r="A1" s="811" t="s">
        <v>551</v>
      </c>
      <c r="B1" s="655" t="s">
        <v>994</v>
      </c>
      <c r="C1" s="655" t="s">
        <v>993</v>
      </c>
      <c r="D1" s="653" t="s">
        <v>992</v>
      </c>
      <c r="E1" s="653" t="s">
        <v>991</v>
      </c>
      <c r="F1" s="655" t="s">
        <v>990</v>
      </c>
      <c r="G1" s="655" t="s">
        <v>989</v>
      </c>
      <c r="H1" s="655" t="s">
        <v>988</v>
      </c>
    </row>
    <row r="2" spans="1:8" ht="69" customHeight="1">
      <c r="A2" s="810" t="s">
        <v>562</v>
      </c>
      <c r="B2" s="660"/>
      <c r="C2" s="660"/>
      <c r="D2" s="819"/>
      <c r="E2" s="819"/>
      <c r="F2" s="819"/>
      <c r="G2" s="819"/>
      <c r="H2" s="819"/>
    </row>
    <row r="3" spans="1:8" ht="15.75" customHeight="1">
      <c r="A3" s="728" t="s">
        <v>563</v>
      </c>
      <c r="B3" s="776">
        <v>33.5</v>
      </c>
      <c r="C3" s="776">
        <v>46</v>
      </c>
      <c r="D3" s="788">
        <v>47</v>
      </c>
      <c r="E3" s="788">
        <v>47</v>
      </c>
      <c r="F3" s="776">
        <v>26</v>
      </c>
      <c r="G3" s="776">
        <v>28</v>
      </c>
      <c r="H3" s="776">
        <v>28.5</v>
      </c>
    </row>
    <row r="4" spans="1:8" ht="15.75" customHeight="1">
      <c r="A4" s="728" t="s">
        <v>564</v>
      </c>
      <c r="B4" s="812">
        <v>27.93</v>
      </c>
      <c r="C4" s="812">
        <v>37.5</v>
      </c>
      <c r="D4" s="780">
        <v>42.5</v>
      </c>
      <c r="E4" s="780">
        <v>42.5</v>
      </c>
      <c r="F4" s="812">
        <v>23.2</v>
      </c>
      <c r="G4" s="812">
        <v>24.7</v>
      </c>
      <c r="H4" s="812">
        <v>25</v>
      </c>
    </row>
    <row r="5" spans="1:8" ht="15.75" customHeight="1">
      <c r="A5" s="728" t="s">
        <v>565</v>
      </c>
      <c r="B5" s="812">
        <v>23.68</v>
      </c>
      <c r="C5" s="812">
        <v>28</v>
      </c>
      <c r="D5" s="780">
        <v>30.75</v>
      </c>
      <c r="E5" s="780">
        <v>30.75</v>
      </c>
      <c r="F5" s="812">
        <v>19.2</v>
      </c>
      <c r="G5" s="812">
        <v>18.899999999999999</v>
      </c>
      <c r="H5" s="815" t="s">
        <v>293</v>
      </c>
    </row>
    <row r="6" spans="1:8" ht="15.75" customHeight="1">
      <c r="A6" s="728" t="s">
        <v>566</v>
      </c>
      <c r="B6" s="776">
        <v>130</v>
      </c>
      <c r="C6" s="776">
        <v>155</v>
      </c>
      <c r="D6" s="788">
        <v>130</v>
      </c>
      <c r="E6" s="788">
        <v>130</v>
      </c>
      <c r="F6" s="776">
        <v>152</v>
      </c>
      <c r="G6" s="776">
        <v>152</v>
      </c>
      <c r="H6" s="776">
        <v>127</v>
      </c>
    </row>
    <row r="7" spans="1:8" ht="15.75" customHeight="1">
      <c r="A7" s="728" t="s">
        <v>567</v>
      </c>
      <c r="B7" s="776">
        <v>1.93</v>
      </c>
      <c r="C7" s="776">
        <v>2.04</v>
      </c>
      <c r="D7" s="788">
        <v>2.75</v>
      </c>
      <c r="E7" s="788">
        <v>2.75</v>
      </c>
      <c r="F7" s="776">
        <v>1.21</v>
      </c>
      <c r="G7" s="776">
        <v>1.21</v>
      </c>
      <c r="H7" s="776">
        <v>1.75</v>
      </c>
    </row>
    <row r="8" spans="1:8" ht="20.25" customHeight="1">
      <c r="A8" s="809" t="s">
        <v>568</v>
      </c>
      <c r="B8" s="794"/>
      <c r="C8" s="794"/>
      <c r="D8" s="794"/>
      <c r="E8" s="794"/>
      <c r="F8" s="794"/>
      <c r="G8" s="794"/>
      <c r="H8" s="794"/>
    </row>
    <row r="9" spans="1:8" ht="15.75" customHeight="1">
      <c r="A9" s="728" t="s">
        <v>569</v>
      </c>
      <c r="B9" s="776">
        <v>6480</v>
      </c>
      <c r="C9" s="776">
        <v>13000</v>
      </c>
      <c r="D9" s="788">
        <v>27000</v>
      </c>
      <c r="E9" s="788">
        <v>27000</v>
      </c>
      <c r="F9" s="776">
        <v>5880</v>
      </c>
      <c r="G9" s="776">
        <v>6850</v>
      </c>
      <c r="H9" s="776">
        <v>4000</v>
      </c>
    </row>
    <row r="10" spans="1:8" ht="16.5" customHeight="1">
      <c r="A10" s="728" t="s">
        <v>570</v>
      </c>
      <c r="B10" s="776">
        <v>2</v>
      </c>
      <c r="C10" s="776">
        <v>1</v>
      </c>
      <c r="D10" s="788">
        <v>0.28000000000000003</v>
      </c>
      <c r="E10" s="788">
        <v>0.28000000000000003</v>
      </c>
      <c r="F10" s="776">
        <v>1</v>
      </c>
      <c r="G10" s="776">
        <v>1</v>
      </c>
      <c r="H10" s="776">
        <v>2</v>
      </c>
    </row>
    <row r="11" spans="1:8" ht="15.75" customHeight="1">
      <c r="A11" s="728" t="str">
        <f>"Raw acceleration at ignition: [m/s"&amp;CHAR(178)&amp;"]"</f>
        <v>Raw acceleration at ignition: [m/s²]</v>
      </c>
      <c r="B11" s="818">
        <f t="shared" ref="B11:H11" si="0">B9/B3</f>
        <v>193.43283582089552</v>
      </c>
      <c r="C11" s="818">
        <f t="shared" si="0"/>
        <v>282.60869565217394</v>
      </c>
      <c r="D11" s="793">
        <f t="shared" si="0"/>
        <v>574.468085106383</v>
      </c>
      <c r="E11" s="793">
        <f t="shared" si="0"/>
        <v>574.468085106383</v>
      </c>
      <c r="F11" s="818">
        <f t="shared" si="0"/>
        <v>226.15384615384616</v>
      </c>
      <c r="G11" s="818">
        <f t="shared" si="0"/>
        <v>244.64285714285714</v>
      </c>
      <c r="H11" s="818">
        <f t="shared" si="0"/>
        <v>140.35087719298247</v>
      </c>
    </row>
    <row r="12" spans="1:8" ht="15.75" customHeight="1">
      <c r="A12" s="728" t="s">
        <v>571</v>
      </c>
      <c r="B12" s="676">
        <f t="shared" ref="B12:H12" si="1">B10*B9/(9.81*(B3-B4))</f>
        <v>237.18149325515125</v>
      </c>
      <c r="C12" s="676">
        <f t="shared" si="1"/>
        <v>155.90333992924386</v>
      </c>
      <c r="D12" s="676">
        <f t="shared" si="1"/>
        <v>171.25382262996942</v>
      </c>
      <c r="E12" s="676">
        <f t="shared" si="1"/>
        <v>171.25382262996942</v>
      </c>
      <c r="F12" s="676">
        <f t="shared" si="1"/>
        <v>214.06727828746173</v>
      </c>
      <c r="G12" s="676">
        <f t="shared" si="1"/>
        <v>211.59608315571612</v>
      </c>
      <c r="H12" s="676">
        <f t="shared" si="1"/>
        <v>232.99839813601281</v>
      </c>
    </row>
    <row r="13" spans="1:8" ht="15.75" customHeight="1">
      <c r="A13" s="661" t="s">
        <v>572</v>
      </c>
      <c r="B13" s="678">
        <f t="shared" ref="B13:H13" si="2">B12*9.81*LN(B3/B4)</f>
        <v>423.10574560254952</v>
      </c>
      <c r="C13" s="678">
        <f t="shared" si="2"/>
        <v>312.45953243123375</v>
      </c>
      <c r="D13" s="678">
        <f t="shared" si="2"/>
        <v>169.08112330987501</v>
      </c>
      <c r="E13" s="678">
        <f t="shared" si="2"/>
        <v>169.08112330987501</v>
      </c>
      <c r="F13" s="678">
        <f t="shared" si="2"/>
        <v>239.28294463335754</v>
      </c>
      <c r="G13" s="678">
        <f t="shared" si="2"/>
        <v>260.30262903264122</v>
      </c>
      <c r="H13" s="678">
        <f t="shared" si="2"/>
        <v>299.4931712146377</v>
      </c>
    </row>
    <row r="14" spans="1:8" ht="16.5" customHeight="1">
      <c r="A14" s="728" t="s">
        <v>573</v>
      </c>
      <c r="B14" s="812">
        <v>0.05</v>
      </c>
      <c r="C14" s="812">
        <v>0.05</v>
      </c>
      <c r="D14" s="815" t="s">
        <v>293</v>
      </c>
      <c r="E14" s="815" t="s">
        <v>293</v>
      </c>
      <c r="F14" s="812">
        <v>0.1</v>
      </c>
      <c r="G14" s="812">
        <v>0.1</v>
      </c>
      <c r="H14" s="812">
        <v>0.14000000000000001</v>
      </c>
    </row>
    <row r="15" spans="1:8" ht="16.5" customHeight="1">
      <c r="A15" s="776" t="s">
        <v>574</v>
      </c>
      <c r="B15" s="812">
        <v>3070</v>
      </c>
      <c r="C15" s="812">
        <v>1700</v>
      </c>
      <c r="D15" s="780">
        <v>3500</v>
      </c>
      <c r="E15" s="780">
        <v>3500</v>
      </c>
      <c r="F15" s="812">
        <v>445</v>
      </c>
      <c r="G15" s="812">
        <v>475</v>
      </c>
      <c r="H15" s="815" t="s">
        <v>293</v>
      </c>
    </row>
    <row r="16" spans="1:8" ht="18" customHeight="1">
      <c r="A16" s="776" t="s">
        <v>575</v>
      </c>
      <c r="B16" s="812">
        <v>3</v>
      </c>
      <c r="C16" s="812">
        <v>14</v>
      </c>
      <c r="D16" s="780">
        <v>7.56</v>
      </c>
      <c r="E16" s="780">
        <v>7.56</v>
      </c>
      <c r="F16" s="812">
        <v>19</v>
      </c>
      <c r="G16" s="812">
        <v>29</v>
      </c>
      <c r="H16" s="815" t="s">
        <v>293</v>
      </c>
    </row>
    <row r="17" spans="1:8" ht="18" customHeight="1">
      <c r="A17" s="728" t="s">
        <v>576</v>
      </c>
      <c r="B17" s="777">
        <f t="shared" ref="B17:G17" si="3">B16*B15/(9.81*(B4-B5))</f>
        <v>220.90304011512862</v>
      </c>
      <c r="C17" s="777">
        <f t="shared" si="3"/>
        <v>255.37850743065613</v>
      </c>
      <c r="D17" s="777">
        <f t="shared" si="3"/>
        <v>229.55299629123559</v>
      </c>
      <c r="E17" s="777">
        <f t="shared" si="3"/>
        <v>229.55299629123559</v>
      </c>
      <c r="F17" s="777">
        <f t="shared" si="3"/>
        <v>215.46890927624872</v>
      </c>
      <c r="G17" s="777">
        <f t="shared" si="3"/>
        <v>242.09989806320078</v>
      </c>
      <c r="H17" s="815" t="s">
        <v>293</v>
      </c>
    </row>
    <row r="18" spans="1:8" ht="18" customHeight="1">
      <c r="A18" s="728" t="s">
        <v>577</v>
      </c>
      <c r="B18" s="777">
        <f t="shared" ref="B18:G18" si="4">B17*9.81*LN(B4/B5)</f>
        <v>357.71763509628067</v>
      </c>
      <c r="C18" s="777">
        <f t="shared" si="4"/>
        <v>731.87861712290896</v>
      </c>
      <c r="D18" s="777">
        <f t="shared" si="4"/>
        <v>728.75137031453266</v>
      </c>
      <c r="E18" s="777">
        <f t="shared" si="4"/>
        <v>728.75137031453266</v>
      </c>
      <c r="F18" s="777">
        <f t="shared" si="4"/>
        <v>400.01027673593927</v>
      </c>
      <c r="G18" s="777">
        <f t="shared" si="4"/>
        <v>635.64813872479533</v>
      </c>
      <c r="H18" s="815" t="s">
        <v>293</v>
      </c>
    </row>
    <row r="19" spans="1:8" ht="18" customHeight="1">
      <c r="A19" s="728" t="s">
        <v>578</v>
      </c>
      <c r="B19" s="692">
        <f t="shared" ref="B19:H19" si="5">IF(ISNUMBER(B18),B13+B18,B13)</f>
        <v>780.82338069883019</v>
      </c>
      <c r="C19" s="692">
        <f t="shared" si="5"/>
        <v>1044.3381495541428</v>
      </c>
      <c r="D19" s="692">
        <f t="shared" si="5"/>
        <v>897.83249362440768</v>
      </c>
      <c r="E19" s="692">
        <f t="shared" si="5"/>
        <v>897.83249362440768</v>
      </c>
      <c r="F19" s="692">
        <f t="shared" si="5"/>
        <v>639.29322136929682</v>
      </c>
      <c r="G19" s="692">
        <f t="shared" si="5"/>
        <v>895.95076775743655</v>
      </c>
      <c r="H19" s="692">
        <f t="shared" si="5"/>
        <v>299.4931712146377</v>
      </c>
    </row>
    <row r="20" spans="1:8" ht="20.25" customHeight="1">
      <c r="A20" s="817" t="s">
        <v>579</v>
      </c>
      <c r="B20" s="792"/>
      <c r="C20" s="792"/>
      <c r="D20" s="792"/>
      <c r="E20" s="792"/>
      <c r="F20" s="792"/>
      <c r="G20" s="792"/>
      <c r="H20" s="792"/>
    </row>
    <row r="21" spans="1:8" ht="15.75" customHeight="1">
      <c r="A21" s="728" t="s">
        <v>580</v>
      </c>
      <c r="B21" s="776">
        <f>1.62*2.82</f>
        <v>4.5684000000000005</v>
      </c>
      <c r="C21" s="776">
        <f>1.54*4</f>
        <v>6.16</v>
      </c>
      <c r="D21" s="788">
        <f>1.598*4.3</f>
        <v>6.8714000000000004</v>
      </c>
      <c r="E21" s="788">
        <f>1.598*4.3</f>
        <v>6.8714000000000004</v>
      </c>
      <c r="F21" s="776">
        <f>1.62*4</f>
        <v>6.48</v>
      </c>
      <c r="G21" s="776">
        <f>1.54*6</f>
        <v>9.24</v>
      </c>
      <c r="H21" s="776">
        <f>1.28*2.8</f>
        <v>3.5839999999999996</v>
      </c>
    </row>
    <row r="22" spans="1:8" ht="15.75" customHeight="1">
      <c r="A22" s="775" t="s">
        <v>764</v>
      </c>
      <c r="B22" s="815" t="s">
        <v>914</v>
      </c>
      <c r="C22" s="815" t="s">
        <v>914</v>
      </c>
      <c r="D22" s="815" t="s">
        <v>914</v>
      </c>
      <c r="E22" s="815" t="s">
        <v>914</v>
      </c>
      <c r="F22" s="815" t="s">
        <v>914</v>
      </c>
      <c r="G22" s="815" t="s">
        <v>763</v>
      </c>
      <c r="H22" s="815" t="s">
        <v>914</v>
      </c>
    </row>
    <row r="23" spans="1:8" ht="15.75" customHeight="1">
      <c r="A23" s="776" t="s">
        <v>762</v>
      </c>
      <c r="B23" s="776">
        <v>800</v>
      </c>
      <c r="C23" s="776">
        <v>1200</v>
      </c>
      <c r="D23" s="788">
        <v>800</v>
      </c>
      <c r="E23" s="788">
        <v>800</v>
      </c>
      <c r="F23" s="776">
        <v>1200</v>
      </c>
      <c r="G23" s="776">
        <v>61.24</v>
      </c>
      <c r="H23" s="776">
        <v>1000</v>
      </c>
    </row>
    <row r="24" spans="1:8" ht="15.75" customHeight="1">
      <c r="A24" s="728" t="s">
        <v>581</v>
      </c>
      <c r="B24" s="815" t="s">
        <v>324</v>
      </c>
      <c r="C24" s="815" t="s">
        <v>324</v>
      </c>
      <c r="D24" s="815" t="s">
        <v>328</v>
      </c>
      <c r="E24" s="815" t="s">
        <v>328</v>
      </c>
      <c r="F24" s="815" t="s">
        <v>324</v>
      </c>
      <c r="G24" s="815" t="s">
        <v>328</v>
      </c>
      <c r="H24" s="815" t="s">
        <v>324</v>
      </c>
    </row>
    <row r="25" spans="1:8" ht="15.75" customHeight="1">
      <c r="A25" s="728" t="s">
        <v>582</v>
      </c>
      <c r="B25" s="815" t="s">
        <v>293</v>
      </c>
      <c r="C25" s="815" t="s">
        <v>293</v>
      </c>
      <c r="D25" s="788">
        <v>2.5</v>
      </c>
      <c r="E25" s="788">
        <v>2.5</v>
      </c>
      <c r="F25" s="815" t="s">
        <v>293</v>
      </c>
      <c r="G25" s="788">
        <v>4</v>
      </c>
      <c r="H25" s="815" t="s">
        <v>293</v>
      </c>
    </row>
    <row r="26" spans="1:8" ht="15.75" customHeight="1">
      <c r="A26" s="776" t="s">
        <v>931</v>
      </c>
      <c r="B26" s="815" t="s">
        <v>293</v>
      </c>
      <c r="C26" s="815" t="s">
        <v>293</v>
      </c>
      <c r="D26" s="788">
        <v>300</v>
      </c>
      <c r="E26" s="788">
        <v>300</v>
      </c>
      <c r="F26" s="815" t="s">
        <v>293</v>
      </c>
      <c r="G26" s="788">
        <v>300</v>
      </c>
      <c r="H26" s="815" t="s">
        <v>293</v>
      </c>
    </row>
    <row r="27" spans="1:8" ht="15.75" customHeight="1">
      <c r="A27" s="775" t="s">
        <v>583</v>
      </c>
      <c r="B27" s="815" t="s">
        <v>293</v>
      </c>
      <c r="C27" s="815" t="s">
        <v>293</v>
      </c>
      <c r="D27" s="815" t="s">
        <v>324</v>
      </c>
      <c r="E27" s="815" t="s">
        <v>324</v>
      </c>
      <c r="F27" s="815" t="s">
        <v>293</v>
      </c>
      <c r="G27" s="815" t="s">
        <v>324</v>
      </c>
      <c r="H27" s="815" t="s">
        <v>293</v>
      </c>
    </row>
    <row r="28" spans="1:8" ht="15.75" customHeight="1">
      <c r="A28" s="775" t="s">
        <v>930</v>
      </c>
      <c r="B28" s="815" t="s">
        <v>293</v>
      </c>
      <c r="C28" s="815" t="s">
        <v>293</v>
      </c>
      <c r="D28" s="788">
        <v>25</v>
      </c>
      <c r="E28" s="788">
        <v>25</v>
      </c>
      <c r="F28" s="815" t="s">
        <v>293</v>
      </c>
      <c r="G28" s="788">
        <v>25</v>
      </c>
      <c r="H28" s="815" t="s">
        <v>293</v>
      </c>
    </row>
    <row r="29" spans="1:8" ht="15.75" customHeight="1">
      <c r="A29" s="661" t="s">
        <v>584</v>
      </c>
      <c r="B29" s="815" t="s">
        <v>293</v>
      </c>
      <c r="C29" s="815" t="s">
        <v>293</v>
      </c>
      <c r="D29" s="815" t="s">
        <v>293</v>
      </c>
      <c r="E29" s="815" t="s">
        <v>293</v>
      </c>
      <c r="F29" s="815" t="s">
        <v>293</v>
      </c>
      <c r="G29" s="815" t="s">
        <v>293</v>
      </c>
      <c r="H29" s="815" t="s">
        <v>293</v>
      </c>
    </row>
    <row r="30" spans="1:8" ht="15.75" customHeight="1">
      <c r="A30" s="661" t="s">
        <v>761</v>
      </c>
      <c r="B30" s="776">
        <v>0.01</v>
      </c>
      <c r="C30" s="776">
        <v>0.01</v>
      </c>
      <c r="D30" s="776">
        <v>0.01</v>
      </c>
      <c r="E30" s="776">
        <v>0.01</v>
      </c>
      <c r="F30" s="776">
        <v>0.01</v>
      </c>
      <c r="G30" s="776">
        <v>0.1</v>
      </c>
      <c r="H30" s="776">
        <v>0.01</v>
      </c>
    </row>
    <row r="31" spans="1:8" ht="15.75" customHeight="1">
      <c r="A31" s="661" t="s">
        <v>760</v>
      </c>
      <c r="B31" s="776">
        <v>0.4</v>
      </c>
      <c r="C31" s="776">
        <v>0.4</v>
      </c>
      <c r="D31" s="776">
        <v>0.4</v>
      </c>
      <c r="E31" s="776">
        <v>0.4</v>
      </c>
      <c r="F31" s="776">
        <v>0.4</v>
      </c>
      <c r="G31" s="776">
        <v>0.05</v>
      </c>
      <c r="H31" s="776">
        <v>0.4</v>
      </c>
    </row>
    <row r="32" spans="1:8" ht="20.25" customHeight="1">
      <c r="A32" s="804" t="s">
        <v>585</v>
      </c>
      <c r="B32" s="816"/>
      <c r="C32" s="816"/>
      <c r="D32" s="816"/>
      <c r="E32" s="816"/>
      <c r="F32" s="816"/>
      <c r="G32" s="816"/>
      <c r="H32" s="816"/>
    </row>
    <row r="33" spans="1:8" ht="15.75" customHeight="1">
      <c r="A33" s="728" t="s">
        <v>586</v>
      </c>
      <c r="B33" s="670" t="s">
        <v>873</v>
      </c>
      <c r="C33" s="670" t="s">
        <v>873</v>
      </c>
      <c r="D33" s="668" t="s">
        <v>873</v>
      </c>
      <c r="E33" s="668" t="s">
        <v>873</v>
      </c>
      <c r="F33" s="670" t="s">
        <v>873</v>
      </c>
      <c r="G33" s="670" t="s">
        <v>873</v>
      </c>
      <c r="H33" s="670" t="s">
        <v>873</v>
      </c>
    </row>
    <row r="34" spans="1:8" ht="15.75" customHeight="1">
      <c r="A34" s="728" t="s">
        <v>587</v>
      </c>
      <c r="B34" s="664">
        <v>0.15</v>
      </c>
      <c r="C34" s="815" t="s">
        <v>293</v>
      </c>
      <c r="D34" s="662">
        <v>0.28000000000000003</v>
      </c>
      <c r="E34" s="662">
        <v>0.28000000000000003</v>
      </c>
      <c r="F34" s="815" t="s">
        <v>293</v>
      </c>
      <c r="G34" s="815" t="s">
        <v>293</v>
      </c>
      <c r="H34" s="664">
        <v>0.15</v>
      </c>
    </row>
    <row r="35" spans="1:8" ht="15.75" customHeight="1">
      <c r="A35" s="728" t="s">
        <v>588</v>
      </c>
      <c r="B35" s="664">
        <v>25</v>
      </c>
      <c r="C35" s="664">
        <v>30</v>
      </c>
      <c r="D35" s="662">
        <v>28</v>
      </c>
      <c r="E35" s="662">
        <v>28</v>
      </c>
      <c r="F35" s="664">
        <v>40</v>
      </c>
      <c r="G35" s="664">
        <v>40</v>
      </c>
      <c r="H35" s="664">
        <v>25</v>
      </c>
    </row>
    <row r="36" spans="1:8" ht="15.75" customHeight="1">
      <c r="A36" s="728" t="s">
        <v>872</v>
      </c>
      <c r="B36" s="776">
        <v>6</v>
      </c>
      <c r="C36" s="776">
        <v>10</v>
      </c>
      <c r="D36" s="815" t="s">
        <v>293</v>
      </c>
      <c r="E36" s="815" t="s">
        <v>293</v>
      </c>
      <c r="F36" s="776">
        <v>8</v>
      </c>
      <c r="G36" s="776">
        <v>10</v>
      </c>
      <c r="H36" s="776">
        <v>5</v>
      </c>
    </row>
    <row r="37" spans="1:8" ht="15.75" customHeight="1">
      <c r="A37" s="728" t="s">
        <v>987</v>
      </c>
      <c r="B37" s="776">
        <v>9</v>
      </c>
      <c r="C37" s="776">
        <v>9</v>
      </c>
      <c r="D37" s="788">
        <v>4</v>
      </c>
      <c r="E37" s="788">
        <v>5</v>
      </c>
      <c r="F37" s="776">
        <v>10</v>
      </c>
      <c r="G37" s="776">
        <v>10</v>
      </c>
      <c r="H37" s="815" t="s">
        <v>293</v>
      </c>
    </row>
    <row r="38" spans="1:8" ht="15.75" customHeight="1">
      <c r="A38" s="728" t="s">
        <v>871</v>
      </c>
      <c r="B38" s="776">
        <v>25</v>
      </c>
      <c r="C38" s="776">
        <v>25</v>
      </c>
      <c r="D38" s="788">
        <v>20</v>
      </c>
      <c r="E38" s="788">
        <v>20</v>
      </c>
      <c r="F38" s="776">
        <v>25</v>
      </c>
      <c r="G38" s="776">
        <v>25</v>
      </c>
      <c r="H38" s="776">
        <v>15</v>
      </c>
    </row>
    <row r="39" spans="1:8" ht="15.75" customHeight="1">
      <c r="A39" s="728" t="s">
        <v>870</v>
      </c>
      <c r="B39" s="776">
        <v>2.5</v>
      </c>
      <c r="C39" s="776">
        <v>2.5</v>
      </c>
      <c r="D39" s="776">
        <v>2.5</v>
      </c>
      <c r="E39" s="776">
        <v>2.5</v>
      </c>
      <c r="F39" s="776">
        <v>2.5</v>
      </c>
      <c r="G39" s="776">
        <v>2.5</v>
      </c>
      <c r="H39" s="776">
        <v>1</v>
      </c>
    </row>
    <row r="40" spans="1:8" ht="15.75" customHeight="1">
      <c r="A40" s="661" t="s">
        <v>606</v>
      </c>
      <c r="B40" s="776">
        <v>5</v>
      </c>
      <c r="C40" s="776">
        <v>3</v>
      </c>
      <c r="D40" s="776">
        <v>5</v>
      </c>
      <c r="E40" s="776">
        <v>5</v>
      </c>
      <c r="F40" s="776">
        <v>5</v>
      </c>
      <c r="G40" s="776">
        <v>5</v>
      </c>
      <c r="H40" s="776">
        <v>5</v>
      </c>
    </row>
    <row r="41" spans="1:8" ht="15.75" customHeight="1">
      <c r="A41" s="682" t="s">
        <v>608</v>
      </c>
      <c r="B41" s="776">
        <v>1800</v>
      </c>
      <c r="C41" s="776">
        <v>1800</v>
      </c>
      <c r="D41" s="776">
        <v>1800</v>
      </c>
      <c r="E41" s="776">
        <v>1800</v>
      </c>
      <c r="F41" s="776">
        <v>1800</v>
      </c>
      <c r="G41" s="776">
        <v>1800</v>
      </c>
      <c r="H41" s="776">
        <v>1800</v>
      </c>
    </row>
    <row r="42" spans="1:8" ht="15.75" customHeight="1">
      <c r="A42" s="661" t="s">
        <v>609</v>
      </c>
      <c r="B42" s="776">
        <v>5.6599999999999998E-2</v>
      </c>
      <c r="C42" s="776">
        <v>4.1099999999999998E-2</v>
      </c>
      <c r="D42" s="776">
        <v>4.8599999999999997E-2</v>
      </c>
      <c r="E42" s="776">
        <v>4.8599999999999997E-2</v>
      </c>
      <c r="F42" s="776">
        <v>3.61E-2</v>
      </c>
      <c r="G42" s="776">
        <v>3.61E-2</v>
      </c>
      <c r="H42" s="776">
        <v>4.8599999999999997E-2</v>
      </c>
    </row>
    <row r="43" spans="1:8" ht="15.75" customHeight="1">
      <c r="A43" s="661" t="s">
        <v>611</v>
      </c>
      <c r="B43" s="776">
        <v>0</v>
      </c>
      <c r="C43" s="776">
        <v>0</v>
      </c>
      <c r="D43" s="776">
        <v>0</v>
      </c>
      <c r="E43" s="776">
        <v>0</v>
      </c>
      <c r="F43" s="776">
        <v>0</v>
      </c>
      <c r="G43" s="776">
        <v>0</v>
      </c>
      <c r="H43" s="776">
        <v>0</v>
      </c>
    </row>
    <row r="44" spans="1:8" ht="15.75" customHeight="1">
      <c r="A44" s="661" t="s">
        <v>613</v>
      </c>
      <c r="B44" s="776">
        <v>0</v>
      </c>
      <c r="C44" s="776">
        <v>0</v>
      </c>
      <c r="D44" s="776">
        <v>0</v>
      </c>
      <c r="E44" s="776">
        <v>0</v>
      </c>
      <c r="F44" s="776">
        <v>0</v>
      </c>
      <c r="G44" s="776">
        <v>0</v>
      </c>
      <c r="H44" s="776">
        <v>0</v>
      </c>
    </row>
    <row r="45" spans="1:8" ht="15.75" customHeight="1">
      <c r="A45" s="661" t="s">
        <v>615</v>
      </c>
      <c r="B45" s="776">
        <v>1.2999999999999999E-3</v>
      </c>
      <c r="C45" s="776">
        <v>4.0000000000000002E-4</v>
      </c>
      <c r="D45" s="776">
        <v>1.5E-3</v>
      </c>
      <c r="E45" s="776">
        <v>1.5E-3</v>
      </c>
      <c r="F45" s="776">
        <v>5.0000000000000001E-4</v>
      </c>
      <c r="G45" s="776">
        <v>5.0000000000000001E-4</v>
      </c>
      <c r="H45" s="776">
        <v>1.6999999999999999E-3</v>
      </c>
    </row>
    <row r="46" spans="1:8" ht="24" customHeight="1">
      <c r="A46" s="803" t="s">
        <v>617</v>
      </c>
      <c r="B46" s="791"/>
      <c r="C46" s="791"/>
      <c r="D46" s="791"/>
      <c r="E46" s="791"/>
      <c r="F46" s="791"/>
      <c r="G46" s="791"/>
      <c r="H46" s="791"/>
    </row>
    <row r="47" spans="1:8" ht="15.75" customHeight="1">
      <c r="A47" s="728" t="s">
        <v>618</v>
      </c>
      <c r="B47" s="788">
        <f>90*0.125</f>
        <v>11.25</v>
      </c>
      <c r="C47" s="788">
        <f>90*0.15</f>
        <v>13.5</v>
      </c>
      <c r="D47" s="788">
        <f>90*0.15</f>
        <v>13.5</v>
      </c>
      <c r="E47" s="788">
        <f>90*0.15</f>
        <v>13.5</v>
      </c>
      <c r="F47" s="788">
        <f>90*0.125</f>
        <v>11.25</v>
      </c>
      <c r="G47" s="788">
        <f>90*0.125</f>
        <v>11.25</v>
      </c>
      <c r="H47" s="788">
        <f>90*0.15</f>
        <v>13.5</v>
      </c>
    </row>
    <row r="48" spans="1:8" ht="15.75" customHeight="1">
      <c r="A48" s="728" t="s">
        <v>619</v>
      </c>
      <c r="B48" s="815" t="s">
        <v>293</v>
      </c>
      <c r="C48" s="815" t="s">
        <v>293</v>
      </c>
      <c r="D48" s="788">
        <v>17.5</v>
      </c>
      <c r="E48" s="788">
        <v>17.5</v>
      </c>
      <c r="F48" s="815" t="s">
        <v>293</v>
      </c>
      <c r="G48" s="815" t="s">
        <v>293</v>
      </c>
      <c r="H48" s="815" t="s">
        <v>293</v>
      </c>
    </row>
    <row r="49" spans="1:8" ht="15.75" customHeight="1">
      <c r="A49" s="661" t="s">
        <v>986</v>
      </c>
      <c r="B49" s="815" t="s">
        <v>293</v>
      </c>
      <c r="C49" s="815" t="s">
        <v>293</v>
      </c>
      <c r="D49" s="815" t="s">
        <v>293</v>
      </c>
      <c r="E49" s="815" t="s">
        <v>293</v>
      </c>
      <c r="F49" s="815" t="s">
        <v>293</v>
      </c>
      <c r="G49" s="815" t="s">
        <v>293</v>
      </c>
      <c r="H49" s="815" t="s">
        <v>293</v>
      </c>
    </row>
    <row r="50" spans="1:8" ht="15.75" customHeight="1">
      <c r="A50" s="728" t="s">
        <v>621</v>
      </c>
      <c r="B50" s="776">
        <v>1.1000000000000001</v>
      </c>
      <c r="C50" s="776">
        <v>1.3</v>
      </c>
      <c r="D50" s="788">
        <v>1.05</v>
      </c>
      <c r="E50" s="788">
        <v>1.05</v>
      </c>
      <c r="F50" s="776">
        <v>2.2999999999999998</v>
      </c>
      <c r="G50" s="776">
        <v>2.2999999999999998</v>
      </c>
      <c r="H50" s="776">
        <v>2.1</v>
      </c>
    </row>
    <row r="51" spans="1:8" ht="15.75" customHeight="1">
      <c r="A51" s="728" t="s">
        <v>622</v>
      </c>
      <c r="B51" s="776">
        <v>55</v>
      </c>
      <c r="C51" s="776">
        <v>100</v>
      </c>
      <c r="D51" s="788">
        <v>55</v>
      </c>
      <c r="E51" s="788">
        <v>55</v>
      </c>
      <c r="F51" s="776">
        <v>76</v>
      </c>
      <c r="G51" s="776">
        <v>70</v>
      </c>
      <c r="H51" s="776">
        <v>60</v>
      </c>
    </row>
    <row r="52" spans="1:8" ht="15.75" customHeight="1">
      <c r="A52" s="728" t="s">
        <v>623</v>
      </c>
      <c r="B52" s="815" t="s">
        <v>293</v>
      </c>
      <c r="C52" s="815" t="s">
        <v>293</v>
      </c>
      <c r="D52" s="790" t="s">
        <v>293</v>
      </c>
      <c r="E52" s="790" t="s">
        <v>293</v>
      </c>
      <c r="F52" s="815" t="s">
        <v>293</v>
      </c>
      <c r="G52" s="815" t="s">
        <v>293</v>
      </c>
      <c r="H52" s="776">
        <v>342</v>
      </c>
    </row>
    <row r="53" spans="1:8" ht="15.75" customHeight="1">
      <c r="A53" s="728" t="s">
        <v>985</v>
      </c>
      <c r="B53" s="776">
        <v>550</v>
      </c>
      <c r="C53" s="776">
        <v>400</v>
      </c>
      <c r="D53" s="788">
        <v>600</v>
      </c>
      <c r="E53" s="788">
        <v>600</v>
      </c>
      <c r="F53" s="776">
        <v>300</v>
      </c>
      <c r="G53" s="776">
        <v>320</v>
      </c>
      <c r="H53" s="815" t="s">
        <v>293</v>
      </c>
    </row>
    <row r="54" spans="1:8" ht="15.75" customHeight="1">
      <c r="A54" s="728" t="s">
        <v>625</v>
      </c>
      <c r="B54" s="815" t="s">
        <v>293</v>
      </c>
      <c r="C54" s="815" t="s">
        <v>293</v>
      </c>
      <c r="D54" s="788">
        <v>10</v>
      </c>
      <c r="E54" s="788">
        <v>10</v>
      </c>
      <c r="F54" s="776">
        <v>8</v>
      </c>
      <c r="G54" s="815" t="s">
        <v>293</v>
      </c>
      <c r="H54" s="815" t="s">
        <v>293</v>
      </c>
    </row>
    <row r="55" spans="1:8" ht="15.75" customHeight="1">
      <c r="A55" s="728" t="s">
        <v>984</v>
      </c>
      <c r="B55" s="815" t="s">
        <v>293</v>
      </c>
      <c r="C55" s="812">
        <v>9</v>
      </c>
      <c r="D55" s="788">
        <v>8</v>
      </c>
      <c r="E55" s="788">
        <v>8</v>
      </c>
      <c r="F55" s="815" t="s">
        <v>293</v>
      </c>
      <c r="G55" s="815" t="s">
        <v>293</v>
      </c>
      <c r="H55" s="815" t="s">
        <v>293</v>
      </c>
    </row>
    <row r="56" spans="1:8" ht="15.75" customHeight="1">
      <c r="A56" s="661" t="s">
        <v>629</v>
      </c>
      <c r="B56" s="776">
        <v>30</v>
      </c>
      <c r="C56" s="776">
        <v>30</v>
      </c>
      <c r="D56" s="788">
        <v>1500</v>
      </c>
      <c r="E56" s="788">
        <v>1500</v>
      </c>
      <c r="F56" s="776">
        <v>30</v>
      </c>
      <c r="G56" s="776">
        <v>30</v>
      </c>
      <c r="H56" s="776">
        <v>200</v>
      </c>
    </row>
    <row r="57" spans="1:8" ht="15.75" customHeight="1">
      <c r="A57" s="728" t="s">
        <v>759</v>
      </c>
      <c r="B57" s="776">
        <v>6</v>
      </c>
      <c r="C57" s="776">
        <v>10</v>
      </c>
      <c r="D57" s="788">
        <v>10</v>
      </c>
      <c r="E57" s="788">
        <v>10</v>
      </c>
      <c r="F57" s="776">
        <v>8</v>
      </c>
      <c r="G57" s="776">
        <v>10</v>
      </c>
      <c r="H57" s="776">
        <v>5</v>
      </c>
    </row>
    <row r="58" spans="1:8" ht="15.75" customHeight="1">
      <c r="A58" s="728" t="s">
        <v>631</v>
      </c>
      <c r="B58" s="776">
        <v>15</v>
      </c>
      <c r="C58" s="776">
        <v>10</v>
      </c>
      <c r="D58" s="780">
        <v>15</v>
      </c>
      <c r="E58" s="780">
        <v>15</v>
      </c>
      <c r="F58" s="776">
        <v>10</v>
      </c>
      <c r="G58" s="776">
        <v>10</v>
      </c>
      <c r="H58" s="776">
        <v>5</v>
      </c>
    </row>
    <row r="59" spans="1:8" ht="15.75" customHeight="1">
      <c r="A59" s="728" t="s">
        <v>983</v>
      </c>
      <c r="B59" s="815" t="s">
        <v>293</v>
      </c>
      <c r="C59" s="815" t="s">
        <v>293</v>
      </c>
      <c r="D59" s="815" t="s">
        <v>293</v>
      </c>
      <c r="E59" s="815" t="s">
        <v>293</v>
      </c>
      <c r="F59" s="815" t="s">
        <v>293</v>
      </c>
      <c r="G59" s="815" t="s">
        <v>293</v>
      </c>
      <c r="H59" s="815" t="s">
        <v>293</v>
      </c>
    </row>
    <row r="60" spans="1:8" ht="15.75" customHeight="1">
      <c r="A60" s="661" t="s">
        <v>626</v>
      </c>
      <c r="B60" s="815" t="s">
        <v>293</v>
      </c>
      <c r="C60" s="815" t="s">
        <v>293</v>
      </c>
      <c r="D60" s="812">
        <v>0.28000000000000003</v>
      </c>
      <c r="E60" s="812">
        <v>0.28000000000000003</v>
      </c>
      <c r="F60" s="815" t="s">
        <v>293</v>
      </c>
      <c r="G60" s="815" t="s">
        <v>293</v>
      </c>
      <c r="H60" s="815" t="s">
        <v>293</v>
      </c>
    </row>
    <row r="61" spans="1:8" ht="15.75" customHeight="1">
      <c r="A61" s="661" t="s">
        <v>756</v>
      </c>
      <c r="B61" s="815" t="s">
        <v>293</v>
      </c>
      <c r="C61" s="815" t="s">
        <v>293</v>
      </c>
      <c r="D61" s="812" t="s">
        <v>982</v>
      </c>
      <c r="E61" s="812" t="s">
        <v>982</v>
      </c>
      <c r="F61" s="815" t="s">
        <v>293</v>
      </c>
      <c r="G61" s="815" t="s">
        <v>293</v>
      </c>
      <c r="H61" s="815" t="s">
        <v>293</v>
      </c>
    </row>
    <row r="62" spans="1:8" ht="15.75" customHeight="1">
      <c r="A62" s="661" t="s">
        <v>756</v>
      </c>
      <c r="B62" s="815" t="s">
        <v>293</v>
      </c>
      <c r="C62" s="815" t="s">
        <v>293</v>
      </c>
      <c r="D62" s="812" t="s">
        <v>981</v>
      </c>
      <c r="E62" s="812" t="s">
        <v>981</v>
      </c>
      <c r="F62" s="815" t="s">
        <v>293</v>
      </c>
      <c r="G62" s="815" t="s">
        <v>293</v>
      </c>
      <c r="H62" s="815" t="s">
        <v>293</v>
      </c>
    </row>
    <row r="63" spans="1:8" ht="15.75" customHeight="1">
      <c r="A63" s="661" t="s">
        <v>628</v>
      </c>
      <c r="B63" s="815" t="s">
        <v>293</v>
      </c>
      <c r="C63" s="815" t="s">
        <v>293</v>
      </c>
      <c r="D63" s="812">
        <v>2.5</v>
      </c>
      <c r="E63" s="812">
        <v>2.5</v>
      </c>
      <c r="F63" s="815" t="s">
        <v>293</v>
      </c>
      <c r="G63" s="815" t="s">
        <v>293</v>
      </c>
      <c r="H63" s="815" t="s">
        <v>293</v>
      </c>
    </row>
    <row r="64" spans="1:8" ht="84.75" customHeight="1">
      <c r="A64" s="722" t="s">
        <v>635</v>
      </c>
      <c r="B64" s="776" t="s">
        <v>980</v>
      </c>
      <c r="C64" s="776"/>
      <c r="D64" s="788" t="s">
        <v>979</v>
      </c>
      <c r="E64" s="788" t="s">
        <v>978</v>
      </c>
      <c r="F64" s="776"/>
      <c r="G64" s="776"/>
      <c r="H64" s="776"/>
    </row>
    <row r="65" spans="1:8" ht="25.5">
      <c r="A65" s="776" t="s">
        <v>977</v>
      </c>
      <c r="B65" s="776"/>
      <c r="C65" s="776"/>
      <c r="D65" s="788"/>
      <c r="E65" s="788"/>
      <c r="F65" s="776"/>
      <c r="G65" s="776"/>
      <c r="H65" s="776"/>
    </row>
    <row r="66" spans="1:8" ht="12.75">
      <c r="A66" s="728"/>
      <c r="B66" s="682"/>
      <c r="C66" s="682"/>
      <c r="D66" s="774"/>
      <c r="E66" s="774"/>
      <c r="F66" s="682"/>
      <c r="G66" s="682"/>
      <c r="H66" s="682"/>
    </row>
    <row r="67" spans="1:8" ht="12.75">
      <c r="A67" s="728"/>
      <c r="B67" s="682"/>
      <c r="C67" s="682"/>
      <c r="D67" s="774"/>
      <c r="E67" s="774"/>
      <c r="F67" s="682"/>
      <c r="G67" s="682"/>
      <c r="H67" s="682"/>
    </row>
    <row r="68" spans="1:8" ht="12.75">
      <c r="A68" s="728"/>
      <c r="B68" s="682"/>
      <c r="C68" s="682"/>
      <c r="D68" s="774"/>
      <c r="E68" s="774"/>
      <c r="F68" s="682"/>
      <c r="G68" s="682"/>
      <c r="H68" s="682"/>
    </row>
    <row r="69" spans="1:8" ht="12.75">
      <c r="A69" s="728"/>
      <c r="B69" s="682"/>
      <c r="C69" s="682"/>
      <c r="D69" s="774"/>
      <c r="E69" s="774"/>
      <c r="F69" s="682"/>
      <c r="G69" s="682"/>
      <c r="H69" s="682"/>
    </row>
    <row r="70" spans="1:8" ht="12.75">
      <c r="A70" s="728"/>
      <c r="B70" s="682"/>
      <c r="C70" s="682"/>
      <c r="D70" s="774"/>
      <c r="E70" s="774"/>
      <c r="F70" s="682"/>
      <c r="G70" s="682"/>
      <c r="H70" s="682"/>
    </row>
    <row r="71" spans="1:8" ht="12.75">
      <c r="A71" s="728"/>
      <c r="B71" s="682"/>
      <c r="C71" s="682"/>
      <c r="D71" s="774"/>
      <c r="E71" s="774"/>
      <c r="F71" s="682"/>
      <c r="G71" s="682"/>
      <c r="H71" s="682"/>
    </row>
    <row r="72" spans="1:8" ht="12.75">
      <c r="A72" s="728"/>
      <c r="B72" s="728"/>
      <c r="C72" s="728"/>
      <c r="D72" s="711"/>
      <c r="E72" s="711"/>
      <c r="F72" s="728"/>
      <c r="G72" s="728"/>
      <c r="H72" s="728"/>
    </row>
    <row r="73" spans="1:8" ht="12.75">
      <c r="A73" s="728"/>
      <c r="B73" s="728"/>
      <c r="C73" s="728"/>
      <c r="D73" s="711"/>
      <c r="E73" s="711"/>
      <c r="F73" s="728"/>
      <c r="G73" s="728"/>
      <c r="H73" s="728"/>
    </row>
    <row r="74" spans="1:8" ht="12.75">
      <c r="A74" s="728"/>
      <c r="B74" s="728"/>
      <c r="C74" s="728"/>
      <c r="D74" s="711"/>
      <c r="E74" s="711"/>
      <c r="F74" s="728"/>
      <c r="G74" s="728"/>
      <c r="H74" s="728"/>
    </row>
    <row r="75" spans="1:8" ht="12.75">
      <c r="A75" s="728"/>
      <c r="B75" s="728"/>
      <c r="C75" s="728"/>
      <c r="D75" s="711"/>
      <c r="E75" s="711"/>
      <c r="F75" s="728"/>
      <c r="G75" s="728"/>
      <c r="H75" s="728"/>
    </row>
  </sheetData>
  <conditionalFormatting sqref="A1:H1 A3:H7 A9:H19 A21:H31 A33:H45 A47:H75">
    <cfRule type="expression" dxfId="50" priority="1">
      <formula>ISEVEN(COLUMN())</formula>
    </cfRule>
    <cfRule type="expression" dxfId="49" priority="2">
      <formula>ISODD(COLUMN())</formula>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F78F6-F5FD-495F-90B3-E4A609F4BC02}">
  <sheetPr>
    <tabColor rgb="FF5B0F00"/>
    <outlinePr summaryBelow="0" summaryRight="0"/>
  </sheetPr>
  <dimension ref="A1:AC79"/>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29" width="16.7109375" customWidth="1"/>
  </cols>
  <sheetData>
    <row r="1" spans="1:29" ht="35.25" customHeight="1">
      <c r="A1" s="811" t="s">
        <v>551</v>
      </c>
      <c r="B1" s="653" t="s">
        <v>1038</v>
      </c>
      <c r="C1" s="655" t="s">
        <v>1037</v>
      </c>
      <c r="D1" s="653" t="s">
        <v>1036</v>
      </c>
      <c r="E1" s="655" t="s">
        <v>1035</v>
      </c>
      <c r="F1" s="653" t="s">
        <v>1034</v>
      </c>
      <c r="G1" s="655" t="s">
        <v>1033</v>
      </c>
      <c r="H1" s="653" t="s">
        <v>1032</v>
      </c>
      <c r="I1" s="653" t="s">
        <v>994</v>
      </c>
      <c r="J1" s="655" t="s">
        <v>1031</v>
      </c>
      <c r="K1" s="655" t="s">
        <v>1030</v>
      </c>
      <c r="L1" s="653" t="s">
        <v>1029</v>
      </c>
      <c r="M1" s="653" t="s">
        <v>1028</v>
      </c>
      <c r="N1" s="655" t="s">
        <v>1027</v>
      </c>
      <c r="O1" s="653" t="s">
        <v>1026</v>
      </c>
      <c r="P1" s="655" t="s">
        <v>1025</v>
      </c>
      <c r="Q1" s="655" t="s">
        <v>1024</v>
      </c>
      <c r="R1" s="655" t="s">
        <v>1023</v>
      </c>
      <c r="S1" s="655" t="s">
        <v>1022</v>
      </c>
      <c r="T1" s="655" t="s">
        <v>1021</v>
      </c>
      <c r="U1" s="655" t="s">
        <v>1020</v>
      </c>
      <c r="V1" s="655" t="s">
        <v>1019</v>
      </c>
      <c r="W1" s="653" t="s">
        <v>1018</v>
      </c>
      <c r="X1" s="655" t="s">
        <v>1017</v>
      </c>
      <c r="Y1" s="655" t="s">
        <v>1016</v>
      </c>
      <c r="Z1" s="655" t="s">
        <v>1015</v>
      </c>
      <c r="AA1" s="655" t="s">
        <v>1014</v>
      </c>
      <c r="AB1" s="655" t="s">
        <v>1013</v>
      </c>
      <c r="AC1" s="655" t="s">
        <v>1012</v>
      </c>
    </row>
    <row r="2" spans="1:29" ht="82.5" customHeight="1">
      <c r="A2" s="810" t="s">
        <v>562</v>
      </c>
      <c r="B2" s="660"/>
      <c r="C2" s="660"/>
      <c r="D2" s="660"/>
      <c r="E2" s="660"/>
      <c r="F2" s="660"/>
      <c r="G2" s="660"/>
      <c r="H2" s="660"/>
      <c r="I2" s="660"/>
      <c r="J2" s="660"/>
      <c r="K2" s="659"/>
      <c r="L2" s="660"/>
      <c r="M2" s="660"/>
      <c r="N2" s="660"/>
      <c r="O2" s="660"/>
      <c r="P2" s="660"/>
      <c r="Q2" s="660"/>
      <c r="R2" s="660"/>
      <c r="S2" s="660"/>
      <c r="T2" s="660"/>
      <c r="U2" s="660"/>
      <c r="V2" s="660"/>
      <c r="W2" s="660"/>
      <c r="X2" s="660"/>
      <c r="Y2" s="659"/>
      <c r="Z2" s="660"/>
      <c r="AA2" s="660"/>
      <c r="AB2" s="660"/>
      <c r="AC2" s="660"/>
    </row>
    <row r="3" spans="1:29" ht="15.75" customHeight="1">
      <c r="A3" s="728" t="s">
        <v>563</v>
      </c>
      <c r="B3" s="788">
        <v>13.5</v>
      </c>
      <c r="C3" s="776">
        <v>13.5</v>
      </c>
      <c r="D3" s="788">
        <v>28.5</v>
      </c>
      <c r="E3" s="776">
        <v>31.5</v>
      </c>
      <c r="F3" s="788">
        <v>31.5</v>
      </c>
      <c r="G3" s="776">
        <v>31.4</v>
      </c>
      <c r="H3" s="788">
        <v>33.5</v>
      </c>
      <c r="I3" s="788">
        <v>33.5</v>
      </c>
      <c r="J3" s="664">
        <v>259</v>
      </c>
      <c r="K3" s="812">
        <v>29.99</v>
      </c>
      <c r="L3" s="788">
        <v>29.99</v>
      </c>
      <c r="M3" s="788">
        <v>76</v>
      </c>
      <c r="N3" s="812">
        <v>19.05</v>
      </c>
      <c r="O3" s="780">
        <v>21.45</v>
      </c>
      <c r="P3" s="812">
        <v>11.2</v>
      </c>
      <c r="Q3" s="812">
        <v>11.4</v>
      </c>
      <c r="R3" s="812">
        <v>12</v>
      </c>
      <c r="S3" s="812">
        <v>13</v>
      </c>
      <c r="T3" s="812">
        <v>13</v>
      </c>
      <c r="U3" s="812">
        <v>29</v>
      </c>
      <c r="V3" s="812">
        <v>23</v>
      </c>
      <c r="W3" s="788">
        <v>23</v>
      </c>
      <c r="X3" s="776">
        <v>23.6</v>
      </c>
      <c r="Y3" s="664">
        <v>278</v>
      </c>
      <c r="Z3" s="788">
        <v>29.99</v>
      </c>
      <c r="AA3" s="776">
        <v>7.6</v>
      </c>
      <c r="AB3" s="812">
        <v>19.05</v>
      </c>
      <c r="AC3" s="780">
        <v>21.45</v>
      </c>
    </row>
    <row r="4" spans="1:29" ht="15.75" customHeight="1">
      <c r="A4" s="728" t="s">
        <v>564</v>
      </c>
      <c r="B4" s="780">
        <v>11.6</v>
      </c>
      <c r="C4" s="812">
        <v>11.6</v>
      </c>
      <c r="D4" s="780">
        <v>20</v>
      </c>
      <c r="E4" s="812">
        <v>28.15</v>
      </c>
      <c r="F4" s="780">
        <v>28.15</v>
      </c>
      <c r="G4" s="812">
        <v>25.83</v>
      </c>
      <c r="H4" s="780">
        <v>27.93</v>
      </c>
      <c r="I4" s="780">
        <v>27.93</v>
      </c>
      <c r="J4" s="664">
        <v>204</v>
      </c>
      <c r="K4" s="812">
        <v>28.35</v>
      </c>
      <c r="L4" s="780">
        <v>28.35</v>
      </c>
      <c r="M4" s="780">
        <v>68.8</v>
      </c>
      <c r="N4" s="812">
        <v>16.55</v>
      </c>
      <c r="O4" s="780">
        <v>18.25</v>
      </c>
      <c r="P4" s="812">
        <v>10.050000000000001</v>
      </c>
      <c r="Q4" s="812">
        <v>10.25</v>
      </c>
      <c r="R4" s="812">
        <v>10.85</v>
      </c>
      <c r="S4" s="812">
        <v>11.85</v>
      </c>
      <c r="T4" s="812">
        <v>11.85</v>
      </c>
      <c r="U4" s="812">
        <v>25</v>
      </c>
      <c r="V4" s="812">
        <v>20.04</v>
      </c>
      <c r="W4" s="780">
        <v>20.04</v>
      </c>
      <c r="X4" s="812">
        <v>20.64</v>
      </c>
      <c r="Y4" s="664">
        <v>214.55</v>
      </c>
      <c r="Z4" s="780">
        <v>28.35</v>
      </c>
      <c r="AA4" s="812">
        <v>7.25</v>
      </c>
      <c r="AB4" s="812">
        <v>16.55</v>
      </c>
      <c r="AC4" s="780">
        <v>18.25</v>
      </c>
    </row>
    <row r="5" spans="1:29" ht="15.75" customHeight="1">
      <c r="A5" s="728" t="s">
        <v>565</v>
      </c>
      <c r="B5" s="780">
        <v>9.6</v>
      </c>
      <c r="C5" s="812">
        <v>9.6</v>
      </c>
      <c r="D5" s="719" t="s">
        <v>293</v>
      </c>
      <c r="E5" s="812">
        <v>26.25</v>
      </c>
      <c r="F5" s="780">
        <v>26.25</v>
      </c>
      <c r="G5" s="812">
        <v>21.58</v>
      </c>
      <c r="H5" s="780">
        <v>23.68</v>
      </c>
      <c r="I5" s="780">
        <v>23.68</v>
      </c>
      <c r="J5" s="719" t="s">
        <v>293</v>
      </c>
      <c r="K5" s="812">
        <v>24.2</v>
      </c>
      <c r="L5" s="780">
        <v>24.2</v>
      </c>
      <c r="M5" s="780">
        <v>61.1</v>
      </c>
      <c r="N5" s="719" t="s">
        <v>293</v>
      </c>
      <c r="O5" s="719" t="s">
        <v>293</v>
      </c>
      <c r="P5" s="676">
        <v>8.75</v>
      </c>
      <c r="Q5" s="676">
        <v>8.9499999999999993</v>
      </c>
      <c r="R5" s="676">
        <v>9.5500000000000007</v>
      </c>
      <c r="S5" s="676">
        <v>10.55</v>
      </c>
      <c r="T5" s="676">
        <v>10.55</v>
      </c>
      <c r="U5" s="691">
        <v>23.5</v>
      </c>
      <c r="V5" s="812">
        <v>17.440000000000001</v>
      </c>
      <c r="W5" s="780">
        <v>17.440000000000001</v>
      </c>
      <c r="X5" s="812">
        <v>18.04</v>
      </c>
      <c r="Y5" s="719" t="s">
        <v>293</v>
      </c>
      <c r="Z5" s="780">
        <v>24.2</v>
      </c>
      <c r="AA5" s="812">
        <v>6.74</v>
      </c>
      <c r="AB5" s="719" t="s">
        <v>293</v>
      </c>
      <c r="AC5" s="719" t="s">
        <v>293</v>
      </c>
    </row>
    <row r="6" spans="1:29" ht="15.75" customHeight="1">
      <c r="A6" s="728" t="s">
        <v>566</v>
      </c>
      <c r="B6" s="788">
        <v>125</v>
      </c>
      <c r="C6" s="776">
        <v>125</v>
      </c>
      <c r="D6" s="788">
        <v>135</v>
      </c>
      <c r="E6" s="776">
        <v>142</v>
      </c>
      <c r="F6" s="788">
        <v>142</v>
      </c>
      <c r="G6" s="776">
        <v>130</v>
      </c>
      <c r="H6" s="788">
        <v>130</v>
      </c>
      <c r="I6" s="788">
        <v>130</v>
      </c>
      <c r="J6" s="664">
        <v>298</v>
      </c>
      <c r="K6" s="812">
        <v>164</v>
      </c>
      <c r="L6" s="788">
        <v>164</v>
      </c>
      <c r="M6" s="788">
        <v>210</v>
      </c>
      <c r="N6" s="776">
        <v>127</v>
      </c>
      <c r="O6" s="788">
        <v>152</v>
      </c>
      <c r="P6" s="776">
        <v>120</v>
      </c>
      <c r="Q6" s="776">
        <v>120</v>
      </c>
      <c r="R6" s="776">
        <v>120</v>
      </c>
      <c r="S6" s="776">
        <v>120</v>
      </c>
      <c r="T6" s="776">
        <v>120</v>
      </c>
      <c r="U6" s="776">
        <v>152</v>
      </c>
      <c r="V6" s="776">
        <v>136</v>
      </c>
      <c r="W6" s="788">
        <v>150</v>
      </c>
      <c r="X6" s="776">
        <v>150</v>
      </c>
      <c r="Y6" s="664">
        <v>275</v>
      </c>
      <c r="Z6" s="788">
        <v>164</v>
      </c>
      <c r="AA6" s="776">
        <v>110</v>
      </c>
      <c r="AB6" s="776">
        <v>127</v>
      </c>
      <c r="AC6" s="788">
        <v>152</v>
      </c>
    </row>
    <row r="7" spans="1:29" ht="15.75" customHeight="1">
      <c r="A7" s="728" t="s">
        <v>567</v>
      </c>
      <c r="B7" s="788">
        <v>1.0049999999999999</v>
      </c>
      <c r="C7" s="776">
        <v>1.0049999999999999</v>
      </c>
      <c r="D7" s="788">
        <v>1.163</v>
      </c>
      <c r="E7" s="776">
        <v>1.165</v>
      </c>
      <c r="F7" s="788">
        <v>1.165</v>
      </c>
      <c r="G7" s="776">
        <v>1.613</v>
      </c>
      <c r="H7" s="788">
        <v>1.93</v>
      </c>
      <c r="I7" s="788">
        <v>1.93</v>
      </c>
      <c r="J7" s="664">
        <v>3.12</v>
      </c>
      <c r="K7" s="812">
        <v>1.21</v>
      </c>
      <c r="L7" s="788">
        <v>1.21</v>
      </c>
      <c r="M7" s="788">
        <v>1.87</v>
      </c>
      <c r="N7" s="812">
        <v>1.534</v>
      </c>
      <c r="O7" s="780">
        <v>1.607</v>
      </c>
      <c r="P7" s="812">
        <v>0.85</v>
      </c>
      <c r="Q7" s="812">
        <v>1.05</v>
      </c>
      <c r="R7" s="812">
        <v>1.05</v>
      </c>
      <c r="S7" s="812">
        <v>1.05</v>
      </c>
      <c r="T7" s="812">
        <v>1.05</v>
      </c>
      <c r="U7" s="812">
        <v>1.5</v>
      </c>
      <c r="V7" s="812">
        <v>1.27</v>
      </c>
      <c r="W7" s="788">
        <v>1.3</v>
      </c>
      <c r="X7" s="776">
        <v>1.3</v>
      </c>
      <c r="Y7" s="664">
        <v>3.6309999999999998</v>
      </c>
      <c r="Z7" s="788">
        <v>1.21</v>
      </c>
      <c r="AA7" s="776">
        <v>0.84799999999999998</v>
      </c>
      <c r="AB7" s="812">
        <v>1.534</v>
      </c>
      <c r="AC7" s="780">
        <v>1.607</v>
      </c>
    </row>
    <row r="8" spans="1:29" ht="20.25" customHeight="1">
      <c r="A8" s="809" t="s">
        <v>568</v>
      </c>
      <c r="B8" s="822"/>
      <c r="C8" s="822"/>
      <c r="D8" s="794"/>
      <c r="E8" s="822"/>
      <c r="F8" s="794"/>
      <c r="G8" s="794"/>
      <c r="H8" s="794"/>
      <c r="I8" s="794"/>
      <c r="J8" s="673"/>
      <c r="K8" s="673"/>
      <c r="L8" s="794"/>
      <c r="M8" s="794"/>
      <c r="N8" s="794"/>
      <c r="O8" s="794"/>
      <c r="P8" s="794"/>
      <c r="Q8" s="794"/>
      <c r="R8" s="794"/>
      <c r="S8" s="794"/>
      <c r="T8" s="794"/>
      <c r="U8" s="794"/>
      <c r="V8" s="794"/>
      <c r="W8" s="794"/>
      <c r="X8" s="794"/>
      <c r="Y8" s="673"/>
      <c r="Z8" s="794"/>
      <c r="AA8" s="794"/>
      <c r="AB8" s="794"/>
      <c r="AC8" s="794"/>
    </row>
    <row r="9" spans="1:29" ht="15.75" customHeight="1">
      <c r="A9" s="728" t="s">
        <v>569</v>
      </c>
      <c r="B9" s="788">
        <v>1600</v>
      </c>
      <c r="C9" s="776">
        <v>1600</v>
      </c>
      <c r="D9" s="788">
        <v>3500</v>
      </c>
      <c r="E9" s="776">
        <v>6840</v>
      </c>
      <c r="F9" s="788">
        <v>6840</v>
      </c>
      <c r="G9" s="776">
        <v>6480</v>
      </c>
      <c r="H9" s="788">
        <v>6480</v>
      </c>
      <c r="I9" s="788">
        <v>6480</v>
      </c>
      <c r="J9" s="786">
        <v>53400</v>
      </c>
      <c r="K9" s="821">
        <v>3280</v>
      </c>
      <c r="L9" s="788">
        <v>3280</v>
      </c>
      <c r="M9" s="788">
        <v>8200</v>
      </c>
      <c r="N9" s="776">
        <v>2800</v>
      </c>
      <c r="O9" s="788">
        <v>3590</v>
      </c>
      <c r="P9" s="776">
        <v>800</v>
      </c>
      <c r="Q9" s="776">
        <v>800</v>
      </c>
      <c r="R9" s="776">
        <v>800</v>
      </c>
      <c r="S9" s="776">
        <v>800</v>
      </c>
      <c r="T9" s="776">
        <v>800</v>
      </c>
      <c r="U9" s="776">
        <v>6450</v>
      </c>
      <c r="V9" s="776">
        <v>4965</v>
      </c>
      <c r="W9" s="788">
        <v>4965</v>
      </c>
      <c r="X9" s="776">
        <v>4965</v>
      </c>
      <c r="Y9" s="664">
        <v>24700</v>
      </c>
      <c r="Z9" s="788">
        <v>3200</v>
      </c>
      <c r="AA9" s="776">
        <v>1050</v>
      </c>
      <c r="AB9" s="776">
        <v>2800</v>
      </c>
      <c r="AC9" s="788">
        <v>3590</v>
      </c>
    </row>
    <row r="10" spans="1:29" ht="16.5" customHeight="1">
      <c r="A10" s="728" t="s">
        <v>570</v>
      </c>
      <c r="B10" s="788">
        <v>1</v>
      </c>
      <c r="C10" s="776">
        <v>1</v>
      </c>
      <c r="D10" s="788">
        <v>3</v>
      </c>
      <c r="E10" s="776">
        <v>1</v>
      </c>
      <c r="F10" s="788">
        <v>1</v>
      </c>
      <c r="G10" s="776">
        <v>2</v>
      </c>
      <c r="H10" s="788">
        <v>2</v>
      </c>
      <c r="I10" s="788">
        <v>2</v>
      </c>
      <c r="J10" s="664">
        <v>2.04</v>
      </c>
      <c r="K10" s="812">
        <v>1</v>
      </c>
      <c r="L10" s="788">
        <v>1</v>
      </c>
      <c r="M10" s="788">
        <v>1.8</v>
      </c>
      <c r="N10" s="776">
        <v>1.6</v>
      </c>
      <c r="O10" s="788">
        <v>1.6</v>
      </c>
      <c r="P10" s="776">
        <v>2</v>
      </c>
      <c r="Q10" s="776">
        <v>2</v>
      </c>
      <c r="R10" s="776">
        <v>2</v>
      </c>
      <c r="S10" s="776">
        <v>2</v>
      </c>
      <c r="T10" s="776">
        <v>2</v>
      </c>
      <c r="U10" s="776">
        <v>1</v>
      </c>
      <c r="V10" s="776">
        <v>1</v>
      </c>
      <c r="W10" s="788">
        <v>1</v>
      </c>
      <c r="X10" s="776">
        <v>1</v>
      </c>
      <c r="Y10" s="664">
        <v>4.9000000000000004</v>
      </c>
      <c r="Z10" s="788">
        <v>1</v>
      </c>
      <c r="AA10" s="776">
        <v>0.5</v>
      </c>
      <c r="AB10" s="776">
        <v>1.6</v>
      </c>
      <c r="AC10" s="788">
        <v>1.6</v>
      </c>
    </row>
    <row r="11" spans="1:29" ht="15.75" customHeight="1">
      <c r="A11" s="728" t="str">
        <f>"Raw acceleration at ignition: [m/s"&amp;CHAR(178)&amp;"]"</f>
        <v>Raw acceleration at ignition: [m/s²]</v>
      </c>
      <c r="B11" s="777">
        <f t="shared" ref="B11:AC11" si="0">B9/B3</f>
        <v>118.51851851851852</v>
      </c>
      <c r="C11" s="806">
        <f t="shared" si="0"/>
        <v>118.51851851851852</v>
      </c>
      <c r="D11" s="777">
        <f t="shared" si="0"/>
        <v>122.80701754385964</v>
      </c>
      <c r="E11" s="806">
        <f t="shared" si="0"/>
        <v>217.14285714285714</v>
      </c>
      <c r="F11" s="777">
        <f t="shared" si="0"/>
        <v>217.14285714285714</v>
      </c>
      <c r="G11" s="806">
        <f t="shared" si="0"/>
        <v>206.36942675159236</v>
      </c>
      <c r="H11" s="793">
        <f t="shared" si="0"/>
        <v>193.43283582089552</v>
      </c>
      <c r="I11" s="793">
        <f t="shared" si="0"/>
        <v>193.43283582089552</v>
      </c>
      <c r="J11" s="679">
        <f t="shared" si="0"/>
        <v>206.17760617760618</v>
      </c>
      <c r="K11" s="806">
        <f t="shared" si="0"/>
        <v>109.36978992997666</v>
      </c>
      <c r="L11" s="777">
        <f t="shared" si="0"/>
        <v>109.36978992997666</v>
      </c>
      <c r="M11" s="777">
        <f t="shared" si="0"/>
        <v>107.89473684210526</v>
      </c>
      <c r="N11" s="806">
        <f t="shared" si="0"/>
        <v>146.98162729658793</v>
      </c>
      <c r="O11" s="777">
        <f t="shared" si="0"/>
        <v>167.36596736596738</v>
      </c>
      <c r="P11" s="806">
        <f t="shared" si="0"/>
        <v>71.428571428571431</v>
      </c>
      <c r="Q11" s="806">
        <f t="shared" si="0"/>
        <v>70.175438596491219</v>
      </c>
      <c r="R11" s="806">
        <f t="shared" si="0"/>
        <v>66.666666666666671</v>
      </c>
      <c r="S11" s="806">
        <f t="shared" si="0"/>
        <v>61.53846153846154</v>
      </c>
      <c r="T11" s="806">
        <f t="shared" si="0"/>
        <v>61.53846153846154</v>
      </c>
      <c r="U11" s="806">
        <f t="shared" si="0"/>
        <v>222.41379310344828</v>
      </c>
      <c r="V11" s="806">
        <f t="shared" si="0"/>
        <v>215.86956521739131</v>
      </c>
      <c r="W11" s="777">
        <f t="shared" si="0"/>
        <v>215.86956521739131</v>
      </c>
      <c r="X11" s="806">
        <f t="shared" si="0"/>
        <v>210.38135593220338</v>
      </c>
      <c r="Y11" s="679">
        <f t="shared" si="0"/>
        <v>88.848920863309345</v>
      </c>
      <c r="Z11" s="777">
        <f t="shared" si="0"/>
        <v>106.70223407802601</v>
      </c>
      <c r="AA11" s="676">
        <f t="shared" si="0"/>
        <v>138.15789473684211</v>
      </c>
      <c r="AB11" s="806">
        <f t="shared" si="0"/>
        <v>146.98162729658793</v>
      </c>
      <c r="AC11" s="777">
        <f t="shared" si="0"/>
        <v>167.36596736596738</v>
      </c>
    </row>
    <row r="12" spans="1:29" ht="15.75" customHeight="1">
      <c r="A12" s="728" t="s">
        <v>571</v>
      </c>
      <c r="B12" s="676">
        <f t="shared" ref="B12:AC12" si="1">B10*B9/(9.81*(B3-B4))</f>
        <v>85.841515102741553</v>
      </c>
      <c r="C12" s="676">
        <f t="shared" si="1"/>
        <v>85.841515102741553</v>
      </c>
      <c r="D12" s="676">
        <f t="shared" si="1"/>
        <v>125.92192840438928</v>
      </c>
      <c r="E12" s="676">
        <f t="shared" si="1"/>
        <v>208.13364370806508</v>
      </c>
      <c r="F12" s="676">
        <f t="shared" si="1"/>
        <v>208.13364370806508</v>
      </c>
      <c r="G12" s="676">
        <f t="shared" si="1"/>
        <v>237.18149325515125</v>
      </c>
      <c r="H12" s="676">
        <f t="shared" si="1"/>
        <v>237.18149325515125</v>
      </c>
      <c r="I12" s="676">
        <f t="shared" si="1"/>
        <v>237.18149325515125</v>
      </c>
      <c r="J12" s="676">
        <f t="shared" si="1"/>
        <v>201.90158465387822</v>
      </c>
      <c r="K12" s="676">
        <f t="shared" si="1"/>
        <v>203.87359836901157</v>
      </c>
      <c r="L12" s="676">
        <f t="shared" si="1"/>
        <v>203.87359836901157</v>
      </c>
      <c r="M12" s="676">
        <f t="shared" si="1"/>
        <v>208.97043832823638</v>
      </c>
      <c r="N12" s="676">
        <f t="shared" si="1"/>
        <v>182.67074413863403</v>
      </c>
      <c r="O12" s="676">
        <f t="shared" si="1"/>
        <v>182.97655453618759</v>
      </c>
      <c r="P12" s="676">
        <f t="shared" si="1"/>
        <v>141.82511190887752</v>
      </c>
      <c r="Q12" s="676">
        <f t="shared" si="1"/>
        <v>141.82511190887732</v>
      </c>
      <c r="R12" s="676">
        <f t="shared" si="1"/>
        <v>141.82511190887732</v>
      </c>
      <c r="S12" s="676">
        <f t="shared" si="1"/>
        <v>141.82511190887732</v>
      </c>
      <c r="T12" s="676">
        <f t="shared" si="1"/>
        <v>141.82511190887732</v>
      </c>
      <c r="U12" s="676">
        <f t="shared" si="1"/>
        <v>164.37308868501529</v>
      </c>
      <c r="V12" s="676">
        <f t="shared" si="1"/>
        <v>170.98520538887507</v>
      </c>
      <c r="W12" s="676">
        <f t="shared" si="1"/>
        <v>170.98520538887507</v>
      </c>
      <c r="X12" s="676">
        <f t="shared" si="1"/>
        <v>170.98520538887507</v>
      </c>
      <c r="Y12" s="676">
        <f t="shared" si="1"/>
        <v>194.44303869662278</v>
      </c>
      <c r="Z12" s="676">
        <f t="shared" si="1"/>
        <v>198.90107157952349</v>
      </c>
      <c r="AA12" s="676">
        <f t="shared" si="1"/>
        <v>152.90519877675854</v>
      </c>
      <c r="AB12" s="676">
        <f t="shared" si="1"/>
        <v>182.67074413863403</v>
      </c>
      <c r="AC12" s="676">
        <f t="shared" si="1"/>
        <v>182.97655453618759</v>
      </c>
    </row>
    <row r="13" spans="1:29" ht="15.75" customHeight="1">
      <c r="A13" s="661" t="s">
        <v>572</v>
      </c>
      <c r="B13" s="678">
        <f t="shared" ref="B13:AC13" si="2">B12*9.81*LN(B3/B4)</f>
        <v>127.73438933226504</v>
      </c>
      <c r="C13" s="678">
        <f t="shared" si="2"/>
        <v>127.73438933226504</v>
      </c>
      <c r="D13" s="678">
        <f t="shared" si="2"/>
        <v>437.5063581254642</v>
      </c>
      <c r="E13" s="678">
        <f t="shared" si="2"/>
        <v>229.57937555876831</v>
      </c>
      <c r="F13" s="678">
        <f t="shared" si="2"/>
        <v>229.57937555876831</v>
      </c>
      <c r="G13" s="678">
        <f t="shared" si="2"/>
        <v>454.34755189438118</v>
      </c>
      <c r="H13" s="678">
        <f t="shared" si="2"/>
        <v>423.10574560254952</v>
      </c>
      <c r="I13" s="678">
        <f t="shared" si="2"/>
        <v>423.10574560254952</v>
      </c>
      <c r="J13" s="678">
        <f t="shared" si="2"/>
        <v>472.79821963431419</v>
      </c>
      <c r="K13" s="678">
        <f t="shared" si="2"/>
        <v>112.47392517431315</v>
      </c>
      <c r="L13" s="678">
        <f t="shared" si="2"/>
        <v>112.47392517431315</v>
      </c>
      <c r="M13" s="678">
        <f t="shared" si="2"/>
        <v>204.03567046141771</v>
      </c>
      <c r="N13" s="678">
        <f t="shared" si="2"/>
        <v>252.10035155135154</v>
      </c>
      <c r="O13" s="678">
        <f t="shared" si="2"/>
        <v>289.99941979521822</v>
      </c>
      <c r="P13" s="678">
        <f t="shared" si="2"/>
        <v>150.73550441177608</v>
      </c>
      <c r="Q13" s="678">
        <f t="shared" si="2"/>
        <v>147.94525191795847</v>
      </c>
      <c r="R13" s="678">
        <f t="shared" si="2"/>
        <v>140.16218407169643</v>
      </c>
      <c r="S13" s="678">
        <f t="shared" si="2"/>
        <v>128.86468157272549</v>
      </c>
      <c r="T13" s="678">
        <f t="shared" si="2"/>
        <v>128.86468157272549</v>
      </c>
      <c r="U13" s="678">
        <f t="shared" si="2"/>
        <v>239.32725825321558</v>
      </c>
      <c r="V13" s="678">
        <f t="shared" si="2"/>
        <v>231.08039211908505</v>
      </c>
      <c r="W13" s="678">
        <f t="shared" si="2"/>
        <v>231.08039211908505</v>
      </c>
      <c r="X13" s="678">
        <f t="shared" si="2"/>
        <v>224.79334631465369</v>
      </c>
      <c r="Y13" s="678">
        <f t="shared" si="2"/>
        <v>494.18828875796834</v>
      </c>
      <c r="Z13" s="678">
        <f t="shared" si="2"/>
        <v>109.73065870664698</v>
      </c>
      <c r="AA13" s="678">
        <f t="shared" si="2"/>
        <v>70.720167638552866</v>
      </c>
      <c r="AB13" s="678">
        <f t="shared" si="2"/>
        <v>252.10035155135154</v>
      </c>
      <c r="AC13" s="678">
        <f t="shared" si="2"/>
        <v>289.99941979521822</v>
      </c>
    </row>
    <row r="14" spans="1:29" ht="16.5" customHeight="1">
      <c r="A14" s="728" t="s">
        <v>573</v>
      </c>
      <c r="B14" s="719" t="s">
        <v>293</v>
      </c>
      <c r="C14" s="719" t="s">
        <v>293</v>
      </c>
      <c r="D14" s="719" t="s">
        <v>293</v>
      </c>
      <c r="E14" s="719" t="s">
        <v>293</v>
      </c>
      <c r="F14" s="815" t="s">
        <v>293</v>
      </c>
      <c r="G14" s="812">
        <v>0.05</v>
      </c>
      <c r="H14" s="780">
        <v>0.05</v>
      </c>
      <c r="I14" s="780">
        <v>0.05</v>
      </c>
      <c r="J14" s="815" t="s">
        <v>293</v>
      </c>
      <c r="K14" s="815" t="s">
        <v>293</v>
      </c>
      <c r="L14" s="815" t="s">
        <v>293</v>
      </c>
      <c r="M14" s="815" t="s">
        <v>293</v>
      </c>
      <c r="N14" s="812">
        <v>0.14000000000000001</v>
      </c>
      <c r="O14" s="780">
        <v>0.14000000000000001</v>
      </c>
      <c r="P14" s="718" t="s">
        <v>293</v>
      </c>
      <c r="Q14" s="718" t="s">
        <v>293</v>
      </c>
      <c r="R14" s="718" t="s">
        <v>293</v>
      </c>
      <c r="S14" s="815" t="s">
        <v>293</v>
      </c>
      <c r="T14" s="815" t="s">
        <v>293</v>
      </c>
      <c r="U14" s="691">
        <v>0.1</v>
      </c>
      <c r="V14" s="815" t="s">
        <v>293</v>
      </c>
      <c r="W14" s="815" t="s">
        <v>293</v>
      </c>
      <c r="X14" s="815" t="s">
        <v>293</v>
      </c>
      <c r="Y14" s="718" t="s">
        <v>293</v>
      </c>
      <c r="Z14" s="815" t="s">
        <v>293</v>
      </c>
      <c r="AA14" s="815" t="s">
        <v>293</v>
      </c>
      <c r="AB14" s="812">
        <v>0.14000000000000001</v>
      </c>
      <c r="AC14" s="780">
        <v>0.14000000000000001</v>
      </c>
    </row>
    <row r="15" spans="1:29" ht="16.5" customHeight="1">
      <c r="A15" s="776" t="s">
        <v>574</v>
      </c>
      <c r="B15" s="780">
        <v>50</v>
      </c>
      <c r="C15" s="812">
        <v>50</v>
      </c>
      <c r="D15" s="719" t="s">
        <v>293</v>
      </c>
      <c r="E15" s="812">
        <v>335</v>
      </c>
      <c r="F15" s="688">
        <v>335</v>
      </c>
      <c r="G15" s="812">
        <v>3070</v>
      </c>
      <c r="H15" s="780">
        <v>3070</v>
      </c>
      <c r="I15" s="780">
        <v>3070</v>
      </c>
      <c r="J15" s="718" t="s">
        <v>293</v>
      </c>
      <c r="K15" s="821">
        <v>470</v>
      </c>
      <c r="L15" s="788">
        <v>470</v>
      </c>
      <c r="M15" s="788">
        <v>525</v>
      </c>
      <c r="N15" s="815" t="s">
        <v>293</v>
      </c>
      <c r="O15" s="790" t="s">
        <v>293</v>
      </c>
      <c r="P15" s="688">
        <v>205</v>
      </c>
      <c r="Q15" s="688">
        <v>205</v>
      </c>
      <c r="R15" s="688">
        <v>255</v>
      </c>
      <c r="S15" s="688">
        <v>255</v>
      </c>
      <c r="T15" s="688">
        <v>255</v>
      </c>
      <c r="U15" s="688">
        <v>390</v>
      </c>
      <c r="V15" s="812">
        <v>290</v>
      </c>
      <c r="W15" s="780">
        <v>290</v>
      </c>
      <c r="X15" s="812">
        <v>290</v>
      </c>
      <c r="Y15" s="718" t="s">
        <v>293</v>
      </c>
      <c r="Z15" s="788">
        <v>470</v>
      </c>
      <c r="AA15" s="788">
        <v>42.5</v>
      </c>
      <c r="AB15" s="815" t="s">
        <v>293</v>
      </c>
      <c r="AC15" s="790" t="s">
        <v>293</v>
      </c>
    </row>
    <row r="16" spans="1:29" ht="18" customHeight="1">
      <c r="A16" s="776" t="s">
        <v>575</v>
      </c>
      <c r="B16" s="780">
        <v>27</v>
      </c>
      <c r="C16" s="812">
        <v>27</v>
      </c>
      <c r="D16" s="668" t="s">
        <v>293</v>
      </c>
      <c r="E16" s="812">
        <v>6</v>
      </c>
      <c r="F16" s="662">
        <v>6</v>
      </c>
      <c r="G16" s="812">
        <v>3</v>
      </c>
      <c r="H16" s="780">
        <v>3</v>
      </c>
      <c r="I16" s="780">
        <v>3</v>
      </c>
      <c r="J16" s="670" t="s">
        <v>293</v>
      </c>
      <c r="K16" s="812">
        <v>17.5</v>
      </c>
      <c r="L16" s="788">
        <v>17.5</v>
      </c>
      <c r="M16" s="788">
        <v>30</v>
      </c>
      <c r="N16" s="815" t="s">
        <v>293</v>
      </c>
      <c r="O16" s="790" t="s">
        <v>293</v>
      </c>
      <c r="P16" s="688">
        <v>13</v>
      </c>
      <c r="Q16" s="688">
        <v>13</v>
      </c>
      <c r="R16" s="688">
        <v>17</v>
      </c>
      <c r="S16" s="688">
        <v>17</v>
      </c>
      <c r="T16" s="688">
        <v>17</v>
      </c>
      <c r="U16" s="688">
        <v>11</v>
      </c>
      <c r="V16" s="812">
        <v>18</v>
      </c>
      <c r="W16" s="780">
        <v>18</v>
      </c>
      <c r="X16" s="812">
        <v>18</v>
      </c>
      <c r="Y16" s="670" t="s">
        <v>293</v>
      </c>
      <c r="Z16" s="788">
        <v>17.5</v>
      </c>
      <c r="AA16" s="788">
        <v>24</v>
      </c>
      <c r="AB16" s="815" t="s">
        <v>293</v>
      </c>
      <c r="AC16" s="790" t="s">
        <v>293</v>
      </c>
    </row>
    <row r="17" spans="1:29" ht="18" customHeight="1">
      <c r="A17" s="728" t="s">
        <v>576</v>
      </c>
      <c r="B17" s="777">
        <f>B16*B15/(9.81*(B4-B5))</f>
        <v>68.807339449541274</v>
      </c>
      <c r="C17" s="777">
        <f>C16*C15/(9.81*(C4-C5))</f>
        <v>68.807339449541274</v>
      </c>
      <c r="D17" s="670" t="s">
        <v>293</v>
      </c>
      <c r="E17" s="777">
        <f>E16*E15/(9.81*(E4-E5))</f>
        <v>107.83840334781915</v>
      </c>
      <c r="F17" s="777">
        <f>F16*F15/(9.81*(F4-F5))</f>
        <v>107.83840334781915</v>
      </c>
      <c r="G17" s="777">
        <f>G16*G15/(9.81*(G4-G5))</f>
        <v>220.90304011512862</v>
      </c>
      <c r="H17" s="777">
        <f>H16*H15/(9.81*(H4-H5))</f>
        <v>220.90304011512862</v>
      </c>
      <c r="I17" s="777">
        <f>I16*I15/(9.81*(I4-I5))</f>
        <v>220.90304011512862</v>
      </c>
      <c r="J17" s="670" t="s">
        <v>293</v>
      </c>
      <c r="K17" s="777">
        <f>K16*K15/(9.81*(K4-K5))</f>
        <v>202.03136705844776</v>
      </c>
      <c r="L17" s="777">
        <f>L16*L15/(9.81*(L4-L5))</f>
        <v>202.03136705844776</v>
      </c>
      <c r="M17" s="777">
        <f>M16*M15/(9.81*(M4-M5))</f>
        <v>208.50708924103429</v>
      </c>
      <c r="N17" s="670" t="s">
        <v>293</v>
      </c>
      <c r="O17" s="670" t="s">
        <v>293</v>
      </c>
      <c r="P17" s="777">
        <f t="shared" ref="P17:X17" si="3">P16*P15/(9.81*(P4-P5))</f>
        <v>208.97043832823638</v>
      </c>
      <c r="Q17" s="777">
        <f t="shared" si="3"/>
        <v>208.97043832823638</v>
      </c>
      <c r="R17" s="777">
        <f t="shared" si="3"/>
        <v>339.92001881910164</v>
      </c>
      <c r="S17" s="777">
        <f t="shared" si="3"/>
        <v>339.92001881910164</v>
      </c>
      <c r="T17" s="777">
        <f t="shared" si="3"/>
        <v>339.92001881910164</v>
      </c>
      <c r="U17" s="777">
        <f t="shared" si="3"/>
        <v>291.53924566768603</v>
      </c>
      <c r="V17" s="777">
        <f t="shared" si="3"/>
        <v>204.65772759350759</v>
      </c>
      <c r="W17" s="777">
        <f t="shared" si="3"/>
        <v>204.65772759350759</v>
      </c>
      <c r="X17" s="777">
        <f t="shared" si="3"/>
        <v>204.6577275935073</v>
      </c>
      <c r="Y17" s="670" t="s">
        <v>293</v>
      </c>
      <c r="Z17" s="777">
        <f>Z16*Z15/(9.81*(Z4-Z5))</f>
        <v>202.03136705844776</v>
      </c>
      <c r="AA17" s="777">
        <f>AA16*AA15/(9.81*(AA4-AA5))</f>
        <v>203.87359836901129</v>
      </c>
      <c r="AB17" s="670" t="s">
        <v>293</v>
      </c>
      <c r="AC17" s="670" t="s">
        <v>293</v>
      </c>
    </row>
    <row r="18" spans="1:29" ht="18" customHeight="1">
      <c r="A18" s="728" t="s">
        <v>577</v>
      </c>
      <c r="B18" s="777">
        <f>B17*9.81*LN(B4/B5)</f>
        <v>127.7383497560066</v>
      </c>
      <c r="C18" s="777">
        <f>C17*9.81*LN(C4/C5)</f>
        <v>127.7383497560066</v>
      </c>
      <c r="D18" s="670" t="s">
        <v>293</v>
      </c>
      <c r="E18" s="777">
        <f>E17*9.81*LN(E4/E5)</f>
        <v>73.927128816639012</v>
      </c>
      <c r="F18" s="777">
        <f>F17*9.81*LN(F4/F5)</f>
        <v>73.927128816639012</v>
      </c>
      <c r="G18" s="777">
        <f>G17*9.81*LN(G4/G5)</f>
        <v>389.57140033604088</v>
      </c>
      <c r="H18" s="777">
        <f>H17*9.81*LN(H4/H5)</f>
        <v>357.71763509628067</v>
      </c>
      <c r="I18" s="777">
        <f>I17*9.81*LN(I4/I5)</f>
        <v>357.71763509628067</v>
      </c>
      <c r="J18" s="670" t="s">
        <v>293</v>
      </c>
      <c r="K18" s="777">
        <f>K17*9.81*LN(K4/K5)</f>
        <v>313.68841335336521</v>
      </c>
      <c r="L18" s="777">
        <f>L17*9.81*LN(L4/L5)</f>
        <v>313.68841335336521</v>
      </c>
      <c r="M18" s="777">
        <f>M17*9.81*LN(M4/M5)</f>
        <v>242.7788429217579</v>
      </c>
      <c r="N18" s="670" t="s">
        <v>293</v>
      </c>
      <c r="O18" s="670" t="s">
        <v>293</v>
      </c>
      <c r="P18" s="777">
        <f t="shared" ref="P18:X18" si="4">P17*9.81*LN(P4/P5)</f>
        <v>283.96381497790139</v>
      </c>
      <c r="Q18" s="777">
        <f t="shared" si="4"/>
        <v>278.02955526018923</v>
      </c>
      <c r="R18" s="777">
        <f t="shared" si="4"/>
        <v>425.57670539673182</v>
      </c>
      <c r="S18" s="777">
        <f t="shared" si="4"/>
        <v>387.489002463112</v>
      </c>
      <c r="T18" s="777">
        <f t="shared" si="4"/>
        <v>387.489002463112</v>
      </c>
      <c r="U18" s="777">
        <f t="shared" si="4"/>
        <v>176.96365463373013</v>
      </c>
      <c r="V18" s="777">
        <f t="shared" si="4"/>
        <v>278.99666822347518</v>
      </c>
      <c r="W18" s="777">
        <f t="shared" si="4"/>
        <v>278.99666822347518</v>
      </c>
      <c r="X18" s="777">
        <f t="shared" si="4"/>
        <v>270.31453984991413</v>
      </c>
      <c r="Y18" s="670" t="s">
        <v>293</v>
      </c>
      <c r="Z18" s="777">
        <f>Z17*9.81*LN(Z4/Z5)</f>
        <v>313.68841335336521</v>
      </c>
      <c r="AA18" s="777">
        <f>AA17*9.81*LN(AA4/AA5)</f>
        <v>145.88308788473535</v>
      </c>
      <c r="AB18" s="670" t="s">
        <v>293</v>
      </c>
      <c r="AC18" s="670" t="s">
        <v>293</v>
      </c>
    </row>
    <row r="19" spans="1:29" ht="18" customHeight="1">
      <c r="A19" s="728" t="s">
        <v>578</v>
      </c>
      <c r="B19" s="692">
        <f t="shared" ref="B19:AC19" si="5">IF(ISNUMBER(B18),B13+B18,B13)</f>
        <v>255.47273908827162</v>
      </c>
      <c r="C19" s="692">
        <f t="shared" si="5"/>
        <v>255.47273908827162</v>
      </c>
      <c r="D19" s="692">
        <f t="shared" si="5"/>
        <v>437.5063581254642</v>
      </c>
      <c r="E19" s="692">
        <f t="shared" si="5"/>
        <v>303.5065043754073</v>
      </c>
      <c r="F19" s="692">
        <f t="shared" si="5"/>
        <v>303.5065043754073</v>
      </c>
      <c r="G19" s="692">
        <f t="shared" si="5"/>
        <v>843.91895223042206</v>
      </c>
      <c r="H19" s="692">
        <f t="shared" si="5"/>
        <v>780.82338069883019</v>
      </c>
      <c r="I19" s="692">
        <f t="shared" si="5"/>
        <v>780.82338069883019</v>
      </c>
      <c r="J19" s="692">
        <f t="shared" si="5"/>
        <v>472.79821963431419</v>
      </c>
      <c r="K19" s="692">
        <f t="shared" si="5"/>
        <v>426.16233852767834</v>
      </c>
      <c r="L19" s="692">
        <f t="shared" si="5"/>
        <v>426.16233852767834</v>
      </c>
      <c r="M19" s="692">
        <f t="shared" si="5"/>
        <v>446.81451338317561</v>
      </c>
      <c r="N19" s="692">
        <f t="shared" si="5"/>
        <v>252.10035155135154</v>
      </c>
      <c r="O19" s="692">
        <f t="shared" si="5"/>
        <v>289.99941979521822</v>
      </c>
      <c r="P19" s="692">
        <f t="shared" si="5"/>
        <v>434.6993193896775</v>
      </c>
      <c r="Q19" s="692">
        <f t="shared" si="5"/>
        <v>425.97480717814767</v>
      </c>
      <c r="R19" s="692">
        <f t="shared" si="5"/>
        <v>565.73888946842828</v>
      </c>
      <c r="S19" s="692">
        <f t="shared" si="5"/>
        <v>516.35368403583743</v>
      </c>
      <c r="T19" s="692">
        <f t="shared" si="5"/>
        <v>516.35368403583743</v>
      </c>
      <c r="U19" s="692">
        <f t="shared" si="5"/>
        <v>416.2909128869457</v>
      </c>
      <c r="V19" s="692">
        <f t="shared" si="5"/>
        <v>510.07706034256023</v>
      </c>
      <c r="W19" s="692">
        <f t="shared" si="5"/>
        <v>510.07706034256023</v>
      </c>
      <c r="X19" s="692">
        <f t="shared" si="5"/>
        <v>495.10788616456784</v>
      </c>
      <c r="Y19" s="692">
        <f t="shared" si="5"/>
        <v>494.18828875796834</v>
      </c>
      <c r="Z19" s="692">
        <f t="shared" si="5"/>
        <v>423.41907206001218</v>
      </c>
      <c r="AA19" s="692">
        <f t="shared" si="5"/>
        <v>216.60325552328823</v>
      </c>
      <c r="AB19" s="692">
        <f t="shared" si="5"/>
        <v>252.10035155135154</v>
      </c>
      <c r="AC19" s="692">
        <f t="shared" si="5"/>
        <v>289.99941979521822</v>
      </c>
    </row>
    <row r="20" spans="1:29" ht="20.25" customHeight="1">
      <c r="A20" s="817" t="s">
        <v>579</v>
      </c>
      <c r="B20" s="792"/>
      <c r="C20" s="792"/>
      <c r="D20" s="792"/>
      <c r="E20" s="792"/>
      <c r="F20" s="792"/>
      <c r="G20" s="792"/>
      <c r="H20" s="792"/>
      <c r="I20" s="792"/>
      <c r="J20" s="697"/>
      <c r="K20" s="697"/>
      <c r="L20" s="792"/>
      <c r="M20" s="792"/>
      <c r="N20" s="792"/>
      <c r="O20" s="792"/>
      <c r="P20" s="792"/>
      <c r="Q20" s="792"/>
      <c r="R20" s="792"/>
      <c r="S20" s="792"/>
      <c r="T20" s="792"/>
      <c r="U20" s="792"/>
      <c r="V20" s="792"/>
      <c r="W20" s="792"/>
      <c r="X20" s="792"/>
      <c r="Y20" s="697"/>
      <c r="Z20" s="792"/>
      <c r="AA20" s="792"/>
      <c r="AB20" s="792"/>
      <c r="AC20" s="792"/>
    </row>
    <row r="21" spans="1:29" ht="15.75" customHeight="1">
      <c r="A21" s="728" t="s">
        <v>580</v>
      </c>
      <c r="B21" s="776">
        <f>1.25*2.6</f>
        <v>3.25</v>
      </c>
      <c r="C21" s="776">
        <f>1.25*2.6</f>
        <v>3.25</v>
      </c>
      <c r="D21" s="776">
        <f>1.2*6</f>
        <v>7.1999999999999993</v>
      </c>
      <c r="E21" s="776">
        <f>1.2*3.6</f>
        <v>4.32</v>
      </c>
      <c r="F21" s="776">
        <f>1.2*3.6</f>
        <v>4.32</v>
      </c>
      <c r="G21" s="776">
        <f>1.62*2.47</f>
        <v>4.0014000000000003</v>
      </c>
      <c r="H21" s="776">
        <f>1.62*2.82</f>
        <v>4.5684000000000005</v>
      </c>
      <c r="I21" s="776">
        <f>1.62*2.82</f>
        <v>4.5684000000000005</v>
      </c>
      <c r="J21" s="664">
        <f>1.35*43</f>
        <v>58.050000000000004</v>
      </c>
      <c r="K21" s="812">
        <f>1.31*1.53</f>
        <v>2.0043000000000002</v>
      </c>
      <c r="L21" s="812">
        <f>1.31*1.53</f>
        <v>2.0043000000000002</v>
      </c>
      <c r="M21" s="812">
        <f>1.31*4</f>
        <v>5.24</v>
      </c>
      <c r="N21" s="812">
        <f>1.41*2.04</f>
        <v>2.8763999999999998</v>
      </c>
      <c r="O21" s="812">
        <f>1.41*3.13</f>
        <v>4.4132999999999996</v>
      </c>
      <c r="P21" s="812">
        <f>1.3*1.505</f>
        <v>1.9564999999999999</v>
      </c>
      <c r="Q21" s="812">
        <f>1.3*1.55</f>
        <v>2.0150000000000001</v>
      </c>
      <c r="R21" s="812">
        <f>1.3*1.55</f>
        <v>2.0150000000000001</v>
      </c>
      <c r="S21" s="812">
        <f>1.3*2.15</f>
        <v>2.7949999999999999</v>
      </c>
      <c r="T21" s="812">
        <f>1.3*2.15</f>
        <v>2.7949999999999999</v>
      </c>
      <c r="U21" s="812">
        <f>1.3*3.1</f>
        <v>4.03</v>
      </c>
      <c r="V21" s="812">
        <f>1.31*2.9</f>
        <v>3.7989999999999999</v>
      </c>
      <c r="W21" s="776">
        <f>1.59*4.06</f>
        <v>6.4554</v>
      </c>
      <c r="X21" s="776">
        <f>1.59*4.06</f>
        <v>6.4554</v>
      </c>
      <c r="Y21" s="776">
        <f>1.28*51</f>
        <v>65.28</v>
      </c>
      <c r="Z21" s="812">
        <f>1.31*1.53</f>
        <v>2.0043000000000002</v>
      </c>
      <c r="AA21" s="812">
        <f>1.31*1.14</f>
        <v>1.4933999999999998</v>
      </c>
      <c r="AB21" s="812">
        <f>1.41*2.04</f>
        <v>2.8763999999999998</v>
      </c>
      <c r="AC21" s="812">
        <f>1.41*3.13</f>
        <v>4.4132999999999996</v>
      </c>
    </row>
    <row r="22" spans="1:29" ht="15.75" customHeight="1">
      <c r="A22" s="775" t="s">
        <v>764</v>
      </c>
      <c r="B22" s="790" t="s">
        <v>894</v>
      </c>
      <c r="C22" s="790" t="s">
        <v>894</v>
      </c>
      <c r="D22" s="790" t="s">
        <v>894</v>
      </c>
      <c r="E22" s="790" t="s">
        <v>894</v>
      </c>
      <c r="F22" s="790" t="s">
        <v>894</v>
      </c>
      <c r="G22" s="815" t="s">
        <v>894</v>
      </c>
      <c r="H22" s="815" t="s">
        <v>914</v>
      </c>
      <c r="I22" s="815" t="s">
        <v>914</v>
      </c>
      <c r="J22" s="670" t="s">
        <v>876</v>
      </c>
      <c r="K22" s="815" t="s">
        <v>894</v>
      </c>
      <c r="L22" s="790" t="s">
        <v>894</v>
      </c>
      <c r="M22" s="790" t="s">
        <v>894</v>
      </c>
      <c r="N22" s="815" t="s">
        <v>894</v>
      </c>
      <c r="O22" s="790" t="s">
        <v>894</v>
      </c>
      <c r="P22" s="815" t="s">
        <v>894</v>
      </c>
      <c r="Q22" s="815" t="s">
        <v>914</v>
      </c>
      <c r="R22" s="815" t="s">
        <v>914</v>
      </c>
      <c r="S22" s="815" t="s">
        <v>914</v>
      </c>
      <c r="T22" s="815" t="s">
        <v>914</v>
      </c>
      <c r="U22" s="815" t="s">
        <v>914</v>
      </c>
      <c r="V22" s="790" t="s">
        <v>894</v>
      </c>
      <c r="W22" s="790" t="s">
        <v>894</v>
      </c>
      <c r="X22" s="815" t="s">
        <v>914</v>
      </c>
      <c r="Y22" s="815" t="s">
        <v>876</v>
      </c>
      <c r="Z22" s="790" t="s">
        <v>894</v>
      </c>
      <c r="AA22" s="790" t="s">
        <v>894</v>
      </c>
      <c r="AB22" s="790" t="s">
        <v>894</v>
      </c>
      <c r="AC22" s="790" t="s">
        <v>894</v>
      </c>
    </row>
    <row r="23" spans="1:29" ht="15.75" customHeight="1">
      <c r="A23" s="776" t="s">
        <v>762</v>
      </c>
      <c r="B23" s="788">
        <v>800</v>
      </c>
      <c r="C23" s="776">
        <v>650</v>
      </c>
      <c r="D23" s="788">
        <v>650</v>
      </c>
      <c r="E23" s="776">
        <v>650</v>
      </c>
      <c r="F23" s="788">
        <v>650</v>
      </c>
      <c r="G23" s="776">
        <v>560</v>
      </c>
      <c r="H23" s="788">
        <v>800</v>
      </c>
      <c r="I23" s="788">
        <v>800</v>
      </c>
      <c r="J23" s="664">
        <v>72.707499999999996</v>
      </c>
      <c r="K23" s="812">
        <v>600</v>
      </c>
      <c r="L23" s="788">
        <v>600</v>
      </c>
      <c r="M23" s="788">
        <v>1000</v>
      </c>
      <c r="N23" s="776">
        <v>630</v>
      </c>
      <c r="O23" s="788">
        <v>800</v>
      </c>
      <c r="P23" s="776">
        <v>480</v>
      </c>
      <c r="Q23" s="776">
        <v>590</v>
      </c>
      <c r="R23" s="776">
        <v>590</v>
      </c>
      <c r="S23" s="776">
        <v>750</v>
      </c>
      <c r="T23" s="776">
        <v>750</v>
      </c>
      <c r="U23" s="776">
        <v>1200</v>
      </c>
      <c r="V23" s="776">
        <v>700</v>
      </c>
      <c r="W23" s="788">
        <v>900</v>
      </c>
      <c r="X23" s="776">
        <v>1250</v>
      </c>
      <c r="Y23" s="728">
        <v>73.792000000000002</v>
      </c>
      <c r="Z23" s="788">
        <v>600</v>
      </c>
      <c r="AA23" s="776">
        <v>500</v>
      </c>
      <c r="AB23" s="776">
        <v>630</v>
      </c>
      <c r="AC23" s="788">
        <v>800</v>
      </c>
    </row>
    <row r="24" spans="1:29" ht="15.75" customHeight="1">
      <c r="A24" s="728" t="s">
        <v>581</v>
      </c>
      <c r="B24" s="790" t="s">
        <v>324</v>
      </c>
      <c r="C24" s="815" t="s">
        <v>324</v>
      </c>
      <c r="D24" s="790" t="s">
        <v>324</v>
      </c>
      <c r="E24" s="815" t="s">
        <v>324</v>
      </c>
      <c r="F24" s="790" t="s">
        <v>324</v>
      </c>
      <c r="G24" s="815" t="s">
        <v>324</v>
      </c>
      <c r="H24" s="815" t="s">
        <v>324</v>
      </c>
      <c r="I24" s="815" t="s">
        <v>324</v>
      </c>
      <c r="J24" s="670" t="s">
        <v>324</v>
      </c>
      <c r="K24" s="815" t="s">
        <v>324</v>
      </c>
      <c r="L24" s="815" t="s">
        <v>324</v>
      </c>
      <c r="M24" s="815" t="s">
        <v>324</v>
      </c>
      <c r="N24" s="815" t="s">
        <v>324</v>
      </c>
      <c r="O24" s="790" t="s">
        <v>324</v>
      </c>
      <c r="P24" s="815" t="s">
        <v>324</v>
      </c>
      <c r="Q24" s="815" t="s">
        <v>324</v>
      </c>
      <c r="R24" s="815" t="s">
        <v>324</v>
      </c>
      <c r="S24" s="815" t="s">
        <v>324</v>
      </c>
      <c r="T24" s="815" t="s">
        <v>324</v>
      </c>
      <c r="U24" s="815" t="s">
        <v>324</v>
      </c>
      <c r="V24" s="815" t="s">
        <v>324</v>
      </c>
      <c r="W24" s="790" t="s">
        <v>324</v>
      </c>
      <c r="X24" s="815" t="s">
        <v>324</v>
      </c>
      <c r="Y24" s="815" t="s">
        <v>324</v>
      </c>
      <c r="Z24" s="815" t="s">
        <v>324</v>
      </c>
      <c r="AA24" s="815" t="s">
        <v>324</v>
      </c>
      <c r="AB24" s="815" t="s">
        <v>324</v>
      </c>
      <c r="AC24" s="790" t="s">
        <v>324</v>
      </c>
    </row>
    <row r="25" spans="1:29" ht="15.75" customHeight="1">
      <c r="A25" s="728" t="s">
        <v>582</v>
      </c>
      <c r="B25" s="790" t="s">
        <v>293</v>
      </c>
      <c r="C25" s="815" t="s">
        <v>293</v>
      </c>
      <c r="D25" s="815" t="s">
        <v>293</v>
      </c>
      <c r="E25" s="815" t="s">
        <v>293</v>
      </c>
      <c r="F25" s="815" t="s">
        <v>293</v>
      </c>
      <c r="G25" s="815" t="s">
        <v>293</v>
      </c>
      <c r="H25" s="790" t="s">
        <v>293</v>
      </c>
      <c r="I25" s="815" t="s">
        <v>293</v>
      </c>
      <c r="J25" s="815" t="s">
        <v>293</v>
      </c>
      <c r="K25" s="815" t="s">
        <v>293</v>
      </c>
      <c r="L25" s="815" t="s">
        <v>293</v>
      </c>
      <c r="M25" s="815" t="s">
        <v>293</v>
      </c>
      <c r="N25" s="790" t="s">
        <v>293</v>
      </c>
      <c r="O25" s="815" t="s">
        <v>293</v>
      </c>
      <c r="P25" s="815" t="s">
        <v>293</v>
      </c>
      <c r="Q25" s="815" t="s">
        <v>293</v>
      </c>
      <c r="R25" s="815" t="s">
        <v>293</v>
      </c>
      <c r="S25" s="815" t="s">
        <v>293</v>
      </c>
      <c r="T25" s="815" t="s">
        <v>293</v>
      </c>
      <c r="U25" s="815" t="s">
        <v>293</v>
      </c>
      <c r="V25" s="815" t="s">
        <v>293</v>
      </c>
      <c r="W25" s="815" t="s">
        <v>293</v>
      </c>
      <c r="X25" s="815" t="s">
        <v>293</v>
      </c>
      <c r="Y25" s="790" t="s">
        <v>293</v>
      </c>
      <c r="Z25" s="815" t="s">
        <v>293</v>
      </c>
      <c r="AA25" s="815" t="s">
        <v>293</v>
      </c>
      <c r="AB25" s="790" t="s">
        <v>293</v>
      </c>
      <c r="AC25" s="815" t="s">
        <v>293</v>
      </c>
    </row>
    <row r="26" spans="1:29" ht="15.75" customHeight="1">
      <c r="A26" s="776" t="s">
        <v>931</v>
      </c>
      <c r="B26" s="790" t="s">
        <v>293</v>
      </c>
      <c r="C26" s="815" t="s">
        <v>293</v>
      </c>
      <c r="D26" s="815" t="s">
        <v>293</v>
      </c>
      <c r="E26" s="815" t="s">
        <v>293</v>
      </c>
      <c r="F26" s="815" t="s">
        <v>293</v>
      </c>
      <c r="G26" s="815" t="s">
        <v>293</v>
      </c>
      <c r="H26" s="790" t="s">
        <v>293</v>
      </c>
      <c r="I26" s="815" t="s">
        <v>293</v>
      </c>
      <c r="J26" s="815" t="s">
        <v>293</v>
      </c>
      <c r="K26" s="815" t="s">
        <v>293</v>
      </c>
      <c r="L26" s="815" t="s">
        <v>293</v>
      </c>
      <c r="M26" s="815" t="s">
        <v>293</v>
      </c>
      <c r="N26" s="790" t="s">
        <v>293</v>
      </c>
      <c r="O26" s="815" t="s">
        <v>293</v>
      </c>
      <c r="P26" s="815" t="s">
        <v>293</v>
      </c>
      <c r="Q26" s="815" t="s">
        <v>293</v>
      </c>
      <c r="R26" s="815" t="s">
        <v>293</v>
      </c>
      <c r="S26" s="815" t="s">
        <v>293</v>
      </c>
      <c r="T26" s="815" t="s">
        <v>293</v>
      </c>
      <c r="U26" s="815" t="s">
        <v>293</v>
      </c>
      <c r="V26" s="815" t="s">
        <v>293</v>
      </c>
      <c r="W26" s="815" t="s">
        <v>293</v>
      </c>
      <c r="X26" s="815" t="s">
        <v>293</v>
      </c>
      <c r="Y26" s="790" t="s">
        <v>293</v>
      </c>
      <c r="Z26" s="815" t="s">
        <v>293</v>
      </c>
      <c r="AA26" s="815" t="s">
        <v>293</v>
      </c>
      <c r="AB26" s="790" t="s">
        <v>293</v>
      </c>
      <c r="AC26" s="815" t="s">
        <v>293</v>
      </c>
    </row>
    <row r="27" spans="1:29" ht="15.75" customHeight="1">
      <c r="A27" s="775" t="s">
        <v>583</v>
      </c>
      <c r="B27" s="790" t="s">
        <v>293</v>
      </c>
      <c r="C27" s="815" t="s">
        <v>293</v>
      </c>
      <c r="D27" s="815" t="s">
        <v>293</v>
      </c>
      <c r="E27" s="815" t="s">
        <v>293</v>
      </c>
      <c r="F27" s="815" t="s">
        <v>293</v>
      </c>
      <c r="G27" s="815" t="s">
        <v>293</v>
      </c>
      <c r="H27" s="790" t="s">
        <v>293</v>
      </c>
      <c r="I27" s="815" t="s">
        <v>293</v>
      </c>
      <c r="J27" s="815" t="s">
        <v>293</v>
      </c>
      <c r="K27" s="815" t="s">
        <v>293</v>
      </c>
      <c r="L27" s="815" t="s">
        <v>293</v>
      </c>
      <c r="M27" s="815" t="s">
        <v>293</v>
      </c>
      <c r="N27" s="790" t="s">
        <v>293</v>
      </c>
      <c r="O27" s="815" t="s">
        <v>293</v>
      </c>
      <c r="P27" s="815" t="s">
        <v>293</v>
      </c>
      <c r="Q27" s="815" t="s">
        <v>293</v>
      </c>
      <c r="R27" s="815" t="s">
        <v>293</v>
      </c>
      <c r="S27" s="815" t="s">
        <v>293</v>
      </c>
      <c r="T27" s="815" t="s">
        <v>293</v>
      </c>
      <c r="U27" s="815" t="s">
        <v>293</v>
      </c>
      <c r="V27" s="815" t="s">
        <v>293</v>
      </c>
      <c r="W27" s="815" t="s">
        <v>293</v>
      </c>
      <c r="X27" s="815" t="s">
        <v>293</v>
      </c>
      <c r="Y27" s="790" t="s">
        <v>293</v>
      </c>
      <c r="Z27" s="815" t="s">
        <v>293</v>
      </c>
      <c r="AA27" s="815" t="s">
        <v>293</v>
      </c>
      <c r="AB27" s="790" t="s">
        <v>293</v>
      </c>
      <c r="AC27" s="815" t="s">
        <v>293</v>
      </c>
    </row>
    <row r="28" spans="1:29" ht="15.75" customHeight="1">
      <c r="A28" s="775" t="s">
        <v>930</v>
      </c>
      <c r="B28" s="790" t="s">
        <v>293</v>
      </c>
      <c r="C28" s="815" t="s">
        <v>293</v>
      </c>
      <c r="D28" s="815" t="s">
        <v>293</v>
      </c>
      <c r="E28" s="815" t="s">
        <v>293</v>
      </c>
      <c r="F28" s="815" t="s">
        <v>293</v>
      </c>
      <c r="G28" s="815" t="s">
        <v>293</v>
      </c>
      <c r="H28" s="790" t="s">
        <v>293</v>
      </c>
      <c r="I28" s="815" t="s">
        <v>293</v>
      </c>
      <c r="J28" s="815" t="s">
        <v>293</v>
      </c>
      <c r="K28" s="815" t="s">
        <v>293</v>
      </c>
      <c r="L28" s="815" t="s">
        <v>293</v>
      </c>
      <c r="M28" s="815" t="s">
        <v>293</v>
      </c>
      <c r="N28" s="790" t="s">
        <v>293</v>
      </c>
      <c r="O28" s="815" t="s">
        <v>293</v>
      </c>
      <c r="P28" s="815" t="s">
        <v>293</v>
      </c>
      <c r="Q28" s="815" t="s">
        <v>293</v>
      </c>
      <c r="R28" s="815" t="s">
        <v>293</v>
      </c>
      <c r="S28" s="815" t="s">
        <v>293</v>
      </c>
      <c r="T28" s="815" t="s">
        <v>293</v>
      </c>
      <c r="U28" s="815" t="s">
        <v>293</v>
      </c>
      <c r="V28" s="815" t="s">
        <v>293</v>
      </c>
      <c r="W28" s="815" t="s">
        <v>293</v>
      </c>
      <c r="X28" s="815" t="s">
        <v>293</v>
      </c>
      <c r="Y28" s="790" t="s">
        <v>293</v>
      </c>
      <c r="Z28" s="815" t="s">
        <v>293</v>
      </c>
      <c r="AA28" s="815" t="s">
        <v>293</v>
      </c>
      <c r="AB28" s="790" t="s">
        <v>293</v>
      </c>
      <c r="AC28" s="815" t="s">
        <v>293</v>
      </c>
    </row>
    <row r="29" spans="1:29" ht="15.75" customHeight="1">
      <c r="A29" s="661" t="s">
        <v>584</v>
      </c>
      <c r="B29" s="790" t="s">
        <v>293</v>
      </c>
      <c r="C29" s="815" t="s">
        <v>293</v>
      </c>
      <c r="D29" s="815" t="s">
        <v>293</v>
      </c>
      <c r="E29" s="815" t="s">
        <v>293</v>
      </c>
      <c r="F29" s="815" t="s">
        <v>293</v>
      </c>
      <c r="G29" s="815" t="s">
        <v>293</v>
      </c>
      <c r="H29" s="790" t="s">
        <v>293</v>
      </c>
      <c r="I29" s="815" t="s">
        <v>293</v>
      </c>
      <c r="J29" s="815" t="s">
        <v>293</v>
      </c>
      <c r="K29" s="815" t="s">
        <v>293</v>
      </c>
      <c r="L29" s="815" t="s">
        <v>293</v>
      </c>
      <c r="M29" s="815" t="s">
        <v>293</v>
      </c>
      <c r="N29" s="790" t="s">
        <v>293</v>
      </c>
      <c r="O29" s="815" t="s">
        <v>293</v>
      </c>
      <c r="P29" s="815" t="s">
        <v>293</v>
      </c>
      <c r="Q29" s="815" t="s">
        <v>293</v>
      </c>
      <c r="R29" s="815" t="s">
        <v>293</v>
      </c>
      <c r="S29" s="815" t="s">
        <v>293</v>
      </c>
      <c r="T29" s="815" t="s">
        <v>293</v>
      </c>
      <c r="U29" s="815" t="s">
        <v>293</v>
      </c>
      <c r="V29" s="815" t="s">
        <v>293</v>
      </c>
      <c r="W29" s="815" t="s">
        <v>293</v>
      </c>
      <c r="X29" s="815" t="s">
        <v>293</v>
      </c>
      <c r="Y29" s="790" t="s">
        <v>293</v>
      </c>
      <c r="Z29" s="815" t="s">
        <v>293</v>
      </c>
      <c r="AA29" s="815" t="s">
        <v>293</v>
      </c>
      <c r="AB29" s="790" t="s">
        <v>293</v>
      </c>
      <c r="AC29" s="815" t="s">
        <v>293</v>
      </c>
    </row>
    <row r="30" spans="1:29" ht="15.75" customHeight="1">
      <c r="A30" s="661" t="s">
        <v>761</v>
      </c>
      <c r="B30" s="812">
        <v>0.1</v>
      </c>
      <c r="C30" s="812">
        <v>0.1</v>
      </c>
      <c r="D30" s="812">
        <v>1.0000000000000001E-5</v>
      </c>
      <c r="E30" s="812">
        <v>0.1</v>
      </c>
      <c r="F30" s="812">
        <v>0.1</v>
      </c>
      <c r="G30" s="812">
        <v>0.1</v>
      </c>
      <c r="H30" s="780">
        <v>0.01</v>
      </c>
      <c r="I30" s="812">
        <v>0.01</v>
      </c>
      <c r="J30" s="812">
        <v>0.1</v>
      </c>
      <c r="K30" s="812">
        <v>0.1</v>
      </c>
      <c r="L30" s="812">
        <v>0.1</v>
      </c>
      <c r="M30" s="812">
        <v>0.1</v>
      </c>
      <c r="N30" s="780">
        <v>0.1</v>
      </c>
      <c r="O30" s="812">
        <v>0.1</v>
      </c>
      <c r="P30" s="812">
        <v>0.1</v>
      </c>
      <c r="Q30" s="812">
        <v>0.01</v>
      </c>
      <c r="R30" s="812">
        <v>0.01</v>
      </c>
      <c r="S30" s="812">
        <v>0.01</v>
      </c>
      <c r="T30" s="812">
        <v>0.01</v>
      </c>
      <c r="U30" s="812">
        <v>0.01</v>
      </c>
      <c r="V30" s="812">
        <v>0.1</v>
      </c>
      <c r="W30" s="812">
        <v>0.1</v>
      </c>
      <c r="X30" s="812">
        <v>0.01</v>
      </c>
      <c r="Y30" s="780">
        <v>0.1</v>
      </c>
      <c r="Z30" s="812">
        <v>0.1</v>
      </c>
      <c r="AA30" s="812">
        <v>0.1</v>
      </c>
      <c r="AB30" s="780">
        <v>0.1</v>
      </c>
      <c r="AC30" s="812">
        <v>0.1</v>
      </c>
    </row>
    <row r="31" spans="1:29" ht="15.75" customHeight="1">
      <c r="A31" s="661" t="s">
        <v>760</v>
      </c>
      <c r="B31" s="812">
        <v>0.05</v>
      </c>
      <c r="C31" s="812">
        <v>0.05</v>
      </c>
      <c r="D31" s="815" t="s">
        <v>293</v>
      </c>
      <c r="E31" s="812">
        <v>0.05</v>
      </c>
      <c r="F31" s="812">
        <v>0.05</v>
      </c>
      <c r="G31" s="812">
        <v>0.05</v>
      </c>
      <c r="H31" s="780">
        <v>0.4</v>
      </c>
      <c r="I31" s="812">
        <v>0.4</v>
      </c>
      <c r="J31" s="815" t="s">
        <v>293</v>
      </c>
      <c r="K31" s="812">
        <v>0.05</v>
      </c>
      <c r="L31" s="812">
        <v>0.05</v>
      </c>
      <c r="M31" s="812">
        <v>0.05</v>
      </c>
      <c r="N31" s="780">
        <v>0.05</v>
      </c>
      <c r="O31" s="812">
        <v>0.05</v>
      </c>
      <c r="P31" s="812">
        <v>0.05</v>
      </c>
      <c r="Q31" s="812">
        <v>0.4</v>
      </c>
      <c r="R31" s="812">
        <v>0.4</v>
      </c>
      <c r="S31" s="812">
        <v>0.4</v>
      </c>
      <c r="T31" s="812">
        <v>0.4</v>
      </c>
      <c r="U31" s="812">
        <v>0.4</v>
      </c>
      <c r="V31" s="812">
        <v>0.05</v>
      </c>
      <c r="W31" s="812">
        <v>0.05</v>
      </c>
      <c r="X31" s="812">
        <v>0.4</v>
      </c>
      <c r="Y31" s="780">
        <v>0.1</v>
      </c>
      <c r="Z31" s="812">
        <v>0.05</v>
      </c>
      <c r="AA31" s="812">
        <v>0.05</v>
      </c>
      <c r="AB31" s="780">
        <v>0.05</v>
      </c>
      <c r="AC31" s="812">
        <v>0.05</v>
      </c>
    </row>
    <row r="32" spans="1:29" ht="20.25" customHeight="1">
      <c r="A32" s="804" t="s">
        <v>585</v>
      </c>
      <c r="B32" s="816"/>
      <c r="C32" s="816"/>
      <c r="D32" s="816"/>
      <c r="E32" s="816"/>
      <c r="F32" s="816"/>
      <c r="G32" s="816"/>
      <c r="H32" s="816"/>
      <c r="I32" s="816"/>
      <c r="J32" s="702"/>
      <c r="K32" s="702"/>
      <c r="L32" s="816"/>
      <c r="M32" s="816"/>
      <c r="N32" s="816"/>
      <c r="O32" s="816"/>
      <c r="P32" s="816"/>
      <c r="Q32" s="816"/>
      <c r="R32" s="816"/>
      <c r="S32" s="816"/>
      <c r="T32" s="816"/>
      <c r="U32" s="816"/>
      <c r="V32" s="816"/>
      <c r="W32" s="816"/>
      <c r="X32" s="816"/>
      <c r="Y32" s="702"/>
      <c r="Z32" s="816"/>
      <c r="AA32" s="816"/>
      <c r="AB32" s="816"/>
      <c r="AC32" s="816"/>
    </row>
    <row r="33" spans="1:29" ht="15.75" customHeight="1">
      <c r="A33" s="728" t="s">
        <v>586</v>
      </c>
      <c r="B33" s="668" t="s">
        <v>874</v>
      </c>
      <c r="C33" s="670" t="s">
        <v>874</v>
      </c>
      <c r="D33" s="668" t="s">
        <v>874</v>
      </c>
      <c r="E33" s="670" t="s">
        <v>874</v>
      </c>
      <c r="F33" s="668" t="s">
        <v>874</v>
      </c>
      <c r="G33" s="670" t="s">
        <v>874</v>
      </c>
      <c r="H33" s="668" t="s">
        <v>874</v>
      </c>
      <c r="I33" s="668" t="s">
        <v>874</v>
      </c>
      <c r="J33" s="670" t="s">
        <v>874</v>
      </c>
      <c r="K33" s="670" t="s">
        <v>874</v>
      </c>
      <c r="L33" s="668" t="s">
        <v>874</v>
      </c>
      <c r="M33" s="668" t="s">
        <v>874</v>
      </c>
      <c r="N33" s="670" t="s">
        <v>874</v>
      </c>
      <c r="O33" s="668" t="s">
        <v>874</v>
      </c>
      <c r="P33" s="670" t="s">
        <v>874</v>
      </c>
      <c r="Q33" s="670" t="s">
        <v>874</v>
      </c>
      <c r="R33" s="670" t="s">
        <v>874</v>
      </c>
      <c r="S33" s="670" t="s">
        <v>874</v>
      </c>
      <c r="T33" s="670" t="s">
        <v>874</v>
      </c>
      <c r="U33" s="670" t="s">
        <v>874</v>
      </c>
      <c r="V33" s="670" t="s">
        <v>874</v>
      </c>
      <c r="W33" s="668" t="s">
        <v>874</v>
      </c>
      <c r="X33" s="670" t="s">
        <v>874</v>
      </c>
      <c r="Y33" s="670" t="s">
        <v>874</v>
      </c>
      <c r="Z33" s="668" t="s">
        <v>874</v>
      </c>
      <c r="AA33" s="670" t="s">
        <v>874</v>
      </c>
      <c r="AB33" s="670" t="s">
        <v>874</v>
      </c>
      <c r="AC33" s="668" t="s">
        <v>874</v>
      </c>
    </row>
    <row r="34" spans="1:29" ht="15.75" customHeight="1">
      <c r="A34" s="728" t="s">
        <v>587</v>
      </c>
      <c r="B34" s="662">
        <v>0.45</v>
      </c>
      <c r="C34" s="664">
        <v>0.45</v>
      </c>
      <c r="D34" s="815" t="s">
        <v>293</v>
      </c>
      <c r="E34" s="815" t="s">
        <v>293</v>
      </c>
      <c r="F34" s="815" t="s">
        <v>293</v>
      </c>
      <c r="G34" s="664">
        <v>0.15</v>
      </c>
      <c r="H34" s="664">
        <v>0.15</v>
      </c>
      <c r="I34" s="664">
        <v>0.15</v>
      </c>
      <c r="J34" s="815" t="s">
        <v>293</v>
      </c>
      <c r="K34" s="664">
        <v>0.25</v>
      </c>
      <c r="L34" s="662">
        <v>0.25</v>
      </c>
      <c r="M34" s="662">
        <v>0.25</v>
      </c>
      <c r="N34" s="815" t="s">
        <v>293</v>
      </c>
      <c r="O34" s="815" t="s">
        <v>293</v>
      </c>
      <c r="P34" s="718" t="s">
        <v>293</v>
      </c>
      <c r="Q34" s="718" t="s">
        <v>293</v>
      </c>
      <c r="R34" s="718" t="s">
        <v>293</v>
      </c>
      <c r="S34" s="815" t="s">
        <v>293</v>
      </c>
      <c r="T34" s="815" t="s">
        <v>293</v>
      </c>
      <c r="U34" s="815" t="s">
        <v>293</v>
      </c>
      <c r="V34" s="815" t="s">
        <v>293</v>
      </c>
      <c r="W34" s="815" t="s">
        <v>293</v>
      </c>
      <c r="X34" s="815" t="s">
        <v>293</v>
      </c>
      <c r="Y34" s="664">
        <v>0.2</v>
      </c>
      <c r="Z34" s="662">
        <v>0.25</v>
      </c>
      <c r="AA34" s="662">
        <v>0.5</v>
      </c>
      <c r="AB34" s="815" t="s">
        <v>293</v>
      </c>
      <c r="AC34" s="815" t="s">
        <v>293</v>
      </c>
    </row>
    <row r="35" spans="1:29" ht="15.75" customHeight="1">
      <c r="A35" s="728" t="s">
        <v>588</v>
      </c>
      <c r="B35" s="662">
        <v>30</v>
      </c>
      <c r="C35" s="664">
        <v>30</v>
      </c>
      <c r="D35" s="670" t="s">
        <v>293</v>
      </c>
      <c r="E35" s="664">
        <v>28</v>
      </c>
      <c r="F35" s="662">
        <v>28</v>
      </c>
      <c r="G35" s="664">
        <v>20</v>
      </c>
      <c r="H35" s="662">
        <v>25</v>
      </c>
      <c r="I35" s="662">
        <v>25</v>
      </c>
      <c r="J35" s="664">
        <v>30</v>
      </c>
      <c r="K35" s="664">
        <v>18.5</v>
      </c>
      <c r="L35" s="662">
        <v>18.5</v>
      </c>
      <c r="M35" s="662">
        <v>32</v>
      </c>
      <c r="N35" s="664">
        <v>25</v>
      </c>
      <c r="O35" s="662">
        <v>25</v>
      </c>
      <c r="P35" s="664">
        <v>15</v>
      </c>
      <c r="Q35" s="664">
        <v>15</v>
      </c>
      <c r="R35" s="664">
        <v>19</v>
      </c>
      <c r="S35" s="664">
        <v>19</v>
      </c>
      <c r="T35" s="664">
        <v>19</v>
      </c>
      <c r="U35" s="664">
        <v>24</v>
      </c>
      <c r="V35" s="664">
        <v>19</v>
      </c>
      <c r="W35" s="662">
        <v>19</v>
      </c>
      <c r="X35" s="664">
        <v>19</v>
      </c>
      <c r="Y35" s="664">
        <v>25</v>
      </c>
      <c r="Z35" s="662">
        <v>18.5</v>
      </c>
      <c r="AA35" s="662">
        <v>25</v>
      </c>
      <c r="AB35" s="664">
        <v>25</v>
      </c>
      <c r="AC35" s="662">
        <v>25</v>
      </c>
    </row>
    <row r="36" spans="1:29" ht="15.75" customHeight="1">
      <c r="A36" s="728" t="s">
        <v>872</v>
      </c>
      <c r="B36" s="788">
        <v>3</v>
      </c>
      <c r="C36" s="776">
        <v>3</v>
      </c>
      <c r="D36" s="788">
        <v>2.5</v>
      </c>
      <c r="E36" s="776">
        <v>4</v>
      </c>
      <c r="F36" s="788">
        <v>4</v>
      </c>
      <c r="G36" s="776">
        <v>5</v>
      </c>
      <c r="H36" s="788">
        <v>6</v>
      </c>
      <c r="I36" s="788">
        <v>6</v>
      </c>
      <c r="J36" s="664">
        <v>11</v>
      </c>
      <c r="K36" s="812">
        <v>3.5</v>
      </c>
      <c r="L36" s="788">
        <v>3.5</v>
      </c>
      <c r="M36" s="788">
        <v>7</v>
      </c>
      <c r="N36" s="776">
        <v>3.75</v>
      </c>
      <c r="O36" s="788">
        <v>3.75</v>
      </c>
      <c r="P36" s="776">
        <v>3</v>
      </c>
      <c r="Q36" s="776">
        <v>3</v>
      </c>
      <c r="R36" s="776">
        <v>4</v>
      </c>
      <c r="S36" s="776">
        <v>4</v>
      </c>
      <c r="T36" s="776">
        <v>4</v>
      </c>
      <c r="U36" s="776">
        <v>5.5</v>
      </c>
      <c r="V36" s="776">
        <v>4</v>
      </c>
      <c r="W36" s="788">
        <v>4</v>
      </c>
      <c r="X36" s="776">
        <v>4.3</v>
      </c>
      <c r="Y36" s="664">
        <v>10</v>
      </c>
      <c r="Z36" s="788">
        <v>3.5</v>
      </c>
      <c r="AA36" s="776">
        <v>2</v>
      </c>
      <c r="AB36" s="776">
        <v>3.75</v>
      </c>
      <c r="AC36" s="788">
        <v>3.75</v>
      </c>
    </row>
    <row r="37" spans="1:29" ht="15.75" customHeight="1">
      <c r="A37" s="728" t="s">
        <v>1011</v>
      </c>
      <c r="B37" s="788">
        <v>10</v>
      </c>
      <c r="C37" s="776">
        <v>10</v>
      </c>
      <c r="D37" s="815" t="s">
        <v>293</v>
      </c>
      <c r="E37" s="776">
        <v>10</v>
      </c>
      <c r="F37" s="788">
        <v>10</v>
      </c>
      <c r="G37" s="776">
        <v>9</v>
      </c>
      <c r="H37" s="788">
        <v>9</v>
      </c>
      <c r="I37" s="788">
        <v>9</v>
      </c>
      <c r="J37" s="815" t="s">
        <v>293</v>
      </c>
      <c r="K37" s="812">
        <v>10</v>
      </c>
      <c r="L37" s="788">
        <v>10</v>
      </c>
      <c r="M37" s="788">
        <v>10</v>
      </c>
      <c r="N37" s="776">
        <v>10</v>
      </c>
      <c r="O37" s="788">
        <v>10</v>
      </c>
      <c r="P37" s="776">
        <v>10</v>
      </c>
      <c r="Q37" s="776">
        <v>10</v>
      </c>
      <c r="R37" s="776">
        <v>10</v>
      </c>
      <c r="S37" s="776">
        <v>10</v>
      </c>
      <c r="T37" s="776">
        <v>10</v>
      </c>
      <c r="U37" s="776">
        <v>10</v>
      </c>
      <c r="V37" s="776">
        <v>10</v>
      </c>
      <c r="W37" s="788">
        <v>10</v>
      </c>
      <c r="X37" s="776">
        <v>10</v>
      </c>
      <c r="Y37" s="718" t="s">
        <v>293</v>
      </c>
      <c r="Z37" s="788">
        <v>10</v>
      </c>
      <c r="AA37" s="776">
        <v>10</v>
      </c>
      <c r="AB37" s="776">
        <v>10</v>
      </c>
      <c r="AC37" s="788">
        <v>10</v>
      </c>
    </row>
    <row r="38" spans="1:29" ht="15.75" customHeight="1">
      <c r="A38" s="728" t="s">
        <v>871</v>
      </c>
      <c r="B38" s="788">
        <v>30</v>
      </c>
      <c r="C38" s="776">
        <v>30</v>
      </c>
      <c r="D38" s="815" t="s">
        <v>293</v>
      </c>
      <c r="E38" s="776">
        <v>30</v>
      </c>
      <c r="F38" s="788">
        <v>30</v>
      </c>
      <c r="G38" s="776">
        <v>25</v>
      </c>
      <c r="H38" s="788">
        <v>25</v>
      </c>
      <c r="I38" s="788">
        <v>25</v>
      </c>
      <c r="J38" s="815" t="s">
        <v>293</v>
      </c>
      <c r="K38" s="812">
        <v>30</v>
      </c>
      <c r="L38" s="788">
        <v>30</v>
      </c>
      <c r="M38" s="788">
        <v>30</v>
      </c>
      <c r="N38" s="776">
        <v>25</v>
      </c>
      <c r="O38" s="788">
        <v>25</v>
      </c>
      <c r="P38" s="776">
        <v>25</v>
      </c>
      <c r="Q38" s="776">
        <v>25</v>
      </c>
      <c r="R38" s="776">
        <v>25</v>
      </c>
      <c r="S38" s="776">
        <v>25</v>
      </c>
      <c r="T38" s="776">
        <v>25</v>
      </c>
      <c r="U38" s="776">
        <v>25</v>
      </c>
      <c r="V38" s="776">
        <v>25</v>
      </c>
      <c r="W38" s="788">
        <v>25</v>
      </c>
      <c r="X38" s="776">
        <v>25</v>
      </c>
      <c r="Y38" s="664">
        <v>25</v>
      </c>
      <c r="Z38" s="788">
        <v>30</v>
      </c>
      <c r="AA38" s="776">
        <v>30</v>
      </c>
      <c r="AB38" s="776">
        <v>25</v>
      </c>
      <c r="AC38" s="788">
        <v>25</v>
      </c>
    </row>
    <row r="39" spans="1:29" ht="15.75" customHeight="1">
      <c r="A39" s="728" t="s">
        <v>870</v>
      </c>
      <c r="B39" s="788">
        <v>1</v>
      </c>
      <c r="C39" s="776">
        <v>1</v>
      </c>
      <c r="D39" s="815" t="s">
        <v>293</v>
      </c>
      <c r="E39" s="776">
        <v>2.5</v>
      </c>
      <c r="F39" s="788">
        <v>2.5</v>
      </c>
      <c r="G39" s="776">
        <v>2.5</v>
      </c>
      <c r="H39" s="788">
        <v>2.5</v>
      </c>
      <c r="I39" s="788">
        <v>2.5</v>
      </c>
      <c r="J39" s="815" t="s">
        <v>293</v>
      </c>
      <c r="K39" s="812">
        <v>1</v>
      </c>
      <c r="L39" s="788">
        <v>1</v>
      </c>
      <c r="M39" s="788">
        <v>1</v>
      </c>
      <c r="N39" s="815" t="s">
        <v>293</v>
      </c>
      <c r="O39" s="815" t="s">
        <v>293</v>
      </c>
      <c r="P39" s="776">
        <v>1</v>
      </c>
      <c r="Q39" s="776">
        <v>1</v>
      </c>
      <c r="R39" s="776">
        <v>1</v>
      </c>
      <c r="S39" s="776">
        <v>1</v>
      </c>
      <c r="T39" s="776">
        <v>1</v>
      </c>
      <c r="U39" s="776">
        <v>2.5</v>
      </c>
      <c r="V39" s="776">
        <v>1</v>
      </c>
      <c r="W39" s="788">
        <v>1</v>
      </c>
      <c r="X39" s="776">
        <v>1</v>
      </c>
      <c r="Y39" s="664" t="s">
        <v>293</v>
      </c>
      <c r="Z39" s="788">
        <v>1</v>
      </c>
      <c r="AA39" s="776">
        <v>1</v>
      </c>
      <c r="AB39" s="815" t="s">
        <v>293</v>
      </c>
      <c r="AC39" s="815" t="s">
        <v>293</v>
      </c>
    </row>
    <row r="40" spans="1:29" ht="15.75" customHeight="1">
      <c r="A40" s="728" t="s">
        <v>1010</v>
      </c>
      <c r="B40" s="815" t="s">
        <v>293</v>
      </c>
      <c r="C40" s="815" t="s">
        <v>293</v>
      </c>
      <c r="D40" s="776">
        <v>20</v>
      </c>
      <c r="E40" s="815" t="s">
        <v>293</v>
      </c>
      <c r="F40" s="815" t="s">
        <v>293</v>
      </c>
      <c r="G40" s="815" t="s">
        <v>293</v>
      </c>
      <c r="H40" s="815" t="s">
        <v>293</v>
      </c>
      <c r="I40" s="815" t="s">
        <v>293</v>
      </c>
      <c r="J40" s="812">
        <v>20</v>
      </c>
      <c r="K40" s="815" t="s">
        <v>293</v>
      </c>
      <c r="L40" s="815" t="s">
        <v>293</v>
      </c>
      <c r="M40" s="815" t="s">
        <v>293</v>
      </c>
      <c r="N40" s="815" t="s">
        <v>293</v>
      </c>
      <c r="O40" s="815" t="s">
        <v>293</v>
      </c>
      <c r="P40" s="718" t="s">
        <v>293</v>
      </c>
      <c r="Q40" s="718" t="s">
        <v>293</v>
      </c>
      <c r="R40" s="718" t="s">
        <v>293</v>
      </c>
      <c r="S40" s="815" t="s">
        <v>293</v>
      </c>
      <c r="T40" s="815" t="s">
        <v>293</v>
      </c>
      <c r="U40" s="815" t="s">
        <v>293</v>
      </c>
      <c r="V40" s="815" t="s">
        <v>293</v>
      </c>
      <c r="W40" s="815" t="s">
        <v>293</v>
      </c>
      <c r="X40" s="815" t="s">
        <v>293</v>
      </c>
      <c r="Y40" s="815" t="s">
        <v>293</v>
      </c>
      <c r="Z40" s="815" t="s">
        <v>293</v>
      </c>
      <c r="AA40" s="815" t="s">
        <v>293</v>
      </c>
      <c r="AB40" s="815" t="s">
        <v>293</v>
      </c>
      <c r="AC40" s="815" t="s">
        <v>293</v>
      </c>
    </row>
    <row r="41" spans="1:29" ht="15.75" customHeight="1">
      <c r="A41" s="661" t="s">
        <v>606</v>
      </c>
      <c r="B41" s="788">
        <v>3</v>
      </c>
      <c r="C41" s="788">
        <v>3</v>
      </c>
      <c r="D41" s="815" t="s">
        <v>293</v>
      </c>
      <c r="E41" s="788">
        <v>5</v>
      </c>
      <c r="F41" s="788">
        <v>5</v>
      </c>
      <c r="G41" s="788">
        <v>5</v>
      </c>
      <c r="H41" s="788">
        <v>5</v>
      </c>
      <c r="I41" s="788">
        <v>5</v>
      </c>
      <c r="J41" s="815" t="s">
        <v>293</v>
      </c>
      <c r="K41" s="812">
        <v>3</v>
      </c>
      <c r="L41" s="788">
        <v>3</v>
      </c>
      <c r="M41" s="788">
        <v>3</v>
      </c>
      <c r="N41" s="776">
        <v>3</v>
      </c>
      <c r="O41" s="788">
        <v>3</v>
      </c>
      <c r="P41" s="776">
        <v>3</v>
      </c>
      <c r="Q41" s="776">
        <v>3</v>
      </c>
      <c r="R41" s="776">
        <v>3</v>
      </c>
      <c r="S41" s="776">
        <v>3</v>
      </c>
      <c r="T41" s="776">
        <v>3</v>
      </c>
      <c r="U41" s="776">
        <v>5</v>
      </c>
      <c r="V41" s="776">
        <v>3</v>
      </c>
      <c r="W41" s="776">
        <v>3</v>
      </c>
      <c r="X41" s="776">
        <v>3</v>
      </c>
      <c r="Y41" s="788">
        <v>5</v>
      </c>
      <c r="Z41" s="788">
        <v>3</v>
      </c>
      <c r="AA41" s="776">
        <v>3</v>
      </c>
      <c r="AB41" s="776">
        <v>3</v>
      </c>
      <c r="AC41" s="788">
        <v>3</v>
      </c>
    </row>
    <row r="42" spans="1:29" ht="15.75" customHeight="1">
      <c r="A42" s="682" t="s">
        <v>608</v>
      </c>
      <c r="B42" s="788">
        <v>1800</v>
      </c>
      <c r="C42" s="788">
        <v>1800</v>
      </c>
      <c r="D42" s="815" t="s">
        <v>293</v>
      </c>
      <c r="E42" s="788">
        <v>1800</v>
      </c>
      <c r="F42" s="788">
        <v>1800</v>
      </c>
      <c r="G42" s="788">
        <v>1800</v>
      </c>
      <c r="H42" s="788">
        <v>1800</v>
      </c>
      <c r="I42" s="788">
        <v>1800</v>
      </c>
      <c r="J42" s="815" t="s">
        <v>293</v>
      </c>
      <c r="K42" s="812">
        <v>1800</v>
      </c>
      <c r="L42" s="788">
        <v>1800</v>
      </c>
      <c r="M42" s="788">
        <v>1800</v>
      </c>
      <c r="N42" s="815" t="s">
        <v>293</v>
      </c>
      <c r="O42" s="815" t="s">
        <v>293</v>
      </c>
      <c r="P42" s="788">
        <v>1800</v>
      </c>
      <c r="Q42" s="788">
        <v>1800</v>
      </c>
      <c r="R42" s="788">
        <v>1800</v>
      </c>
      <c r="S42" s="788">
        <v>1800</v>
      </c>
      <c r="T42" s="788">
        <v>1800</v>
      </c>
      <c r="U42" s="788">
        <v>1800</v>
      </c>
      <c r="V42" s="788">
        <v>1800</v>
      </c>
      <c r="W42" s="788">
        <v>1800</v>
      </c>
      <c r="X42" s="788">
        <v>1800</v>
      </c>
      <c r="Y42" s="788">
        <v>1800</v>
      </c>
      <c r="Z42" s="788">
        <v>1800</v>
      </c>
      <c r="AA42" s="788">
        <v>1800</v>
      </c>
      <c r="AB42" s="815" t="s">
        <v>293</v>
      </c>
      <c r="AC42" s="815" t="s">
        <v>293</v>
      </c>
    </row>
    <row r="43" spans="1:29" ht="15.75" customHeight="1">
      <c r="A43" s="661" t="s">
        <v>609</v>
      </c>
      <c r="B43" s="788">
        <v>1.4999999999999999E-2</v>
      </c>
      <c r="C43" s="788">
        <v>1.4999999999999999E-2</v>
      </c>
      <c r="D43" s="815" t="s">
        <v>293</v>
      </c>
      <c r="E43" s="788">
        <v>5.11E-2</v>
      </c>
      <c r="F43" s="788">
        <v>5.11E-2</v>
      </c>
      <c r="G43" s="815">
        <v>7.3599999999999999E-2</v>
      </c>
      <c r="H43" s="788">
        <v>5.6599999999999998E-2</v>
      </c>
      <c r="I43" s="788">
        <v>5.6599999999999998E-2</v>
      </c>
      <c r="J43" s="815" t="s">
        <v>293</v>
      </c>
      <c r="K43" s="812">
        <v>0.01</v>
      </c>
      <c r="L43" s="788">
        <v>0.01</v>
      </c>
      <c r="M43" s="788">
        <v>6.0000000000000001E-3</v>
      </c>
      <c r="N43" s="776">
        <v>8.6599999999999996E-2</v>
      </c>
      <c r="O43" s="788">
        <v>8.6599999999999996E-2</v>
      </c>
      <c r="P43" s="776">
        <v>2.1600000000000001E-2</v>
      </c>
      <c r="Q43" s="776">
        <v>2.1600000000000001E-2</v>
      </c>
      <c r="R43" s="776">
        <v>2.1600000000000001E-2</v>
      </c>
      <c r="S43" s="776">
        <v>2.1600000000000001E-2</v>
      </c>
      <c r="T43" s="776">
        <v>2.1600000000000001E-2</v>
      </c>
      <c r="U43" s="776">
        <v>3.61E-2</v>
      </c>
      <c r="V43" s="776">
        <v>1.6E-2</v>
      </c>
      <c r="W43" s="776">
        <v>1.6E-2</v>
      </c>
      <c r="X43" s="776">
        <v>1.6E-2</v>
      </c>
      <c r="Y43" s="812">
        <v>4.9099999999999998E-2</v>
      </c>
      <c r="Z43" s="788">
        <v>0.01</v>
      </c>
      <c r="AA43" s="776">
        <v>0.10059999999999999</v>
      </c>
      <c r="AB43" s="776">
        <v>8.6599999999999996E-2</v>
      </c>
      <c r="AC43" s="788">
        <v>8.6599999999999996E-2</v>
      </c>
    </row>
    <row r="44" spans="1:29" ht="15.75" customHeight="1">
      <c r="A44" s="661" t="s">
        <v>611</v>
      </c>
      <c r="B44" s="788">
        <v>0</v>
      </c>
      <c r="C44" s="788">
        <v>0</v>
      </c>
      <c r="D44" s="815" t="s">
        <v>293</v>
      </c>
      <c r="E44" s="788">
        <v>0</v>
      </c>
      <c r="F44" s="788">
        <v>0</v>
      </c>
      <c r="G44" s="788">
        <v>0</v>
      </c>
      <c r="H44" s="788">
        <v>0</v>
      </c>
      <c r="I44" s="788">
        <v>0</v>
      </c>
      <c r="J44" s="815" t="s">
        <v>293</v>
      </c>
      <c r="K44" s="812">
        <v>0</v>
      </c>
      <c r="L44" s="788">
        <v>0</v>
      </c>
      <c r="M44" s="788">
        <v>0</v>
      </c>
      <c r="N44" s="776">
        <v>0</v>
      </c>
      <c r="O44" s="788">
        <v>0</v>
      </c>
      <c r="P44" s="788">
        <v>0</v>
      </c>
      <c r="Q44" s="788">
        <v>0</v>
      </c>
      <c r="R44" s="788">
        <v>0</v>
      </c>
      <c r="S44" s="788">
        <v>0</v>
      </c>
      <c r="T44" s="788">
        <v>0</v>
      </c>
      <c r="U44" s="788">
        <v>0</v>
      </c>
      <c r="V44" s="788">
        <v>0</v>
      </c>
      <c r="W44" s="788">
        <v>0</v>
      </c>
      <c r="X44" s="788">
        <v>0</v>
      </c>
      <c r="Y44" s="780">
        <v>0</v>
      </c>
      <c r="Z44" s="788">
        <v>0</v>
      </c>
      <c r="AA44" s="788">
        <v>0</v>
      </c>
      <c r="AB44" s="788">
        <v>0</v>
      </c>
      <c r="AC44" s="788">
        <v>0</v>
      </c>
    </row>
    <row r="45" spans="1:29" ht="15.75" customHeight="1">
      <c r="A45" s="661" t="s">
        <v>613</v>
      </c>
      <c r="B45" s="788">
        <v>0</v>
      </c>
      <c r="C45" s="788">
        <v>0</v>
      </c>
      <c r="D45" s="815" t="s">
        <v>293</v>
      </c>
      <c r="E45" s="788">
        <v>0</v>
      </c>
      <c r="F45" s="788">
        <v>0</v>
      </c>
      <c r="G45" s="788">
        <v>0</v>
      </c>
      <c r="H45" s="788">
        <v>0</v>
      </c>
      <c r="I45" s="788">
        <v>0</v>
      </c>
      <c r="J45" s="815" t="s">
        <v>293</v>
      </c>
      <c r="K45" s="812">
        <v>0</v>
      </c>
      <c r="L45" s="788">
        <v>0</v>
      </c>
      <c r="M45" s="788">
        <v>0</v>
      </c>
      <c r="N45" s="776">
        <v>0</v>
      </c>
      <c r="O45" s="788">
        <v>0</v>
      </c>
      <c r="P45" s="788">
        <v>0</v>
      </c>
      <c r="Q45" s="788">
        <v>0</v>
      </c>
      <c r="R45" s="788">
        <v>0</v>
      </c>
      <c r="S45" s="788">
        <v>0</v>
      </c>
      <c r="T45" s="788">
        <v>0</v>
      </c>
      <c r="U45" s="788">
        <v>0</v>
      </c>
      <c r="V45" s="788">
        <v>0</v>
      </c>
      <c r="W45" s="788">
        <v>0</v>
      </c>
      <c r="X45" s="788">
        <v>0</v>
      </c>
      <c r="Y45" s="780">
        <v>0</v>
      </c>
      <c r="Z45" s="788">
        <v>0</v>
      </c>
      <c r="AA45" s="788">
        <v>0</v>
      </c>
      <c r="AB45" s="788">
        <v>0</v>
      </c>
      <c r="AC45" s="788">
        <v>0</v>
      </c>
    </row>
    <row r="46" spans="1:29" ht="15.75" customHeight="1">
      <c r="A46" s="661" t="s">
        <v>615</v>
      </c>
      <c r="B46" s="788">
        <v>1E-4</v>
      </c>
      <c r="C46" s="788">
        <v>1E-4</v>
      </c>
      <c r="D46" s="815" t="s">
        <v>293</v>
      </c>
      <c r="E46" s="788">
        <v>1E-3</v>
      </c>
      <c r="F46" s="788">
        <v>1E-3</v>
      </c>
      <c r="G46" s="788">
        <v>1.8E-3</v>
      </c>
      <c r="H46" s="788">
        <v>1.2999999999999999E-3</v>
      </c>
      <c r="I46" s="788">
        <v>1.2999999999999999E-3</v>
      </c>
      <c r="J46" s="815" t="s">
        <v>293</v>
      </c>
      <c r="K46" s="812">
        <v>5.0000000000000001E-4</v>
      </c>
      <c r="L46" s="776">
        <v>5.0000000000000001E-4</v>
      </c>
      <c r="M46" s="788">
        <v>1.6000000000000001E-3</v>
      </c>
      <c r="N46" s="776">
        <v>1.6999999999999999E-3</v>
      </c>
      <c r="O46" s="788">
        <v>1.6999999999999999E-3</v>
      </c>
      <c r="P46" s="776">
        <v>5.0000000000000001E-4</v>
      </c>
      <c r="Q46" s="776">
        <v>5.0000000000000001E-4</v>
      </c>
      <c r="R46" s="776">
        <v>5.0000000000000001E-4</v>
      </c>
      <c r="S46" s="776">
        <v>5.0000000000000001E-4</v>
      </c>
      <c r="T46" s="776">
        <v>5.0000000000000001E-4</v>
      </c>
      <c r="U46" s="776">
        <v>5.0000000000000001E-4</v>
      </c>
      <c r="V46" s="776">
        <v>1.1000000000000001E-3</v>
      </c>
      <c r="W46" s="776">
        <v>1.1000000000000001E-3</v>
      </c>
      <c r="X46" s="776">
        <v>1.1000000000000001E-3</v>
      </c>
      <c r="Y46" s="812">
        <v>1.9E-3</v>
      </c>
      <c r="Z46" s="788">
        <v>5.0000000000000001E-4</v>
      </c>
      <c r="AA46" s="776">
        <v>1.1999999999999999E-3</v>
      </c>
      <c r="AB46" s="776">
        <v>1.6999999999999999E-3</v>
      </c>
      <c r="AC46" s="788">
        <v>1.6999999999999999E-3</v>
      </c>
    </row>
    <row r="47" spans="1:29" ht="24" customHeight="1">
      <c r="A47" s="803" t="s">
        <v>617</v>
      </c>
      <c r="B47" s="791"/>
      <c r="C47" s="791"/>
      <c r="D47" s="791"/>
      <c r="E47" s="791"/>
      <c r="F47" s="791"/>
      <c r="G47" s="791"/>
      <c r="H47" s="791"/>
      <c r="I47" s="791"/>
      <c r="J47" s="802"/>
      <c r="K47" s="802"/>
      <c r="L47" s="791"/>
      <c r="M47" s="791"/>
      <c r="N47" s="791"/>
      <c r="O47" s="791"/>
      <c r="P47" s="791"/>
      <c r="Q47" s="791"/>
      <c r="R47" s="791"/>
      <c r="S47" s="791"/>
      <c r="T47" s="791"/>
      <c r="U47" s="791"/>
      <c r="V47" s="791"/>
      <c r="W47" s="791"/>
      <c r="X47" s="791"/>
      <c r="Y47" s="709"/>
      <c r="Z47" s="791"/>
      <c r="AA47" s="791"/>
      <c r="AB47" s="791"/>
      <c r="AC47" s="791"/>
    </row>
    <row r="48" spans="1:29" ht="15.75" customHeight="1">
      <c r="A48" s="728" t="s">
        <v>868</v>
      </c>
      <c r="B48" s="662">
        <v>0.25</v>
      </c>
      <c r="C48" s="662">
        <v>0.25</v>
      </c>
      <c r="D48" s="670" t="s">
        <v>293</v>
      </c>
      <c r="E48" s="670" t="s">
        <v>293</v>
      </c>
      <c r="F48" s="815" t="s">
        <v>293</v>
      </c>
      <c r="G48" s="815" t="s">
        <v>293</v>
      </c>
      <c r="H48" s="815" t="s">
        <v>293</v>
      </c>
      <c r="I48" s="815" t="s">
        <v>293</v>
      </c>
      <c r="J48" s="662">
        <v>1</v>
      </c>
      <c r="K48" s="815" t="s">
        <v>293</v>
      </c>
      <c r="L48" s="815" t="s">
        <v>293</v>
      </c>
      <c r="M48" s="815" t="s">
        <v>293</v>
      </c>
      <c r="N48" s="815" t="s">
        <v>293</v>
      </c>
      <c r="O48" s="815" t="s">
        <v>293</v>
      </c>
      <c r="P48" s="815" t="s">
        <v>293</v>
      </c>
      <c r="Q48" s="815" t="s">
        <v>293</v>
      </c>
      <c r="R48" s="815" t="s">
        <v>293</v>
      </c>
      <c r="S48" s="815" t="s">
        <v>293</v>
      </c>
      <c r="T48" s="815" t="s">
        <v>293</v>
      </c>
      <c r="U48" s="662">
        <v>0.75</v>
      </c>
      <c r="V48" s="815" t="s">
        <v>293</v>
      </c>
      <c r="W48" s="815" t="s">
        <v>293</v>
      </c>
      <c r="X48" s="815" t="s">
        <v>293</v>
      </c>
      <c r="Y48" s="815" t="s">
        <v>293</v>
      </c>
      <c r="Z48" s="815" t="s">
        <v>293</v>
      </c>
      <c r="AA48" s="662">
        <v>0.25</v>
      </c>
      <c r="AB48" s="815" t="s">
        <v>293</v>
      </c>
      <c r="AC48" s="815" t="s">
        <v>293</v>
      </c>
    </row>
    <row r="49" spans="1:29" ht="15.75" customHeight="1">
      <c r="A49" s="728" t="s">
        <v>618</v>
      </c>
      <c r="B49" s="670" t="s">
        <v>293</v>
      </c>
      <c r="C49" s="670" t="s">
        <v>293</v>
      </c>
      <c r="D49" s="670" t="s">
        <v>293</v>
      </c>
      <c r="E49" s="662">
        <f>90*0.15</f>
        <v>13.5</v>
      </c>
      <c r="F49" s="662">
        <f>90*0.15</f>
        <v>13.5</v>
      </c>
      <c r="G49" s="662">
        <f>90*0.125</f>
        <v>11.25</v>
      </c>
      <c r="H49" s="662">
        <f>90*0.125</f>
        <v>11.25</v>
      </c>
      <c r="I49" s="662">
        <f>90*0.125</f>
        <v>11.25</v>
      </c>
      <c r="J49" s="815" t="s">
        <v>293</v>
      </c>
      <c r="K49" s="662">
        <f>90*0</f>
        <v>0</v>
      </c>
      <c r="L49" s="815" t="s">
        <v>293</v>
      </c>
      <c r="M49" s="815" t="s">
        <v>293</v>
      </c>
      <c r="N49" s="662">
        <f>90*0.15</f>
        <v>13.5</v>
      </c>
      <c r="O49" s="662">
        <f>90*0.15</f>
        <v>13.5</v>
      </c>
      <c r="P49" s="815" t="s">
        <v>293</v>
      </c>
      <c r="Q49" s="815" t="s">
        <v>293</v>
      </c>
      <c r="R49" s="815" t="s">
        <v>293</v>
      </c>
      <c r="S49" s="815" t="s">
        <v>293</v>
      </c>
      <c r="T49" s="815" t="s">
        <v>293</v>
      </c>
      <c r="U49" s="662">
        <f>90*0.125</f>
        <v>11.25</v>
      </c>
      <c r="V49" s="815" t="s">
        <v>293</v>
      </c>
      <c r="W49" s="815" t="s">
        <v>293</v>
      </c>
      <c r="X49" s="815" t="s">
        <v>293</v>
      </c>
      <c r="Y49" s="662">
        <f>90*0.15</f>
        <v>13.5</v>
      </c>
      <c r="Z49" s="815" t="s">
        <v>293</v>
      </c>
      <c r="AA49" s="662">
        <f>90*0.15</f>
        <v>13.5</v>
      </c>
      <c r="AB49" s="662">
        <f>90*0.15</f>
        <v>13.5</v>
      </c>
      <c r="AC49" s="662">
        <f>90*0.15</f>
        <v>13.5</v>
      </c>
    </row>
    <row r="50" spans="1:29" ht="15.75" customHeight="1">
      <c r="A50" s="728" t="s">
        <v>619</v>
      </c>
      <c r="B50" s="670" t="s">
        <v>293</v>
      </c>
      <c r="C50" s="670" t="s">
        <v>293</v>
      </c>
      <c r="D50" s="670" t="s">
        <v>293</v>
      </c>
      <c r="E50" s="670" t="s">
        <v>293</v>
      </c>
      <c r="F50" s="815" t="s">
        <v>293</v>
      </c>
      <c r="G50" s="815" t="s">
        <v>293</v>
      </c>
      <c r="H50" s="815" t="s">
        <v>293</v>
      </c>
      <c r="I50" s="815" t="s">
        <v>293</v>
      </c>
      <c r="J50" s="815" t="s">
        <v>293</v>
      </c>
      <c r="K50" s="815" t="s">
        <v>293</v>
      </c>
      <c r="L50" s="815" t="s">
        <v>293</v>
      </c>
      <c r="M50" s="815" t="s">
        <v>293</v>
      </c>
      <c r="N50" s="815" t="s">
        <v>293</v>
      </c>
      <c r="O50" s="815" t="s">
        <v>293</v>
      </c>
      <c r="P50" s="815" t="s">
        <v>293</v>
      </c>
      <c r="Q50" s="815" t="s">
        <v>293</v>
      </c>
      <c r="R50" s="815" t="s">
        <v>293</v>
      </c>
      <c r="S50" s="815" t="s">
        <v>293</v>
      </c>
      <c r="T50" s="815" t="s">
        <v>293</v>
      </c>
      <c r="U50" s="815" t="s">
        <v>293</v>
      </c>
      <c r="V50" s="815" t="s">
        <v>293</v>
      </c>
      <c r="W50" s="815" t="s">
        <v>293</v>
      </c>
      <c r="X50" s="815" t="s">
        <v>293</v>
      </c>
      <c r="Y50" s="664">
        <v>18</v>
      </c>
      <c r="Z50" s="815" t="s">
        <v>293</v>
      </c>
      <c r="AA50" s="815" t="s">
        <v>293</v>
      </c>
      <c r="AB50" s="815" t="s">
        <v>293</v>
      </c>
      <c r="AC50" s="815" t="s">
        <v>293</v>
      </c>
    </row>
    <row r="51" spans="1:29" ht="15.75" customHeight="1">
      <c r="A51" s="661" t="s">
        <v>986</v>
      </c>
      <c r="B51" s="670" t="s">
        <v>293</v>
      </c>
      <c r="C51" s="670" t="s">
        <v>293</v>
      </c>
      <c r="D51" s="670" t="s">
        <v>293</v>
      </c>
      <c r="E51" s="670" t="s">
        <v>293</v>
      </c>
      <c r="F51" s="815" t="s">
        <v>293</v>
      </c>
      <c r="G51" s="815" t="s">
        <v>293</v>
      </c>
      <c r="H51" s="815" t="s">
        <v>293</v>
      </c>
      <c r="I51" s="815" t="s">
        <v>293</v>
      </c>
      <c r="J51" s="664">
        <v>6</v>
      </c>
      <c r="K51" s="815" t="s">
        <v>293</v>
      </c>
      <c r="L51" s="815" t="s">
        <v>293</v>
      </c>
      <c r="M51" s="815" t="s">
        <v>293</v>
      </c>
      <c r="N51" s="815" t="s">
        <v>293</v>
      </c>
      <c r="O51" s="815" t="s">
        <v>293</v>
      </c>
      <c r="P51" s="815" t="s">
        <v>293</v>
      </c>
      <c r="Q51" s="815" t="s">
        <v>293</v>
      </c>
      <c r="R51" s="815" t="s">
        <v>293</v>
      </c>
      <c r="S51" s="815" t="s">
        <v>293</v>
      </c>
      <c r="T51" s="815" t="s">
        <v>293</v>
      </c>
      <c r="U51" s="815" t="s">
        <v>293</v>
      </c>
      <c r="V51" s="815" t="s">
        <v>293</v>
      </c>
      <c r="W51" s="815" t="s">
        <v>293</v>
      </c>
      <c r="X51" s="815" t="s">
        <v>293</v>
      </c>
      <c r="Y51" s="815" t="s">
        <v>293</v>
      </c>
      <c r="Z51" s="815" t="s">
        <v>293</v>
      </c>
      <c r="AA51" s="815" t="s">
        <v>293</v>
      </c>
      <c r="AB51" s="815" t="s">
        <v>293</v>
      </c>
      <c r="AC51" s="815" t="s">
        <v>293</v>
      </c>
    </row>
    <row r="52" spans="1:29" ht="15.75" customHeight="1">
      <c r="A52" s="728" t="s">
        <v>621</v>
      </c>
      <c r="B52" s="788">
        <v>2.5</v>
      </c>
      <c r="C52" s="776">
        <v>2.5</v>
      </c>
      <c r="D52" s="670" t="s">
        <v>293</v>
      </c>
      <c r="E52" s="776">
        <v>2.75</v>
      </c>
      <c r="F52" s="776">
        <v>2.75</v>
      </c>
      <c r="G52" s="776">
        <v>1.1000000000000001</v>
      </c>
      <c r="H52" s="788">
        <v>1.1000000000000001</v>
      </c>
      <c r="I52" s="788">
        <v>1.1000000000000001</v>
      </c>
      <c r="J52" s="664">
        <v>1.2</v>
      </c>
      <c r="K52" s="812">
        <v>2.35</v>
      </c>
      <c r="L52" s="780">
        <v>2.36</v>
      </c>
      <c r="M52" s="780">
        <v>2.35</v>
      </c>
      <c r="N52" s="776">
        <v>2.1</v>
      </c>
      <c r="O52" s="788">
        <v>2.1</v>
      </c>
      <c r="P52" s="812">
        <v>2.25</v>
      </c>
      <c r="Q52" s="812">
        <v>2.25</v>
      </c>
      <c r="R52" s="812">
        <v>2.25</v>
      </c>
      <c r="S52" s="812">
        <v>2.25</v>
      </c>
      <c r="T52" s="812">
        <v>2.25</v>
      </c>
      <c r="U52" s="812">
        <v>1.95</v>
      </c>
      <c r="V52" s="812">
        <v>2.25</v>
      </c>
      <c r="W52" s="780">
        <v>2.25</v>
      </c>
      <c r="X52" s="812">
        <v>2.25</v>
      </c>
      <c r="Y52" s="664">
        <v>1.25</v>
      </c>
      <c r="Z52" s="780">
        <v>2.35</v>
      </c>
      <c r="AA52" s="776">
        <v>3.5</v>
      </c>
      <c r="AB52" s="776">
        <v>2.1</v>
      </c>
      <c r="AC52" s="788">
        <v>2.1</v>
      </c>
    </row>
    <row r="53" spans="1:29" ht="15.75" customHeight="1">
      <c r="A53" s="728" t="s">
        <v>622</v>
      </c>
      <c r="B53" s="788">
        <v>10</v>
      </c>
      <c r="C53" s="776">
        <v>10</v>
      </c>
      <c r="D53" s="780">
        <v>55</v>
      </c>
      <c r="E53" s="670" t="s">
        <v>293</v>
      </c>
      <c r="F53" s="670" t="s">
        <v>293</v>
      </c>
      <c r="G53" s="776">
        <v>55</v>
      </c>
      <c r="H53" s="788">
        <v>55</v>
      </c>
      <c r="I53" s="788">
        <v>55</v>
      </c>
      <c r="J53" s="670" t="s">
        <v>293</v>
      </c>
      <c r="K53" s="815" t="s">
        <v>293</v>
      </c>
      <c r="L53" s="815" t="s">
        <v>293</v>
      </c>
      <c r="M53" s="670" t="s">
        <v>293</v>
      </c>
      <c r="N53" s="776">
        <v>55</v>
      </c>
      <c r="O53" s="788">
        <v>55</v>
      </c>
      <c r="P53" s="812">
        <v>70</v>
      </c>
      <c r="Q53" s="812">
        <v>70</v>
      </c>
      <c r="R53" s="812">
        <v>70</v>
      </c>
      <c r="S53" s="812">
        <v>70</v>
      </c>
      <c r="T53" s="812">
        <v>70</v>
      </c>
      <c r="U53" s="812">
        <v>75</v>
      </c>
      <c r="V53" s="812">
        <v>20</v>
      </c>
      <c r="W53" s="780">
        <v>20</v>
      </c>
      <c r="X53" s="812">
        <v>20</v>
      </c>
      <c r="Y53" s="670" t="s">
        <v>293</v>
      </c>
      <c r="Z53" s="815" t="s">
        <v>293</v>
      </c>
      <c r="AA53" s="776">
        <v>15</v>
      </c>
      <c r="AB53" s="776">
        <v>55</v>
      </c>
      <c r="AC53" s="788">
        <v>55</v>
      </c>
    </row>
    <row r="54" spans="1:29" ht="15.75" customHeight="1">
      <c r="A54" s="728" t="s">
        <v>623</v>
      </c>
      <c r="B54" s="670" t="s">
        <v>293</v>
      </c>
      <c r="C54" s="670" t="s">
        <v>293</v>
      </c>
      <c r="D54" s="670" t="s">
        <v>293</v>
      </c>
      <c r="E54" s="670" t="s">
        <v>293</v>
      </c>
      <c r="F54" s="670" t="s">
        <v>293</v>
      </c>
      <c r="G54" s="670" t="s">
        <v>293</v>
      </c>
      <c r="H54" s="670" t="s">
        <v>293</v>
      </c>
      <c r="I54" s="670" t="s">
        <v>293</v>
      </c>
      <c r="J54" s="670" t="s">
        <v>293</v>
      </c>
      <c r="K54" s="670" t="s">
        <v>293</v>
      </c>
      <c r="L54" s="670" t="s">
        <v>293</v>
      </c>
      <c r="M54" s="670" t="s">
        <v>293</v>
      </c>
      <c r="N54" s="670" t="s">
        <v>293</v>
      </c>
      <c r="O54" s="670" t="s">
        <v>293</v>
      </c>
      <c r="P54" s="670" t="s">
        <v>293</v>
      </c>
      <c r="Q54" s="670" t="s">
        <v>293</v>
      </c>
      <c r="R54" s="670" t="s">
        <v>293</v>
      </c>
      <c r="S54" s="670" t="s">
        <v>293</v>
      </c>
      <c r="T54" s="670" t="s">
        <v>293</v>
      </c>
      <c r="U54" s="670" t="s">
        <v>293</v>
      </c>
      <c r="V54" s="670" t="s">
        <v>293</v>
      </c>
      <c r="W54" s="670" t="s">
        <v>293</v>
      </c>
      <c r="X54" s="670" t="s">
        <v>293</v>
      </c>
      <c r="Y54" s="670" t="s">
        <v>293</v>
      </c>
      <c r="Z54" s="670" t="s">
        <v>293</v>
      </c>
      <c r="AA54" s="670" t="s">
        <v>293</v>
      </c>
      <c r="AB54" s="670" t="s">
        <v>293</v>
      </c>
      <c r="AC54" s="670" t="s">
        <v>293</v>
      </c>
    </row>
    <row r="55" spans="1:29" ht="15.75" customHeight="1">
      <c r="A55" s="728" t="s">
        <v>865</v>
      </c>
      <c r="B55" s="788">
        <v>140</v>
      </c>
      <c r="C55" s="776">
        <v>140</v>
      </c>
      <c r="D55" s="788">
        <v>400</v>
      </c>
      <c r="E55" s="776">
        <v>230</v>
      </c>
      <c r="F55" s="788">
        <v>230</v>
      </c>
      <c r="G55" s="776">
        <v>550</v>
      </c>
      <c r="H55" s="788">
        <v>550</v>
      </c>
      <c r="I55" s="788">
        <v>550</v>
      </c>
      <c r="J55" s="664">
        <v>455</v>
      </c>
      <c r="K55" s="812">
        <v>220</v>
      </c>
      <c r="L55" s="788">
        <v>190</v>
      </c>
      <c r="M55" s="788">
        <v>210</v>
      </c>
      <c r="N55" s="776">
        <v>296</v>
      </c>
      <c r="O55" s="788">
        <v>329</v>
      </c>
      <c r="P55" s="776">
        <v>220</v>
      </c>
      <c r="Q55" s="776">
        <v>220</v>
      </c>
      <c r="R55" s="776">
        <v>240</v>
      </c>
      <c r="S55" s="776">
        <v>240</v>
      </c>
      <c r="T55" s="776">
        <v>240</v>
      </c>
      <c r="U55" s="815" t="s">
        <v>293</v>
      </c>
      <c r="V55" s="776">
        <v>250</v>
      </c>
      <c r="W55" s="788">
        <v>250</v>
      </c>
      <c r="X55" s="776">
        <v>250</v>
      </c>
      <c r="Y55" s="664">
        <v>2</v>
      </c>
      <c r="Z55" s="788">
        <v>220</v>
      </c>
      <c r="AA55" s="776">
        <v>85</v>
      </c>
      <c r="AB55" s="776">
        <v>296</v>
      </c>
      <c r="AC55" s="788">
        <v>329</v>
      </c>
    </row>
    <row r="56" spans="1:29" ht="15.75" customHeight="1">
      <c r="A56" s="728" t="s">
        <v>625</v>
      </c>
      <c r="B56" s="670" t="s">
        <v>293</v>
      </c>
      <c r="C56" s="670" t="s">
        <v>293</v>
      </c>
      <c r="D56" s="670" t="s">
        <v>293</v>
      </c>
      <c r="E56" s="670" t="s">
        <v>293</v>
      </c>
      <c r="F56" s="670" t="s">
        <v>293</v>
      </c>
      <c r="G56" s="670" t="s">
        <v>293</v>
      </c>
      <c r="H56" s="670" t="s">
        <v>293</v>
      </c>
      <c r="I56" s="670" t="s">
        <v>293</v>
      </c>
      <c r="J56" s="670" t="s">
        <v>293</v>
      </c>
      <c r="K56" s="670" t="s">
        <v>293</v>
      </c>
      <c r="L56" s="815" t="s">
        <v>293</v>
      </c>
      <c r="M56" s="670" t="s">
        <v>293</v>
      </c>
      <c r="N56" s="670" t="s">
        <v>293</v>
      </c>
      <c r="O56" s="670" t="s">
        <v>293</v>
      </c>
      <c r="P56" s="815" t="s">
        <v>293</v>
      </c>
      <c r="Q56" s="815" t="s">
        <v>293</v>
      </c>
      <c r="R56" s="815" t="s">
        <v>293</v>
      </c>
      <c r="S56" s="815" t="s">
        <v>293</v>
      </c>
      <c r="T56" s="815" t="s">
        <v>293</v>
      </c>
      <c r="U56" s="815" t="s">
        <v>293</v>
      </c>
      <c r="V56" s="670" t="s">
        <v>293</v>
      </c>
      <c r="W56" s="670" t="s">
        <v>293</v>
      </c>
      <c r="X56" s="670" t="s">
        <v>293</v>
      </c>
      <c r="Y56" s="664">
        <v>10</v>
      </c>
      <c r="Z56" s="815" t="s">
        <v>293</v>
      </c>
      <c r="AA56" s="815" t="s">
        <v>293</v>
      </c>
      <c r="AB56" s="815" t="s">
        <v>293</v>
      </c>
      <c r="AC56" s="815" t="s">
        <v>293</v>
      </c>
    </row>
    <row r="57" spans="1:29" ht="15.75" customHeight="1">
      <c r="A57" s="728" t="s">
        <v>984</v>
      </c>
      <c r="B57" s="790" t="s">
        <v>293</v>
      </c>
      <c r="C57" s="815" t="s">
        <v>293</v>
      </c>
      <c r="D57" s="790" t="s">
        <v>293</v>
      </c>
      <c r="E57" s="815" t="s">
        <v>293</v>
      </c>
      <c r="F57" s="790" t="s">
        <v>293</v>
      </c>
      <c r="G57" s="815" t="s">
        <v>293</v>
      </c>
      <c r="H57" s="790" t="s">
        <v>293</v>
      </c>
      <c r="I57" s="790" t="s">
        <v>293</v>
      </c>
      <c r="J57" s="664">
        <v>8</v>
      </c>
      <c r="K57" s="664">
        <v>3</v>
      </c>
      <c r="L57" s="790" t="s">
        <v>293</v>
      </c>
      <c r="M57" s="788">
        <v>6</v>
      </c>
      <c r="N57" s="815" t="s">
        <v>293</v>
      </c>
      <c r="O57" s="790" t="s">
        <v>293</v>
      </c>
      <c r="P57" s="815" t="s">
        <v>293</v>
      </c>
      <c r="Q57" s="815" t="s">
        <v>293</v>
      </c>
      <c r="R57" s="815" t="s">
        <v>293</v>
      </c>
      <c r="S57" s="815" t="s">
        <v>293</v>
      </c>
      <c r="T57" s="815" t="s">
        <v>293</v>
      </c>
      <c r="U57" s="815" t="s">
        <v>293</v>
      </c>
      <c r="V57" s="815" t="s">
        <v>293</v>
      </c>
      <c r="W57" s="790" t="s">
        <v>293</v>
      </c>
      <c r="X57" s="815" t="s">
        <v>293</v>
      </c>
      <c r="Y57" s="670" t="s">
        <v>293</v>
      </c>
      <c r="Z57" s="788">
        <v>3</v>
      </c>
      <c r="AA57" s="815" t="s">
        <v>293</v>
      </c>
      <c r="AB57" s="815" t="s">
        <v>293</v>
      </c>
      <c r="AC57" s="790" t="s">
        <v>293</v>
      </c>
    </row>
    <row r="58" spans="1:29" ht="15.75" customHeight="1">
      <c r="A58" s="661" t="s">
        <v>629</v>
      </c>
      <c r="B58" s="788">
        <v>30</v>
      </c>
      <c r="C58" s="776">
        <v>30</v>
      </c>
      <c r="D58" s="788">
        <v>30</v>
      </c>
      <c r="E58" s="776">
        <v>30</v>
      </c>
      <c r="F58" s="788">
        <v>30</v>
      </c>
      <c r="G58" s="776">
        <v>30</v>
      </c>
      <c r="H58" s="788">
        <v>30</v>
      </c>
      <c r="I58" s="788">
        <v>30</v>
      </c>
      <c r="J58" s="664">
        <v>30</v>
      </c>
      <c r="K58" s="812">
        <v>100</v>
      </c>
      <c r="L58" s="788">
        <v>100</v>
      </c>
      <c r="M58" s="788">
        <v>100</v>
      </c>
      <c r="N58" s="776">
        <v>65</v>
      </c>
      <c r="O58" s="788">
        <v>65</v>
      </c>
      <c r="P58" s="776">
        <v>30</v>
      </c>
      <c r="Q58" s="776">
        <v>30</v>
      </c>
      <c r="R58" s="776">
        <v>30</v>
      </c>
      <c r="S58" s="776">
        <v>30</v>
      </c>
      <c r="T58" s="776">
        <v>30</v>
      </c>
      <c r="U58" s="776">
        <v>30</v>
      </c>
      <c r="V58" s="776">
        <v>30</v>
      </c>
      <c r="W58" s="788">
        <v>30</v>
      </c>
      <c r="X58" s="776">
        <v>30</v>
      </c>
      <c r="Y58" s="664">
        <v>600</v>
      </c>
      <c r="Z58" s="788">
        <v>100</v>
      </c>
      <c r="AA58" s="776">
        <v>230</v>
      </c>
      <c r="AB58" s="776">
        <v>65</v>
      </c>
      <c r="AC58" s="788">
        <v>65</v>
      </c>
    </row>
    <row r="59" spans="1:29" ht="15.75" customHeight="1">
      <c r="A59" s="728" t="s">
        <v>759</v>
      </c>
      <c r="B59" s="788">
        <v>3</v>
      </c>
      <c r="C59" s="776">
        <v>3</v>
      </c>
      <c r="D59" s="788">
        <v>2.5</v>
      </c>
      <c r="E59" s="776">
        <v>4</v>
      </c>
      <c r="F59" s="788">
        <v>4</v>
      </c>
      <c r="G59" s="776">
        <v>5</v>
      </c>
      <c r="H59" s="788">
        <v>6</v>
      </c>
      <c r="I59" s="788">
        <v>6</v>
      </c>
      <c r="J59" s="664">
        <v>12</v>
      </c>
      <c r="K59" s="812">
        <v>3.5</v>
      </c>
      <c r="L59" s="788">
        <v>3.5</v>
      </c>
      <c r="M59" s="788">
        <v>7</v>
      </c>
      <c r="N59" s="776">
        <v>3.75</v>
      </c>
      <c r="O59" s="788">
        <v>3.75</v>
      </c>
      <c r="P59" s="776">
        <v>3</v>
      </c>
      <c r="Q59" s="776">
        <v>3</v>
      </c>
      <c r="R59" s="776">
        <v>4</v>
      </c>
      <c r="S59" s="776">
        <v>4</v>
      </c>
      <c r="T59" s="776">
        <v>4</v>
      </c>
      <c r="U59" s="776">
        <v>5.5</v>
      </c>
      <c r="V59" s="776">
        <v>4</v>
      </c>
      <c r="W59" s="788">
        <v>4</v>
      </c>
      <c r="X59" s="776">
        <v>4.3</v>
      </c>
      <c r="Y59" s="664">
        <v>10</v>
      </c>
      <c r="Z59" s="788">
        <v>3.5</v>
      </c>
      <c r="AA59" s="776">
        <v>2</v>
      </c>
      <c r="AB59" s="776">
        <v>3.75</v>
      </c>
      <c r="AC59" s="788">
        <v>3.75</v>
      </c>
    </row>
    <row r="60" spans="1:29" ht="15.75" customHeight="1">
      <c r="A60" s="728" t="s">
        <v>631</v>
      </c>
      <c r="B60" s="788">
        <v>3.5</v>
      </c>
      <c r="C60" s="788">
        <v>3.5</v>
      </c>
      <c r="D60" s="790" t="s">
        <v>293</v>
      </c>
      <c r="E60" s="788">
        <v>5</v>
      </c>
      <c r="F60" s="788">
        <v>5</v>
      </c>
      <c r="G60" s="788">
        <v>15</v>
      </c>
      <c r="H60" s="788">
        <v>15</v>
      </c>
      <c r="I60" s="788">
        <v>15</v>
      </c>
      <c r="J60" s="670" t="s">
        <v>293</v>
      </c>
      <c r="K60" s="664">
        <v>3</v>
      </c>
      <c r="L60" s="812">
        <v>3</v>
      </c>
      <c r="M60" s="812">
        <v>3</v>
      </c>
      <c r="N60" s="812">
        <v>10</v>
      </c>
      <c r="O60" s="780">
        <v>10</v>
      </c>
      <c r="P60" s="812">
        <v>7</v>
      </c>
      <c r="Q60" s="812">
        <v>7</v>
      </c>
      <c r="R60" s="812">
        <v>7</v>
      </c>
      <c r="S60" s="812">
        <v>7</v>
      </c>
      <c r="T60" s="812">
        <v>7</v>
      </c>
      <c r="U60" s="812">
        <v>10</v>
      </c>
      <c r="V60" s="812">
        <v>7</v>
      </c>
      <c r="W60" s="812">
        <v>7</v>
      </c>
      <c r="X60" s="812">
        <v>7</v>
      </c>
      <c r="Y60" s="664">
        <v>15</v>
      </c>
      <c r="Z60" s="788">
        <v>3</v>
      </c>
      <c r="AA60" s="788">
        <v>2.5</v>
      </c>
      <c r="AB60" s="812">
        <v>10</v>
      </c>
      <c r="AC60" s="780">
        <v>10</v>
      </c>
    </row>
    <row r="61" spans="1:29" ht="15.75" customHeight="1">
      <c r="A61" s="728" t="s">
        <v>983</v>
      </c>
      <c r="B61" s="790" t="s">
        <v>293</v>
      </c>
      <c r="C61" s="815" t="s">
        <v>293</v>
      </c>
      <c r="D61" s="790" t="s">
        <v>293</v>
      </c>
      <c r="E61" s="815" t="s">
        <v>293</v>
      </c>
      <c r="F61" s="790" t="s">
        <v>293</v>
      </c>
      <c r="G61" s="815" t="s">
        <v>293</v>
      </c>
      <c r="H61" s="790" t="s">
        <v>293</v>
      </c>
      <c r="I61" s="790" t="s">
        <v>293</v>
      </c>
      <c r="J61" s="670" t="s">
        <v>293</v>
      </c>
      <c r="K61" s="815" t="s">
        <v>293</v>
      </c>
      <c r="L61" s="790" t="s">
        <v>293</v>
      </c>
      <c r="M61" s="790" t="s">
        <v>293</v>
      </c>
      <c r="N61" s="815" t="s">
        <v>293</v>
      </c>
      <c r="O61" s="790" t="s">
        <v>293</v>
      </c>
      <c r="P61" s="815" t="s">
        <v>293</v>
      </c>
      <c r="Q61" s="815" t="s">
        <v>293</v>
      </c>
      <c r="R61" s="815" t="s">
        <v>293</v>
      </c>
      <c r="S61" s="815" t="s">
        <v>293</v>
      </c>
      <c r="T61" s="815" t="s">
        <v>293</v>
      </c>
      <c r="U61" s="815" t="s">
        <v>293</v>
      </c>
      <c r="V61" s="815" t="s">
        <v>293</v>
      </c>
      <c r="W61" s="790" t="s">
        <v>293</v>
      </c>
      <c r="X61" s="815" t="s">
        <v>293</v>
      </c>
      <c r="Y61" s="815" t="s">
        <v>293</v>
      </c>
      <c r="Z61" s="790" t="s">
        <v>293</v>
      </c>
      <c r="AA61" s="815" t="s">
        <v>293</v>
      </c>
      <c r="AB61" s="815" t="s">
        <v>293</v>
      </c>
      <c r="AC61" s="790" t="s">
        <v>293</v>
      </c>
    </row>
    <row r="62" spans="1:29" ht="15.75" customHeight="1">
      <c r="A62" s="661" t="s">
        <v>626</v>
      </c>
      <c r="B62" s="780">
        <v>0.45</v>
      </c>
      <c r="C62" s="780">
        <v>0.45</v>
      </c>
      <c r="D62" s="670" t="s">
        <v>293</v>
      </c>
      <c r="E62" s="670" t="s">
        <v>293</v>
      </c>
      <c r="F62" s="670" t="s">
        <v>293</v>
      </c>
      <c r="G62" s="670" t="s">
        <v>293</v>
      </c>
      <c r="H62" s="670" t="s">
        <v>293</v>
      </c>
      <c r="I62" s="670" t="s">
        <v>293</v>
      </c>
      <c r="J62" s="670" t="s">
        <v>293</v>
      </c>
      <c r="K62" s="812">
        <v>0.25</v>
      </c>
      <c r="L62" s="780">
        <v>0.25</v>
      </c>
      <c r="M62" s="780">
        <v>0.25</v>
      </c>
      <c r="N62" s="670" t="s">
        <v>293</v>
      </c>
      <c r="O62" s="670" t="s">
        <v>293</v>
      </c>
      <c r="P62" s="812">
        <v>0</v>
      </c>
      <c r="Q62" s="812">
        <v>0</v>
      </c>
      <c r="R62" s="812">
        <v>0</v>
      </c>
      <c r="S62" s="815" t="s">
        <v>293</v>
      </c>
      <c r="T62" s="815" t="s">
        <v>293</v>
      </c>
      <c r="U62" s="815" t="s">
        <v>293</v>
      </c>
      <c r="V62" s="815" t="s">
        <v>293</v>
      </c>
      <c r="W62" s="815" t="s">
        <v>293</v>
      </c>
      <c r="X62" s="815" t="s">
        <v>293</v>
      </c>
      <c r="Y62" s="670" t="s">
        <v>293</v>
      </c>
      <c r="Z62" s="780">
        <v>0.25</v>
      </c>
      <c r="AA62" s="815" t="s">
        <v>293</v>
      </c>
      <c r="AB62" s="815" t="s">
        <v>293</v>
      </c>
      <c r="AC62" s="815" t="s">
        <v>293</v>
      </c>
    </row>
    <row r="63" spans="1:29" ht="15.75" customHeight="1">
      <c r="A63" s="661" t="s">
        <v>756</v>
      </c>
      <c r="B63" s="780" t="s">
        <v>1009</v>
      </c>
      <c r="C63" s="780" t="s">
        <v>1009</v>
      </c>
      <c r="D63" s="670" t="s">
        <v>293</v>
      </c>
      <c r="E63" s="670" t="s">
        <v>293</v>
      </c>
      <c r="F63" s="670" t="s">
        <v>293</v>
      </c>
      <c r="G63" s="670" t="s">
        <v>293</v>
      </c>
      <c r="H63" s="670" t="s">
        <v>293</v>
      </c>
      <c r="I63" s="670" t="s">
        <v>293</v>
      </c>
      <c r="J63" s="670" t="s">
        <v>293</v>
      </c>
      <c r="K63" s="812" t="s">
        <v>1007</v>
      </c>
      <c r="L63" s="812" t="s">
        <v>1007</v>
      </c>
      <c r="M63" s="812" t="s">
        <v>1007</v>
      </c>
      <c r="N63" s="670" t="s">
        <v>293</v>
      </c>
      <c r="O63" s="670" t="s">
        <v>293</v>
      </c>
      <c r="P63" s="812" t="s">
        <v>1008</v>
      </c>
      <c r="Q63" s="812" t="s">
        <v>1008</v>
      </c>
      <c r="R63" s="812" t="s">
        <v>1008</v>
      </c>
      <c r="S63" s="812" t="s">
        <v>1008</v>
      </c>
      <c r="T63" s="812" t="s">
        <v>1008</v>
      </c>
      <c r="U63" s="815" t="s">
        <v>293</v>
      </c>
      <c r="V63" s="815" t="s">
        <v>293</v>
      </c>
      <c r="W63" s="815" t="s">
        <v>293</v>
      </c>
      <c r="X63" s="815" t="s">
        <v>293</v>
      </c>
      <c r="Y63" s="670" t="s">
        <v>293</v>
      </c>
      <c r="Z63" s="812" t="s">
        <v>1007</v>
      </c>
      <c r="AA63" s="815" t="s">
        <v>293</v>
      </c>
      <c r="AB63" s="815" t="s">
        <v>293</v>
      </c>
      <c r="AC63" s="815" t="s">
        <v>293</v>
      </c>
    </row>
    <row r="64" spans="1:29" ht="15.75" customHeight="1">
      <c r="A64" s="661" t="s">
        <v>756</v>
      </c>
      <c r="B64" s="780" t="s">
        <v>1006</v>
      </c>
      <c r="C64" s="780" t="s">
        <v>1006</v>
      </c>
      <c r="D64" s="670" t="s">
        <v>293</v>
      </c>
      <c r="E64" s="670" t="s">
        <v>293</v>
      </c>
      <c r="F64" s="670" t="s">
        <v>293</v>
      </c>
      <c r="G64" s="670" t="s">
        <v>293</v>
      </c>
      <c r="H64" s="670" t="s">
        <v>293</v>
      </c>
      <c r="I64" s="670" t="s">
        <v>293</v>
      </c>
      <c r="J64" s="670" t="s">
        <v>293</v>
      </c>
      <c r="K64" s="812" t="s">
        <v>1005</v>
      </c>
      <c r="L64" s="812" t="s">
        <v>1005</v>
      </c>
      <c r="M64" s="812" t="s">
        <v>1005</v>
      </c>
      <c r="N64" s="670" t="s">
        <v>293</v>
      </c>
      <c r="O64" s="670" t="s">
        <v>293</v>
      </c>
      <c r="P64" s="815" t="s">
        <v>293</v>
      </c>
      <c r="Q64" s="815" t="s">
        <v>293</v>
      </c>
      <c r="R64" s="815" t="s">
        <v>293</v>
      </c>
      <c r="S64" s="815" t="s">
        <v>293</v>
      </c>
      <c r="T64" s="815" t="s">
        <v>293</v>
      </c>
      <c r="U64" s="815" t="s">
        <v>293</v>
      </c>
      <c r="V64" s="815" t="s">
        <v>293</v>
      </c>
      <c r="W64" s="815" t="s">
        <v>293</v>
      </c>
      <c r="X64" s="815" t="s">
        <v>293</v>
      </c>
      <c r="Y64" s="670" t="s">
        <v>293</v>
      </c>
      <c r="Z64" s="812" t="s">
        <v>1005</v>
      </c>
      <c r="AA64" s="815" t="s">
        <v>293</v>
      </c>
      <c r="AB64" s="815" t="s">
        <v>293</v>
      </c>
      <c r="AC64" s="815" t="s">
        <v>293</v>
      </c>
    </row>
    <row r="65" spans="1:29" ht="15.75" customHeight="1">
      <c r="A65" s="661" t="s">
        <v>628</v>
      </c>
      <c r="B65" s="780">
        <v>2.5</v>
      </c>
      <c r="C65" s="780">
        <v>2.5</v>
      </c>
      <c r="D65" s="670" t="s">
        <v>293</v>
      </c>
      <c r="E65" s="670" t="s">
        <v>293</v>
      </c>
      <c r="F65" s="670" t="s">
        <v>293</v>
      </c>
      <c r="G65" s="670" t="s">
        <v>293</v>
      </c>
      <c r="H65" s="670" t="s">
        <v>293</v>
      </c>
      <c r="I65" s="670" t="s">
        <v>293</v>
      </c>
      <c r="J65" s="670" t="s">
        <v>293</v>
      </c>
      <c r="K65" s="820">
        <v>45325</v>
      </c>
      <c r="L65" s="820">
        <v>45325</v>
      </c>
      <c r="M65" s="820">
        <v>45325</v>
      </c>
      <c r="N65" s="670" t="s">
        <v>293</v>
      </c>
      <c r="O65" s="670" t="s">
        <v>293</v>
      </c>
      <c r="P65" s="812">
        <v>1.5</v>
      </c>
      <c r="Q65" s="812">
        <v>1.5</v>
      </c>
      <c r="R65" s="812">
        <v>1.5</v>
      </c>
      <c r="S65" s="812">
        <v>1.5</v>
      </c>
      <c r="T65" s="812">
        <v>1.5</v>
      </c>
      <c r="U65" s="815" t="s">
        <v>293</v>
      </c>
      <c r="V65" s="815" t="s">
        <v>293</v>
      </c>
      <c r="W65" s="815" t="s">
        <v>293</v>
      </c>
      <c r="X65" s="815" t="s">
        <v>293</v>
      </c>
      <c r="Y65" s="670" t="s">
        <v>293</v>
      </c>
      <c r="Z65" s="820">
        <v>45325</v>
      </c>
      <c r="AA65" s="815" t="s">
        <v>293</v>
      </c>
      <c r="AB65" s="815" t="s">
        <v>293</v>
      </c>
      <c r="AC65" s="815" t="s">
        <v>293</v>
      </c>
    </row>
    <row r="66" spans="1:29" ht="15.75" customHeight="1">
      <c r="A66" s="728" t="s">
        <v>633</v>
      </c>
      <c r="B66" s="668" t="s">
        <v>328</v>
      </c>
      <c r="C66" s="668" t="s">
        <v>328</v>
      </c>
      <c r="D66" s="668" t="s">
        <v>324</v>
      </c>
      <c r="E66" s="668" t="s">
        <v>324</v>
      </c>
      <c r="F66" s="668" t="s">
        <v>324</v>
      </c>
      <c r="G66" s="668" t="s">
        <v>324</v>
      </c>
      <c r="H66" s="668" t="s">
        <v>324</v>
      </c>
      <c r="I66" s="668" t="s">
        <v>324</v>
      </c>
      <c r="J66" s="668" t="s">
        <v>324</v>
      </c>
      <c r="K66" s="668" t="s">
        <v>328</v>
      </c>
      <c r="L66" s="668" t="s">
        <v>328</v>
      </c>
      <c r="M66" s="668" t="s">
        <v>328</v>
      </c>
      <c r="N66" s="668" t="s">
        <v>324</v>
      </c>
      <c r="O66" s="668" t="s">
        <v>324</v>
      </c>
      <c r="P66" s="668" t="s">
        <v>328</v>
      </c>
      <c r="Q66" s="668" t="s">
        <v>328</v>
      </c>
      <c r="R66" s="668" t="s">
        <v>328</v>
      </c>
      <c r="S66" s="668" t="s">
        <v>328</v>
      </c>
      <c r="T66" s="668" t="s">
        <v>328</v>
      </c>
      <c r="U66" s="668" t="s">
        <v>324</v>
      </c>
      <c r="V66" s="668" t="s">
        <v>328</v>
      </c>
      <c r="W66" s="668" t="s">
        <v>328</v>
      </c>
      <c r="X66" s="668" t="s">
        <v>328</v>
      </c>
      <c r="Y66" s="668" t="s">
        <v>324</v>
      </c>
      <c r="Z66" s="668" t="s">
        <v>328</v>
      </c>
      <c r="AA66" s="668" t="s">
        <v>324</v>
      </c>
      <c r="AB66" s="668" t="s">
        <v>324</v>
      </c>
      <c r="AC66" s="668" t="s">
        <v>324</v>
      </c>
    </row>
    <row r="67" spans="1:29" ht="15.75" customHeight="1">
      <c r="A67" s="728" t="s">
        <v>1004</v>
      </c>
      <c r="B67" s="662" t="s">
        <v>1003</v>
      </c>
      <c r="C67" s="662" t="s">
        <v>1003</v>
      </c>
      <c r="D67" s="670" t="s">
        <v>293</v>
      </c>
      <c r="E67" s="670" t="s">
        <v>293</v>
      </c>
      <c r="F67" s="670" t="s">
        <v>293</v>
      </c>
      <c r="G67" s="670" t="s">
        <v>293</v>
      </c>
      <c r="H67" s="670" t="s">
        <v>293</v>
      </c>
      <c r="I67" s="670" t="s">
        <v>293</v>
      </c>
      <c r="J67" s="670" t="s">
        <v>293</v>
      </c>
      <c r="K67" s="662" t="s">
        <v>1000</v>
      </c>
      <c r="L67" s="662" t="s">
        <v>1000</v>
      </c>
      <c r="M67" s="662" t="s">
        <v>1000</v>
      </c>
      <c r="N67" s="670" t="s">
        <v>293</v>
      </c>
      <c r="O67" s="670" t="s">
        <v>293</v>
      </c>
      <c r="P67" s="662" t="s">
        <v>1002</v>
      </c>
      <c r="Q67" s="662" t="s">
        <v>1002</v>
      </c>
      <c r="R67" s="662" t="s">
        <v>1002</v>
      </c>
      <c r="S67" s="662" t="s">
        <v>1002</v>
      </c>
      <c r="T67" s="662" t="s">
        <v>1002</v>
      </c>
      <c r="U67" s="668" t="s">
        <v>293</v>
      </c>
      <c r="V67" s="662" t="s">
        <v>1001</v>
      </c>
      <c r="W67" s="662" t="s">
        <v>1001</v>
      </c>
      <c r="X67" s="662" t="s">
        <v>1001</v>
      </c>
      <c r="Y67" s="670" t="s">
        <v>293</v>
      </c>
      <c r="Z67" s="662" t="s">
        <v>1000</v>
      </c>
      <c r="AA67" s="668" t="s">
        <v>293</v>
      </c>
      <c r="AB67" s="668" t="s">
        <v>293</v>
      </c>
      <c r="AC67" s="668" t="s">
        <v>293</v>
      </c>
    </row>
    <row r="68" spans="1:29" ht="84.75" customHeight="1">
      <c r="A68" s="722" t="s">
        <v>635</v>
      </c>
      <c r="B68" s="788"/>
      <c r="C68" s="776"/>
      <c r="D68" s="788"/>
      <c r="E68" s="776"/>
      <c r="F68" s="788"/>
      <c r="G68" s="776"/>
      <c r="H68" s="788"/>
      <c r="I68" s="788" t="s">
        <v>999</v>
      </c>
      <c r="J68" s="670"/>
      <c r="K68" s="728"/>
      <c r="L68" s="788"/>
      <c r="M68" s="788"/>
      <c r="N68" s="776"/>
      <c r="O68" s="788"/>
      <c r="P68" s="815"/>
      <c r="Q68" s="815"/>
      <c r="R68" s="815"/>
      <c r="S68" s="815"/>
      <c r="T68" s="815" t="s">
        <v>998</v>
      </c>
      <c r="U68" s="815"/>
      <c r="V68" s="815"/>
      <c r="W68" s="790"/>
      <c r="X68" s="815"/>
      <c r="Y68" s="728"/>
      <c r="Z68" s="776" t="s">
        <v>997</v>
      </c>
      <c r="AA68" s="776"/>
      <c r="AB68" s="776" t="s">
        <v>996</v>
      </c>
      <c r="AC68" s="776" t="s">
        <v>995</v>
      </c>
    </row>
    <row r="69" spans="1:29" ht="15.75" customHeight="1">
      <c r="A69" s="728"/>
      <c r="B69" s="788"/>
      <c r="C69" s="776"/>
      <c r="D69" s="788"/>
      <c r="E69" s="776"/>
      <c r="F69" s="788"/>
      <c r="G69" s="776"/>
      <c r="H69" s="788"/>
      <c r="I69" s="788"/>
      <c r="J69" s="762"/>
      <c r="K69" s="783"/>
      <c r="L69" s="788"/>
      <c r="M69" s="788"/>
      <c r="N69" s="776"/>
      <c r="O69" s="788"/>
      <c r="P69" s="776"/>
      <c r="Q69" s="776"/>
      <c r="R69" s="776"/>
      <c r="S69" s="776"/>
      <c r="T69" s="776"/>
      <c r="U69" s="776"/>
      <c r="V69" s="776"/>
      <c r="W69" s="788"/>
      <c r="X69" s="776"/>
      <c r="Y69" s="728"/>
      <c r="Z69" s="776"/>
      <c r="AA69" s="776"/>
      <c r="AB69" s="776"/>
      <c r="AC69" s="776"/>
    </row>
    <row r="70" spans="1:29" ht="12.75">
      <c r="A70" s="728"/>
      <c r="B70" s="774"/>
      <c r="C70" s="682"/>
      <c r="D70" s="788"/>
      <c r="E70" s="682"/>
      <c r="F70" s="788"/>
      <c r="G70" s="682"/>
      <c r="H70" s="774"/>
      <c r="I70" s="774"/>
      <c r="J70" s="728"/>
      <c r="K70" s="728"/>
      <c r="L70" s="788"/>
      <c r="M70" s="788"/>
      <c r="N70" s="776"/>
      <c r="O70" s="788"/>
      <c r="P70" s="776"/>
      <c r="Q70" s="776"/>
      <c r="R70" s="776"/>
      <c r="S70" s="776"/>
      <c r="T70" s="776"/>
      <c r="U70" s="776"/>
      <c r="V70" s="776"/>
      <c r="W70" s="788"/>
      <c r="X70" s="776"/>
      <c r="Y70" s="728"/>
      <c r="Z70" s="776"/>
      <c r="AA70" s="776"/>
      <c r="AB70" s="776"/>
      <c r="AC70" s="776"/>
    </row>
    <row r="71" spans="1:29" ht="12.75">
      <c r="A71" s="728"/>
      <c r="B71" s="774"/>
      <c r="C71" s="682"/>
      <c r="D71" s="788"/>
      <c r="E71" s="682"/>
      <c r="F71" s="788"/>
      <c r="G71" s="682"/>
      <c r="H71" s="774"/>
      <c r="I71" s="774"/>
      <c r="J71" s="728"/>
      <c r="K71" s="728"/>
      <c r="L71" s="788"/>
      <c r="M71" s="788"/>
      <c r="N71" s="776"/>
      <c r="O71" s="788"/>
      <c r="P71" s="776"/>
      <c r="Q71" s="776"/>
      <c r="R71" s="776"/>
      <c r="S71" s="776"/>
      <c r="T71" s="776"/>
      <c r="U71" s="776"/>
      <c r="V71" s="776"/>
      <c r="W71" s="788"/>
      <c r="X71" s="776"/>
      <c r="Y71" s="728"/>
      <c r="Z71" s="776"/>
      <c r="AA71" s="776"/>
      <c r="AB71" s="776"/>
      <c r="AC71" s="776"/>
    </row>
    <row r="72" spans="1:29" ht="12.75">
      <c r="A72" s="728"/>
      <c r="B72" s="774"/>
      <c r="C72" s="682"/>
      <c r="D72" s="788"/>
      <c r="E72" s="682"/>
      <c r="F72" s="788"/>
      <c r="G72" s="682"/>
      <c r="H72" s="774"/>
      <c r="I72" s="774"/>
      <c r="J72" s="728"/>
      <c r="K72" s="728"/>
      <c r="L72" s="788"/>
      <c r="M72" s="788"/>
      <c r="N72" s="776"/>
      <c r="O72" s="788"/>
      <c r="P72" s="776"/>
      <c r="Q72" s="776"/>
      <c r="R72" s="776"/>
      <c r="S72" s="776"/>
      <c r="T72" s="776"/>
      <c r="U72" s="776"/>
      <c r="V72" s="776"/>
      <c r="W72" s="788"/>
      <c r="X72" s="776"/>
      <c r="Y72" s="728"/>
      <c r="Z72" s="776"/>
      <c r="AA72" s="776"/>
      <c r="AB72" s="776"/>
      <c r="AC72" s="776"/>
    </row>
    <row r="73" spans="1:29" ht="12.75">
      <c r="A73" s="728"/>
      <c r="B73" s="774"/>
      <c r="C73" s="682"/>
      <c r="D73" s="788"/>
      <c r="E73" s="682"/>
      <c r="F73" s="788"/>
      <c r="G73" s="682"/>
      <c r="H73" s="774"/>
      <c r="I73" s="774"/>
      <c r="J73" s="728"/>
      <c r="K73" s="728"/>
      <c r="L73" s="788"/>
      <c r="M73" s="788"/>
      <c r="N73" s="776"/>
      <c r="O73" s="788"/>
      <c r="P73" s="776"/>
      <c r="Q73" s="776"/>
      <c r="R73" s="776"/>
      <c r="S73" s="776"/>
      <c r="T73" s="776"/>
      <c r="U73" s="776"/>
      <c r="V73" s="776"/>
      <c r="W73" s="788"/>
      <c r="X73" s="776"/>
      <c r="Y73" s="728"/>
      <c r="Z73" s="776"/>
      <c r="AA73" s="776"/>
      <c r="AB73" s="776"/>
      <c r="AC73" s="776"/>
    </row>
    <row r="74" spans="1:29" ht="12.75">
      <c r="A74" s="728"/>
      <c r="B74" s="774"/>
      <c r="C74" s="682"/>
      <c r="D74" s="788"/>
      <c r="E74" s="682"/>
      <c r="F74" s="788"/>
      <c r="G74" s="682"/>
      <c r="H74" s="774"/>
      <c r="I74" s="774"/>
      <c r="J74" s="661"/>
      <c r="K74" s="728"/>
      <c r="L74" s="788"/>
      <c r="M74" s="788"/>
      <c r="N74" s="776"/>
      <c r="O74" s="788"/>
      <c r="P74" s="776"/>
      <c r="Q74" s="776"/>
      <c r="R74" s="776"/>
      <c r="S74" s="776"/>
      <c r="T74" s="776"/>
      <c r="U74" s="776"/>
      <c r="V74" s="776"/>
      <c r="W74" s="788"/>
      <c r="X74" s="776"/>
      <c r="Y74" s="728"/>
      <c r="Z74" s="776"/>
      <c r="AA74" s="776"/>
      <c r="AB74" s="776"/>
      <c r="AC74" s="776"/>
    </row>
    <row r="75" spans="1:29" ht="12.75">
      <c r="A75" s="728"/>
      <c r="B75" s="774"/>
      <c r="C75" s="682"/>
      <c r="D75" s="788"/>
      <c r="E75" s="682"/>
      <c r="F75" s="788"/>
      <c r="G75" s="682"/>
      <c r="H75" s="774"/>
      <c r="I75" s="774"/>
      <c r="J75" s="661"/>
      <c r="K75" s="728"/>
      <c r="L75" s="788"/>
      <c r="M75" s="788"/>
      <c r="N75" s="776"/>
      <c r="O75" s="788"/>
      <c r="P75" s="776"/>
      <c r="Q75" s="776"/>
      <c r="R75" s="776"/>
      <c r="S75" s="776"/>
      <c r="T75" s="776"/>
      <c r="U75" s="776"/>
      <c r="V75" s="776"/>
      <c r="W75" s="788"/>
      <c r="X75" s="776"/>
      <c r="Y75" s="728"/>
      <c r="Z75" s="776"/>
      <c r="AA75" s="776"/>
      <c r="AB75" s="776"/>
      <c r="AC75" s="776"/>
    </row>
    <row r="76" spans="1:29" ht="12.75">
      <c r="A76" s="728"/>
      <c r="B76" s="711"/>
      <c r="C76" s="728"/>
      <c r="D76" s="711"/>
      <c r="E76" s="728"/>
      <c r="F76" s="711"/>
      <c r="G76" s="728"/>
      <c r="H76" s="711"/>
      <c r="I76" s="711"/>
      <c r="J76" s="661"/>
      <c r="K76" s="728"/>
      <c r="L76" s="711"/>
      <c r="M76" s="711"/>
      <c r="N76" s="728"/>
      <c r="O76" s="711"/>
      <c r="P76" s="776"/>
      <c r="Q76" s="776"/>
      <c r="R76" s="776"/>
      <c r="S76" s="776"/>
      <c r="T76" s="776"/>
      <c r="U76" s="776"/>
      <c r="V76" s="776"/>
      <c r="W76" s="788"/>
      <c r="X76" s="776"/>
      <c r="Y76" s="728"/>
      <c r="Z76" s="728"/>
      <c r="AA76" s="728"/>
      <c r="AB76" s="728"/>
      <c r="AC76" s="728"/>
    </row>
    <row r="77" spans="1:29" ht="12.75">
      <c r="A77" s="728"/>
      <c r="B77" s="711"/>
      <c r="C77" s="728"/>
      <c r="D77" s="711"/>
      <c r="E77" s="728"/>
      <c r="F77" s="711"/>
      <c r="G77" s="728"/>
      <c r="H77" s="711"/>
      <c r="I77" s="711"/>
      <c r="J77" s="661"/>
      <c r="K77" s="728"/>
      <c r="L77" s="711"/>
      <c r="M77" s="711"/>
      <c r="N77" s="728"/>
      <c r="O77" s="711"/>
      <c r="P77" s="776"/>
      <c r="Q77" s="776"/>
      <c r="R77" s="776"/>
      <c r="S77" s="776"/>
      <c r="T77" s="776"/>
      <c r="U77" s="776"/>
      <c r="V77" s="776"/>
      <c r="W77" s="788"/>
      <c r="X77" s="776"/>
      <c r="Y77" s="728"/>
      <c r="Z77" s="728"/>
      <c r="AA77" s="728"/>
      <c r="AB77" s="728"/>
      <c r="AC77" s="728"/>
    </row>
    <row r="78" spans="1:29" ht="12.75">
      <c r="A78" s="728"/>
      <c r="B78" s="711"/>
      <c r="C78" s="728"/>
      <c r="D78" s="711"/>
      <c r="E78" s="728"/>
      <c r="F78" s="711"/>
      <c r="G78" s="728"/>
      <c r="H78" s="711"/>
      <c r="I78" s="711"/>
      <c r="J78" s="661"/>
      <c r="K78" s="728"/>
      <c r="L78" s="711"/>
      <c r="M78" s="711"/>
      <c r="N78" s="728"/>
      <c r="O78" s="711"/>
      <c r="P78" s="776"/>
      <c r="Q78" s="776"/>
      <c r="R78" s="776"/>
      <c r="S78" s="776"/>
      <c r="T78" s="776"/>
      <c r="U78" s="776"/>
      <c r="V78" s="776"/>
      <c r="W78" s="788"/>
      <c r="X78" s="776"/>
      <c r="Y78" s="728"/>
      <c r="Z78" s="728"/>
      <c r="AA78" s="728"/>
      <c r="AB78" s="728"/>
      <c r="AC78" s="728"/>
    </row>
    <row r="79" spans="1:29" ht="12.75">
      <c r="A79" s="728"/>
      <c r="B79" s="711"/>
      <c r="C79" s="728"/>
      <c r="D79" s="711"/>
      <c r="E79" s="728"/>
      <c r="F79" s="711"/>
      <c r="G79" s="728"/>
      <c r="H79" s="711"/>
      <c r="I79" s="711"/>
      <c r="J79" s="661"/>
      <c r="K79" s="728"/>
      <c r="L79" s="711"/>
      <c r="M79" s="711"/>
      <c r="N79" s="728"/>
      <c r="O79" s="711"/>
      <c r="P79" s="728"/>
      <c r="Q79" s="728"/>
      <c r="R79" s="728"/>
      <c r="S79" s="728"/>
      <c r="T79" s="728"/>
      <c r="U79" s="728"/>
      <c r="V79" s="728"/>
      <c r="W79" s="711"/>
      <c r="X79" s="728"/>
      <c r="Y79" s="728"/>
      <c r="Z79" s="728"/>
      <c r="AA79" s="728"/>
      <c r="AB79" s="728"/>
      <c r="AC79" s="728"/>
    </row>
  </sheetData>
  <conditionalFormatting sqref="A1:AC1 A3:AC7 A9:AC19 A21:AC31 A33:AC46 A48:AC79">
    <cfRule type="expression" dxfId="48" priority="1">
      <formula>ISEVEN(COLUMN())</formula>
    </cfRule>
    <cfRule type="expression" dxfId="47" priority="2">
      <formula>ISODD(COLUMN())</formula>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E28F-0154-4EA4-BEF4-DD1039991511}">
  <sheetPr>
    <tabColor rgb="FF5B0F00"/>
    <outlinePr summaryBelow="0" summaryRight="0"/>
  </sheetPr>
  <dimension ref="A1:I61"/>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9" width="16.7109375" customWidth="1"/>
  </cols>
  <sheetData>
    <row r="1" spans="1:9" ht="35.25" customHeight="1">
      <c r="A1" s="811" t="s">
        <v>551</v>
      </c>
      <c r="B1" s="653" t="s">
        <v>1047</v>
      </c>
      <c r="C1" s="653" t="s">
        <v>1046</v>
      </c>
      <c r="D1" s="653" t="s">
        <v>1045</v>
      </c>
      <c r="E1" s="655" t="s">
        <v>1044</v>
      </c>
      <c r="F1" s="653" t="s">
        <v>1043</v>
      </c>
      <c r="G1" s="653" t="s">
        <v>1042</v>
      </c>
      <c r="H1" s="653" t="s">
        <v>1041</v>
      </c>
      <c r="I1" s="653" t="s">
        <v>1040</v>
      </c>
    </row>
    <row r="2" spans="1:9" ht="53.25" customHeight="1">
      <c r="A2" s="810" t="s">
        <v>562</v>
      </c>
      <c r="B2" s="660"/>
      <c r="C2" s="660"/>
      <c r="D2" s="660"/>
      <c r="E2" s="660"/>
      <c r="F2" s="660"/>
      <c r="G2" s="660"/>
      <c r="H2" s="660"/>
      <c r="I2" s="660"/>
    </row>
    <row r="3" spans="1:9" ht="15.75" customHeight="1">
      <c r="A3" s="728" t="s">
        <v>563</v>
      </c>
      <c r="B3" s="662">
        <v>259</v>
      </c>
      <c r="C3" s="662">
        <v>810</v>
      </c>
      <c r="D3" s="711">
        <v>143.80000000000001</v>
      </c>
      <c r="E3" s="664">
        <v>520</v>
      </c>
      <c r="F3" s="711">
        <v>289</v>
      </c>
      <c r="G3" s="711">
        <v>297</v>
      </c>
      <c r="H3" s="662">
        <v>680</v>
      </c>
      <c r="I3" s="711">
        <v>305</v>
      </c>
    </row>
    <row r="4" spans="1:9" ht="15.75" customHeight="1">
      <c r="A4" s="728" t="s">
        <v>564</v>
      </c>
      <c r="B4" s="662">
        <v>204</v>
      </c>
      <c r="C4" s="662">
        <v>647</v>
      </c>
      <c r="D4" s="662">
        <v>118.8</v>
      </c>
      <c r="E4" s="664">
        <v>463</v>
      </c>
      <c r="F4" s="662">
        <v>225.5</v>
      </c>
      <c r="G4" s="662">
        <v>266</v>
      </c>
      <c r="H4" s="662">
        <v>585</v>
      </c>
      <c r="I4" s="662">
        <v>267.25</v>
      </c>
    </row>
    <row r="5" spans="1:9" ht="15.75" customHeight="1">
      <c r="A5" s="728" t="s">
        <v>565</v>
      </c>
      <c r="B5" s="719" t="s">
        <v>293</v>
      </c>
      <c r="C5" s="719" t="s">
        <v>293</v>
      </c>
      <c r="D5" s="662">
        <v>107.8</v>
      </c>
      <c r="E5" s="664">
        <v>393</v>
      </c>
      <c r="F5" s="719" t="s">
        <v>293</v>
      </c>
      <c r="G5" s="662">
        <v>214.5</v>
      </c>
      <c r="H5" s="719" t="s">
        <v>293</v>
      </c>
      <c r="I5" s="662">
        <v>240.5</v>
      </c>
    </row>
    <row r="6" spans="1:9" ht="15.75" customHeight="1">
      <c r="A6" s="728" t="s">
        <v>566</v>
      </c>
      <c r="B6" s="662">
        <v>298</v>
      </c>
      <c r="C6" s="662">
        <v>460</v>
      </c>
      <c r="D6" s="711">
        <v>250</v>
      </c>
      <c r="E6" s="664">
        <v>342</v>
      </c>
      <c r="F6" s="711">
        <v>275</v>
      </c>
      <c r="G6" s="711">
        <v>275</v>
      </c>
      <c r="H6" s="662">
        <v>570</v>
      </c>
      <c r="I6" s="711">
        <v>300</v>
      </c>
    </row>
    <row r="7" spans="1:9" ht="15.75" customHeight="1">
      <c r="A7" s="728" t="s">
        <v>567</v>
      </c>
      <c r="B7" s="662">
        <v>3.12</v>
      </c>
      <c r="C7" s="662">
        <v>4.1399999999999997</v>
      </c>
      <c r="D7" s="711">
        <v>3.12</v>
      </c>
      <c r="E7" s="664">
        <v>3.8849999999999998</v>
      </c>
      <c r="F7" s="711">
        <v>3.49</v>
      </c>
      <c r="G7" s="711">
        <v>3.75</v>
      </c>
      <c r="H7" s="662">
        <v>4.09</v>
      </c>
      <c r="I7" s="711">
        <v>3.6360000000000001</v>
      </c>
    </row>
    <row r="8" spans="1:9" ht="20.25" customHeight="1">
      <c r="A8" s="809" t="s">
        <v>568</v>
      </c>
      <c r="B8" s="673"/>
      <c r="C8" s="673"/>
      <c r="D8" s="824"/>
      <c r="E8" s="673"/>
      <c r="F8" s="824"/>
      <c r="G8" s="824"/>
      <c r="H8" s="673"/>
      <c r="I8" s="824"/>
    </row>
    <row r="9" spans="1:9" ht="15.75" customHeight="1">
      <c r="A9" s="728" t="s">
        <v>569</v>
      </c>
      <c r="B9" s="688">
        <v>53400</v>
      </c>
      <c r="C9" s="688">
        <v>147000</v>
      </c>
      <c r="D9" s="711">
        <v>28000</v>
      </c>
      <c r="E9" s="786">
        <v>58425</v>
      </c>
      <c r="F9" s="711">
        <v>24700</v>
      </c>
      <c r="G9" s="711">
        <v>32550</v>
      </c>
      <c r="H9" s="688">
        <v>2510</v>
      </c>
      <c r="I9" s="711">
        <v>17350</v>
      </c>
    </row>
    <row r="10" spans="1:9" ht="16.5" customHeight="1">
      <c r="A10" s="728" t="s">
        <v>570</v>
      </c>
      <c r="B10" s="662">
        <v>2.04</v>
      </c>
      <c r="C10" s="662">
        <v>2.25</v>
      </c>
      <c r="D10" s="711">
        <v>1.8</v>
      </c>
      <c r="E10" s="664">
        <v>2</v>
      </c>
      <c r="F10" s="711">
        <v>4.9000000000000004</v>
      </c>
      <c r="G10" s="711">
        <v>2</v>
      </c>
      <c r="H10" s="662">
        <v>75</v>
      </c>
      <c r="I10" s="711">
        <v>4.9000000000000004</v>
      </c>
    </row>
    <row r="11" spans="1:9" ht="15.75" customHeight="1">
      <c r="A11" s="728" t="str">
        <f>"Raw acceleration at ignition: [m/s"&amp;CHAR(178)&amp;"]"</f>
        <v>Raw acceleration at ignition: [m/s²]</v>
      </c>
      <c r="B11" s="676">
        <f t="shared" ref="B11:I11" si="0">B9/B3</f>
        <v>206.17760617760618</v>
      </c>
      <c r="C11" s="676">
        <f t="shared" si="0"/>
        <v>181.4814814814815</v>
      </c>
      <c r="D11" s="676">
        <f t="shared" si="0"/>
        <v>194.71488178025032</v>
      </c>
      <c r="E11" s="679">
        <f t="shared" si="0"/>
        <v>112.35576923076923</v>
      </c>
      <c r="F11" s="676">
        <f t="shared" si="0"/>
        <v>85.467128027681667</v>
      </c>
      <c r="G11" s="676">
        <f t="shared" si="0"/>
        <v>109.5959595959596</v>
      </c>
      <c r="H11" s="676">
        <f t="shared" si="0"/>
        <v>3.6911764705882355</v>
      </c>
      <c r="I11" s="676">
        <f t="shared" si="0"/>
        <v>56.885245901639344</v>
      </c>
    </row>
    <row r="12" spans="1:9" ht="15.75" customHeight="1">
      <c r="A12" s="728" t="s">
        <v>571</v>
      </c>
      <c r="B12" s="676">
        <f t="shared" ref="B12:I12" si="1">B10*B9/(9.81*(B3-B4))</f>
        <v>201.90158465387822</v>
      </c>
      <c r="C12" s="676">
        <f t="shared" si="1"/>
        <v>206.84414926549221</v>
      </c>
      <c r="D12" s="676">
        <f t="shared" si="1"/>
        <v>205.50458715596318</v>
      </c>
      <c r="E12" s="679">
        <f t="shared" si="1"/>
        <v>208.97043832823647</v>
      </c>
      <c r="F12" s="676">
        <f t="shared" si="1"/>
        <v>194.28993394174353</v>
      </c>
      <c r="G12" s="676">
        <f t="shared" si="1"/>
        <v>214.06727828746176</v>
      </c>
      <c r="H12" s="676">
        <f t="shared" si="1"/>
        <v>201.99581522613875</v>
      </c>
      <c r="I12" s="676">
        <f t="shared" si="1"/>
        <v>229.56707238862896</v>
      </c>
    </row>
    <row r="13" spans="1:9" ht="15.75" customHeight="1">
      <c r="A13" s="661" t="s">
        <v>572</v>
      </c>
      <c r="B13" s="678">
        <f t="shared" ref="B13:I13" si="2">B12*9.81*LN(B3/B4)</f>
        <v>472.79821963431419</v>
      </c>
      <c r="C13" s="678">
        <f t="shared" si="2"/>
        <v>455.92356140807914</v>
      </c>
      <c r="D13" s="678">
        <f t="shared" si="2"/>
        <v>385.01978933053812</v>
      </c>
      <c r="E13" s="678">
        <f t="shared" si="2"/>
        <v>238.00860285293976</v>
      </c>
      <c r="F13" s="678">
        <f t="shared" si="2"/>
        <v>472.88713740801069</v>
      </c>
      <c r="G13" s="678">
        <f t="shared" si="2"/>
        <v>231.49524304410127</v>
      </c>
      <c r="H13" s="678">
        <f t="shared" si="2"/>
        <v>298.1898843593076</v>
      </c>
      <c r="I13" s="678">
        <f t="shared" si="2"/>
        <v>297.55751465145369</v>
      </c>
    </row>
    <row r="14" spans="1:9" ht="15.75" customHeight="1">
      <c r="A14" s="728" t="s">
        <v>573</v>
      </c>
      <c r="B14" s="719" t="s">
        <v>293</v>
      </c>
      <c r="C14" s="719" t="s">
        <v>293</v>
      </c>
      <c r="D14" s="719" t="s">
        <v>293</v>
      </c>
      <c r="E14" s="719" t="s">
        <v>293</v>
      </c>
      <c r="F14" s="719" t="s">
        <v>293</v>
      </c>
      <c r="G14" s="719" t="s">
        <v>293</v>
      </c>
      <c r="H14" s="678">
        <v>0.75</v>
      </c>
      <c r="I14" s="807">
        <v>0.1</v>
      </c>
    </row>
    <row r="15" spans="1:9" ht="16.5" customHeight="1">
      <c r="A15" s="776" t="s">
        <v>574</v>
      </c>
      <c r="B15" s="719" t="s">
        <v>293</v>
      </c>
      <c r="C15" s="719" t="s">
        <v>293</v>
      </c>
      <c r="D15" s="780">
        <v>1480</v>
      </c>
      <c r="E15" s="688">
        <v>6525</v>
      </c>
      <c r="F15" s="719" t="s">
        <v>293</v>
      </c>
      <c r="G15" s="780">
        <v>17300</v>
      </c>
      <c r="H15" s="719" t="s">
        <v>293</v>
      </c>
      <c r="I15" s="780">
        <v>7535</v>
      </c>
    </row>
    <row r="16" spans="1:9" ht="18" customHeight="1">
      <c r="A16" s="776" t="s">
        <v>575</v>
      </c>
      <c r="B16" s="668" t="s">
        <v>293</v>
      </c>
      <c r="C16" s="668" t="s">
        <v>293</v>
      </c>
      <c r="D16" s="780">
        <v>14.5</v>
      </c>
      <c r="E16" s="662">
        <v>22</v>
      </c>
      <c r="F16" s="668" t="s">
        <v>293</v>
      </c>
      <c r="G16" s="780">
        <v>6.25</v>
      </c>
      <c r="H16" s="668" t="s">
        <v>293</v>
      </c>
      <c r="I16" s="780">
        <v>8</v>
      </c>
    </row>
    <row r="17" spans="1:9" ht="18" customHeight="1">
      <c r="A17" s="728" t="s">
        <v>576</v>
      </c>
      <c r="B17" s="668" t="s">
        <v>293</v>
      </c>
      <c r="C17" s="668" t="s">
        <v>293</v>
      </c>
      <c r="D17" s="777">
        <f>D16*D15/(9.81*(D4-D5))</f>
        <v>198.86942822722636</v>
      </c>
      <c r="E17" s="777">
        <f>E16*E15/(9.81*(E4-E5))</f>
        <v>209.04325032765399</v>
      </c>
      <c r="F17" s="668" t="s">
        <v>293</v>
      </c>
      <c r="G17" s="777">
        <f>G16*G15/(9.81*(G4-G5))</f>
        <v>214.01779440436249</v>
      </c>
      <c r="H17" s="668" t="s">
        <v>293</v>
      </c>
      <c r="I17" s="777">
        <f>I16*I15/(9.81*(I4-I5))</f>
        <v>229.71028990063542</v>
      </c>
    </row>
    <row r="18" spans="1:9" ht="18" customHeight="1">
      <c r="A18" s="728" t="s">
        <v>577</v>
      </c>
      <c r="B18" s="668" t="s">
        <v>293</v>
      </c>
      <c r="C18" s="668" t="s">
        <v>293</v>
      </c>
      <c r="D18" s="777">
        <f>D17*9.81*LN(D4/D5)</f>
        <v>189.55764016502576</v>
      </c>
      <c r="E18" s="777">
        <f>E17*9.81*LN(E4/E5)</f>
        <v>336.14784043209204</v>
      </c>
      <c r="F18" s="668" t="s">
        <v>293</v>
      </c>
      <c r="G18" s="777">
        <f>G17*9.81*LN(G4/G5)</f>
        <v>451.78733836841678</v>
      </c>
      <c r="H18" s="668" t="s">
        <v>293</v>
      </c>
      <c r="I18" s="777">
        <f>I17*9.81*LN(I4/I5)</f>
        <v>237.65972599853959</v>
      </c>
    </row>
    <row r="19" spans="1:9" ht="18" customHeight="1">
      <c r="A19" s="728" t="s">
        <v>578</v>
      </c>
      <c r="B19" s="692">
        <f t="shared" ref="B19:I19" si="3">IF(ISNUMBER(B18),B13+B18,B13)</f>
        <v>472.79821963431419</v>
      </c>
      <c r="C19" s="692">
        <f t="shared" si="3"/>
        <v>455.92356140807914</v>
      </c>
      <c r="D19" s="692">
        <f t="shared" si="3"/>
        <v>574.57742949556382</v>
      </c>
      <c r="E19" s="692">
        <f t="shared" si="3"/>
        <v>574.15644328503186</v>
      </c>
      <c r="F19" s="692">
        <f t="shared" si="3"/>
        <v>472.88713740801069</v>
      </c>
      <c r="G19" s="692">
        <f t="shared" si="3"/>
        <v>683.28258141251808</v>
      </c>
      <c r="H19" s="692">
        <f t="shared" si="3"/>
        <v>298.1898843593076</v>
      </c>
      <c r="I19" s="692">
        <f t="shared" si="3"/>
        <v>535.2172406499933</v>
      </c>
    </row>
    <row r="20" spans="1:9" ht="20.25" customHeight="1">
      <c r="A20" s="817" t="s">
        <v>579</v>
      </c>
      <c r="B20" s="697"/>
      <c r="C20" s="697"/>
      <c r="D20" s="697"/>
      <c r="E20" s="697"/>
      <c r="F20" s="697"/>
      <c r="G20" s="697"/>
      <c r="H20" s="697"/>
      <c r="I20" s="697"/>
    </row>
    <row r="21" spans="1:9" ht="15.75" customHeight="1">
      <c r="A21" s="728" t="s">
        <v>580</v>
      </c>
      <c r="B21" s="662">
        <f>1.35*43</f>
        <v>58.050000000000004</v>
      </c>
      <c r="C21" s="662">
        <f>1*136.5</f>
        <v>136.5</v>
      </c>
      <c r="D21" s="711">
        <f>1.31*12.1</f>
        <v>15.851000000000001</v>
      </c>
      <c r="E21" s="664">
        <f>1.31*76</f>
        <v>99.56</v>
      </c>
      <c r="F21" s="711">
        <f>1.28*75</f>
        <v>96</v>
      </c>
      <c r="G21" s="711">
        <f>1.28*93</f>
        <v>119.04</v>
      </c>
      <c r="H21" s="662">
        <f>1.1*130</f>
        <v>143</v>
      </c>
      <c r="I21" s="711">
        <f>1.6*48</f>
        <v>76.800000000000011</v>
      </c>
    </row>
    <row r="22" spans="1:9" ht="15.75" customHeight="1">
      <c r="A22" s="775" t="s">
        <v>764</v>
      </c>
      <c r="B22" s="668" t="s">
        <v>876</v>
      </c>
      <c r="C22" s="668" t="s">
        <v>876</v>
      </c>
      <c r="D22" s="668" t="s">
        <v>876</v>
      </c>
      <c r="E22" s="670" t="s">
        <v>876</v>
      </c>
      <c r="F22" s="815" t="s">
        <v>876</v>
      </c>
      <c r="G22" s="815" t="s">
        <v>876</v>
      </c>
      <c r="H22" s="668" t="s">
        <v>894</v>
      </c>
      <c r="I22" s="790" t="s">
        <v>876</v>
      </c>
    </row>
    <row r="23" spans="1:9" ht="15.75" customHeight="1">
      <c r="A23" s="776" t="s">
        <v>762</v>
      </c>
      <c r="B23" s="662">
        <v>72.707499999999996</v>
      </c>
      <c r="C23" s="662">
        <v>83.283333299999995</v>
      </c>
      <c r="D23" s="711">
        <v>63.692999999999998</v>
      </c>
      <c r="E23" s="664">
        <v>78.933999999999997</v>
      </c>
      <c r="F23" s="711">
        <v>78.400000000000006</v>
      </c>
      <c r="G23" s="711">
        <v>81.855999999999995</v>
      </c>
      <c r="H23" s="662">
        <v>400</v>
      </c>
      <c r="I23" s="711">
        <v>75.52</v>
      </c>
    </row>
    <row r="24" spans="1:9" ht="15.75" customHeight="1">
      <c r="A24" s="712" t="s">
        <v>581</v>
      </c>
      <c r="B24" s="668" t="s">
        <v>324</v>
      </c>
      <c r="C24" s="668" t="s">
        <v>324</v>
      </c>
      <c r="D24" s="668" t="s">
        <v>324</v>
      </c>
      <c r="E24" s="670" t="s">
        <v>324</v>
      </c>
      <c r="F24" s="815" t="s">
        <v>324</v>
      </c>
      <c r="G24" s="815" t="s">
        <v>324</v>
      </c>
      <c r="H24" s="668" t="s">
        <v>324</v>
      </c>
      <c r="I24" s="790" t="s">
        <v>328</v>
      </c>
    </row>
    <row r="25" spans="1:9" ht="15.75" customHeight="1">
      <c r="A25" s="712" t="s">
        <v>582</v>
      </c>
      <c r="B25" s="719" t="s">
        <v>293</v>
      </c>
      <c r="C25" s="719" t="s">
        <v>293</v>
      </c>
      <c r="D25" s="815" t="s">
        <v>293</v>
      </c>
      <c r="E25" s="719" t="s">
        <v>293</v>
      </c>
      <c r="F25" s="719" t="s">
        <v>293</v>
      </c>
      <c r="G25" s="719" t="s">
        <v>293</v>
      </c>
      <c r="H25" s="719" t="s">
        <v>293</v>
      </c>
      <c r="I25" s="711">
        <v>6</v>
      </c>
    </row>
    <row r="26" spans="1:9" ht="15.75" customHeight="1">
      <c r="A26" s="776" t="s">
        <v>931</v>
      </c>
      <c r="B26" s="719" t="s">
        <v>293</v>
      </c>
      <c r="C26" s="719" t="s">
        <v>293</v>
      </c>
      <c r="D26" s="815" t="s">
        <v>293</v>
      </c>
      <c r="E26" s="719" t="s">
        <v>293</v>
      </c>
      <c r="F26" s="719" t="s">
        <v>293</v>
      </c>
      <c r="G26" s="719" t="s">
        <v>293</v>
      </c>
      <c r="H26" s="719" t="s">
        <v>293</v>
      </c>
      <c r="I26" s="719" t="s">
        <v>293</v>
      </c>
    </row>
    <row r="27" spans="1:9" ht="15.75" customHeight="1">
      <c r="A27" s="775" t="s">
        <v>583</v>
      </c>
      <c r="B27" s="719" t="s">
        <v>293</v>
      </c>
      <c r="C27" s="719" t="s">
        <v>293</v>
      </c>
      <c r="D27" s="815" t="s">
        <v>293</v>
      </c>
      <c r="E27" s="719" t="s">
        <v>293</v>
      </c>
      <c r="F27" s="719" t="s">
        <v>293</v>
      </c>
      <c r="G27" s="719" t="s">
        <v>293</v>
      </c>
      <c r="H27" s="719" t="s">
        <v>293</v>
      </c>
      <c r="I27" s="790" t="s">
        <v>328</v>
      </c>
    </row>
    <row r="28" spans="1:9" ht="15.75" customHeight="1">
      <c r="A28" s="775" t="s">
        <v>930</v>
      </c>
      <c r="B28" s="719" t="s">
        <v>293</v>
      </c>
      <c r="C28" s="719" t="s">
        <v>293</v>
      </c>
      <c r="D28" s="815" t="s">
        <v>293</v>
      </c>
      <c r="E28" s="719" t="s">
        <v>293</v>
      </c>
      <c r="F28" s="719" t="s">
        <v>293</v>
      </c>
      <c r="G28" s="719" t="s">
        <v>293</v>
      </c>
      <c r="H28" s="719" t="s">
        <v>293</v>
      </c>
      <c r="I28" s="719" t="s">
        <v>293</v>
      </c>
    </row>
    <row r="29" spans="1:9" ht="15.75" customHeight="1">
      <c r="A29" s="661" t="s">
        <v>584</v>
      </c>
      <c r="B29" s="668" t="s">
        <v>293</v>
      </c>
      <c r="C29" s="668" t="s">
        <v>293</v>
      </c>
      <c r="D29" s="815" t="s">
        <v>293</v>
      </c>
      <c r="E29" s="668" t="s">
        <v>293</v>
      </c>
      <c r="F29" s="668" t="s">
        <v>293</v>
      </c>
      <c r="G29" s="668" t="s">
        <v>293</v>
      </c>
      <c r="H29" s="668" t="s">
        <v>293</v>
      </c>
      <c r="I29" s="711">
        <v>3</v>
      </c>
    </row>
    <row r="30" spans="1:9" ht="15.75" customHeight="1">
      <c r="A30" s="661" t="s">
        <v>761</v>
      </c>
      <c r="B30" s="662">
        <v>0.1</v>
      </c>
      <c r="C30" s="662">
        <v>0.1</v>
      </c>
      <c r="D30" s="662">
        <v>0.1</v>
      </c>
      <c r="E30" s="662">
        <v>0.1</v>
      </c>
      <c r="F30" s="662">
        <v>0.1</v>
      </c>
      <c r="G30" s="662">
        <v>0.1</v>
      </c>
      <c r="H30" s="662">
        <v>0.1</v>
      </c>
      <c r="I30" s="662">
        <v>0.1</v>
      </c>
    </row>
    <row r="31" spans="1:9" ht="15.75" customHeight="1">
      <c r="A31" s="661" t="s">
        <v>760</v>
      </c>
      <c r="B31" s="668" t="s">
        <v>293</v>
      </c>
      <c r="C31" s="668" t="s">
        <v>293</v>
      </c>
      <c r="D31" s="668" t="s">
        <v>293</v>
      </c>
      <c r="E31" s="668" t="s">
        <v>293</v>
      </c>
      <c r="F31" s="662">
        <v>0.1</v>
      </c>
      <c r="G31" s="662">
        <v>0.1</v>
      </c>
      <c r="H31" s="668" t="s">
        <v>293</v>
      </c>
      <c r="I31" s="668" t="s">
        <v>293</v>
      </c>
    </row>
    <row r="32" spans="1:9" ht="20.25" customHeight="1">
      <c r="A32" s="804" t="s">
        <v>585</v>
      </c>
      <c r="B32" s="702"/>
      <c r="C32" s="702"/>
      <c r="D32" s="702"/>
      <c r="E32" s="702"/>
      <c r="F32" s="702"/>
      <c r="G32" s="702"/>
      <c r="H32" s="702"/>
      <c r="I32" s="702"/>
    </row>
    <row r="33" spans="1:9" ht="15.75" customHeight="1">
      <c r="A33" s="728" t="s">
        <v>586</v>
      </c>
      <c r="B33" s="668" t="s">
        <v>875</v>
      </c>
      <c r="C33" s="668" t="s">
        <v>875</v>
      </c>
      <c r="D33" s="668" t="s">
        <v>875</v>
      </c>
      <c r="E33" s="670" t="s">
        <v>875</v>
      </c>
      <c r="F33" s="668" t="s">
        <v>875</v>
      </c>
      <c r="G33" s="668" t="s">
        <v>875</v>
      </c>
      <c r="H33" s="668" t="s">
        <v>875</v>
      </c>
      <c r="I33" s="668" t="s">
        <v>875</v>
      </c>
    </row>
    <row r="34" spans="1:9" ht="15.75" customHeight="1">
      <c r="A34" s="728" t="s">
        <v>588</v>
      </c>
      <c r="B34" s="662">
        <v>30</v>
      </c>
      <c r="C34" s="662">
        <v>30</v>
      </c>
      <c r="D34" s="662">
        <v>30</v>
      </c>
      <c r="E34" s="664">
        <v>24</v>
      </c>
      <c r="F34" s="662">
        <v>30</v>
      </c>
      <c r="G34" s="662">
        <v>45</v>
      </c>
      <c r="H34" s="662">
        <v>90</v>
      </c>
      <c r="I34" s="662">
        <v>24</v>
      </c>
    </row>
    <row r="35" spans="1:9" ht="15.75" customHeight="1">
      <c r="A35" s="728" t="s">
        <v>872</v>
      </c>
      <c r="B35" s="662">
        <v>8</v>
      </c>
      <c r="C35" s="662">
        <v>16</v>
      </c>
      <c r="D35" s="662">
        <v>8</v>
      </c>
      <c r="E35" s="664">
        <v>10</v>
      </c>
      <c r="F35" s="662">
        <v>10</v>
      </c>
      <c r="G35" s="662">
        <v>10</v>
      </c>
      <c r="H35" s="662">
        <v>12</v>
      </c>
      <c r="I35" s="662">
        <v>8</v>
      </c>
    </row>
    <row r="36" spans="1:9" ht="15.75" customHeight="1">
      <c r="A36" s="728" t="s">
        <v>1010</v>
      </c>
      <c r="B36" s="662" t="s">
        <v>1039</v>
      </c>
      <c r="C36" s="662" t="s">
        <v>1039</v>
      </c>
      <c r="D36" s="662" t="s">
        <v>1039</v>
      </c>
      <c r="E36" s="662" t="s">
        <v>1039</v>
      </c>
      <c r="F36" s="662" t="s">
        <v>1039</v>
      </c>
      <c r="G36" s="662" t="s">
        <v>1039</v>
      </c>
      <c r="H36" s="662" t="s">
        <v>1039</v>
      </c>
      <c r="I36" s="662" t="s">
        <v>1039</v>
      </c>
    </row>
    <row r="37" spans="1:9" ht="24" customHeight="1">
      <c r="A37" s="803" t="s">
        <v>617</v>
      </c>
      <c r="B37" s="802"/>
      <c r="C37" s="802"/>
      <c r="D37" s="709"/>
      <c r="E37" s="802"/>
      <c r="F37" s="709"/>
      <c r="G37" s="709"/>
      <c r="H37" s="802"/>
      <c r="I37" s="709"/>
    </row>
    <row r="38" spans="1:9" ht="15.75" customHeight="1">
      <c r="A38" s="728" t="s">
        <v>868</v>
      </c>
      <c r="B38" s="662">
        <v>1</v>
      </c>
      <c r="C38" s="662">
        <v>1</v>
      </c>
      <c r="D38" s="662">
        <v>1</v>
      </c>
      <c r="E38" s="662">
        <v>1</v>
      </c>
      <c r="F38" s="662">
        <v>1</v>
      </c>
      <c r="G38" s="662">
        <v>1</v>
      </c>
      <c r="H38" s="662">
        <v>1</v>
      </c>
      <c r="I38" s="662">
        <v>1</v>
      </c>
    </row>
    <row r="39" spans="1:9" ht="15.75" customHeight="1">
      <c r="A39" s="712" t="s">
        <v>618</v>
      </c>
      <c r="B39" s="662">
        <f>90*0.15</f>
        <v>13.5</v>
      </c>
      <c r="C39" s="662">
        <f>90*0.15</f>
        <v>13.5</v>
      </c>
      <c r="D39" s="662">
        <f>90*0.15</f>
        <v>13.5</v>
      </c>
      <c r="E39" s="662">
        <f>90*0.15</f>
        <v>13.5</v>
      </c>
      <c r="F39" s="670" t="s">
        <v>293</v>
      </c>
      <c r="G39" s="670" t="s">
        <v>293</v>
      </c>
      <c r="H39" s="662">
        <f>90*0.125</f>
        <v>11.25</v>
      </c>
      <c r="I39" s="662">
        <f>90*0.15</f>
        <v>13.5</v>
      </c>
    </row>
    <row r="40" spans="1:9" ht="15.75" customHeight="1">
      <c r="A40" s="661" t="s">
        <v>986</v>
      </c>
      <c r="B40" s="662">
        <v>6</v>
      </c>
      <c r="C40" s="662">
        <v>6</v>
      </c>
      <c r="D40" s="662">
        <v>12</v>
      </c>
      <c r="E40" s="664">
        <v>6</v>
      </c>
      <c r="F40" s="662">
        <v>6</v>
      </c>
      <c r="G40" s="662">
        <v>6</v>
      </c>
      <c r="H40" s="662">
        <v>6</v>
      </c>
      <c r="I40" s="664">
        <v>6</v>
      </c>
    </row>
    <row r="41" spans="1:9" ht="15.75" customHeight="1">
      <c r="A41" s="712" t="s">
        <v>621</v>
      </c>
      <c r="B41" s="662">
        <v>1.2</v>
      </c>
      <c r="C41" s="662">
        <v>1.2</v>
      </c>
      <c r="D41" s="662">
        <v>1.2</v>
      </c>
      <c r="E41" s="664">
        <v>1.2</v>
      </c>
      <c r="F41" s="662">
        <v>1.2</v>
      </c>
      <c r="G41" s="662">
        <v>1.2</v>
      </c>
      <c r="H41" s="662">
        <v>7.75</v>
      </c>
      <c r="I41" s="662">
        <v>1.2</v>
      </c>
    </row>
    <row r="42" spans="1:9" ht="15.75" customHeight="1">
      <c r="A42" s="728" t="s">
        <v>622</v>
      </c>
      <c r="B42" s="668" t="s">
        <v>293</v>
      </c>
      <c r="C42" s="668" t="s">
        <v>293</v>
      </c>
      <c r="D42" s="668" t="s">
        <v>293</v>
      </c>
      <c r="E42" s="668" t="s">
        <v>293</v>
      </c>
      <c r="F42" s="668" t="s">
        <v>293</v>
      </c>
      <c r="G42" s="668" t="s">
        <v>293</v>
      </c>
      <c r="H42" s="668" t="s">
        <v>293</v>
      </c>
      <c r="I42" s="668" t="s">
        <v>293</v>
      </c>
    </row>
    <row r="43" spans="1:9" ht="15.75" customHeight="1">
      <c r="A43" s="728" t="s">
        <v>623</v>
      </c>
      <c r="B43" s="668" t="s">
        <v>293</v>
      </c>
      <c r="C43" s="668" t="s">
        <v>293</v>
      </c>
      <c r="D43" s="668" t="s">
        <v>293</v>
      </c>
      <c r="E43" s="668" t="s">
        <v>293</v>
      </c>
      <c r="F43" s="668" t="s">
        <v>293</v>
      </c>
      <c r="G43" s="668" t="s">
        <v>293</v>
      </c>
      <c r="H43" s="668" t="s">
        <v>293</v>
      </c>
      <c r="I43" s="668" t="s">
        <v>293</v>
      </c>
    </row>
    <row r="44" spans="1:9" ht="15.75" customHeight="1">
      <c r="A44" s="728" t="s">
        <v>865</v>
      </c>
      <c r="B44" s="662">
        <v>455</v>
      </c>
      <c r="C44" s="662">
        <v>445</v>
      </c>
      <c r="D44" s="711">
        <v>1.7</v>
      </c>
      <c r="E44" s="664">
        <v>370</v>
      </c>
      <c r="F44" s="711">
        <v>2</v>
      </c>
      <c r="G44" s="711">
        <v>2</v>
      </c>
      <c r="H44" s="662">
        <v>150</v>
      </c>
      <c r="I44" s="711">
        <v>415</v>
      </c>
    </row>
    <row r="45" spans="1:9" ht="15.75" customHeight="1">
      <c r="A45" s="728" t="s">
        <v>625</v>
      </c>
      <c r="B45" s="668" t="s">
        <v>293</v>
      </c>
      <c r="C45" s="668" t="s">
        <v>293</v>
      </c>
      <c r="D45" s="668" t="s">
        <v>293</v>
      </c>
      <c r="E45" s="668" t="s">
        <v>293</v>
      </c>
      <c r="F45" s="668" t="s">
        <v>293</v>
      </c>
      <c r="G45" s="711">
        <v>10</v>
      </c>
      <c r="H45" s="668" t="s">
        <v>293</v>
      </c>
      <c r="I45" s="668" t="s">
        <v>293</v>
      </c>
    </row>
    <row r="46" spans="1:9" ht="15.75" customHeight="1">
      <c r="A46" s="661" t="s">
        <v>629</v>
      </c>
      <c r="B46" s="662">
        <v>30</v>
      </c>
      <c r="C46" s="662">
        <v>30</v>
      </c>
      <c r="D46" s="711">
        <v>30</v>
      </c>
      <c r="E46" s="664">
        <v>30</v>
      </c>
      <c r="F46" s="711">
        <v>600</v>
      </c>
      <c r="G46" s="711">
        <v>600</v>
      </c>
      <c r="H46" s="662">
        <v>30</v>
      </c>
      <c r="I46" s="711">
        <v>30</v>
      </c>
    </row>
    <row r="47" spans="1:9" ht="15.75" customHeight="1">
      <c r="A47" s="728" t="s">
        <v>759</v>
      </c>
      <c r="B47" s="662">
        <v>12</v>
      </c>
      <c r="C47" s="662">
        <v>16</v>
      </c>
      <c r="D47" s="711">
        <v>10</v>
      </c>
      <c r="E47" s="664">
        <v>12</v>
      </c>
      <c r="F47" s="711">
        <v>10</v>
      </c>
      <c r="G47" s="711">
        <v>10</v>
      </c>
      <c r="H47" s="662">
        <v>12</v>
      </c>
      <c r="I47" s="711">
        <v>11</v>
      </c>
    </row>
    <row r="48" spans="1:9" ht="15.75" customHeight="1">
      <c r="A48" s="728" t="s">
        <v>631</v>
      </c>
      <c r="B48" s="668" t="s">
        <v>293</v>
      </c>
      <c r="C48" s="668" t="s">
        <v>293</v>
      </c>
      <c r="D48" s="668" t="s">
        <v>293</v>
      </c>
      <c r="E48" s="668" t="s">
        <v>293</v>
      </c>
      <c r="F48" s="668" t="s">
        <v>293</v>
      </c>
      <c r="G48" s="668" t="s">
        <v>293</v>
      </c>
      <c r="H48" s="668" t="s">
        <v>293</v>
      </c>
      <c r="I48" s="668" t="s">
        <v>293</v>
      </c>
    </row>
    <row r="49" spans="1:9" ht="15.75" customHeight="1">
      <c r="A49" s="728" t="s">
        <v>983</v>
      </c>
      <c r="B49" s="668" t="s">
        <v>293</v>
      </c>
      <c r="C49" s="668" t="s">
        <v>293</v>
      </c>
      <c r="D49" s="668" t="s">
        <v>293</v>
      </c>
      <c r="E49" s="668" t="s">
        <v>293</v>
      </c>
      <c r="F49" s="668" t="s">
        <v>293</v>
      </c>
      <c r="G49" s="711">
        <v>2</v>
      </c>
      <c r="H49" s="668" t="s">
        <v>293</v>
      </c>
      <c r="I49" s="668" t="s">
        <v>293</v>
      </c>
    </row>
    <row r="50" spans="1:9" ht="84.75" customHeight="1">
      <c r="A50" s="722" t="s">
        <v>635</v>
      </c>
      <c r="B50" s="668"/>
      <c r="C50" s="668"/>
      <c r="D50" s="668"/>
      <c r="E50" s="728"/>
      <c r="F50" s="668"/>
      <c r="G50" s="668"/>
      <c r="H50" s="668"/>
      <c r="I50" s="668"/>
    </row>
    <row r="51" spans="1:9" ht="15.75" customHeight="1">
      <c r="A51" s="728"/>
      <c r="B51" s="823"/>
      <c r="C51" s="823"/>
      <c r="D51" s="823"/>
      <c r="E51" s="728"/>
      <c r="F51" s="823"/>
      <c r="G51" s="823"/>
      <c r="H51" s="823"/>
      <c r="I51" s="823"/>
    </row>
    <row r="52" spans="1:9" ht="12.75">
      <c r="A52" s="728"/>
      <c r="B52" s="711"/>
      <c r="C52" s="711"/>
      <c r="D52" s="711"/>
      <c r="E52" s="728"/>
      <c r="F52" s="711"/>
      <c r="G52" s="711"/>
      <c r="H52" s="711"/>
      <c r="I52" s="711"/>
    </row>
    <row r="53" spans="1:9" ht="12.75">
      <c r="A53" s="728"/>
      <c r="B53" s="711"/>
      <c r="C53" s="711"/>
      <c r="D53" s="711"/>
      <c r="E53" s="728"/>
      <c r="F53" s="711"/>
      <c r="G53" s="711"/>
      <c r="H53" s="711"/>
      <c r="I53" s="711"/>
    </row>
    <row r="54" spans="1:9" ht="12.75">
      <c r="A54" s="728"/>
      <c r="B54" s="711"/>
      <c r="C54" s="711"/>
      <c r="D54" s="711"/>
      <c r="E54" s="728"/>
      <c r="F54" s="711"/>
      <c r="G54" s="711"/>
      <c r="H54" s="711"/>
      <c r="I54" s="711"/>
    </row>
    <row r="55" spans="1:9" ht="12.75">
      <c r="A55" s="728"/>
      <c r="B55" s="711"/>
      <c r="C55" s="711"/>
      <c r="D55" s="711"/>
      <c r="E55" s="728"/>
      <c r="F55" s="711"/>
      <c r="G55" s="711"/>
      <c r="H55" s="711"/>
      <c r="I55" s="711"/>
    </row>
    <row r="56" spans="1:9" ht="12.75">
      <c r="A56" s="728"/>
      <c r="B56" s="663"/>
      <c r="C56" s="663"/>
      <c r="D56" s="663"/>
      <c r="E56" s="728"/>
      <c r="F56" s="663"/>
      <c r="G56" s="663"/>
      <c r="H56" s="663"/>
      <c r="I56" s="663"/>
    </row>
    <row r="57" spans="1:9" ht="12.75">
      <c r="A57" s="728"/>
      <c r="B57" s="663"/>
      <c r="C57" s="663"/>
      <c r="D57" s="663"/>
      <c r="E57" s="728"/>
      <c r="F57" s="663"/>
      <c r="G57" s="663"/>
      <c r="H57" s="663"/>
      <c r="I57" s="663"/>
    </row>
    <row r="58" spans="1:9" ht="12.75">
      <c r="A58" s="728"/>
      <c r="B58" s="663"/>
      <c r="C58" s="663"/>
      <c r="D58" s="663"/>
      <c r="E58" s="728"/>
      <c r="F58" s="663"/>
      <c r="G58" s="663"/>
      <c r="H58" s="663"/>
      <c r="I58" s="663"/>
    </row>
    <row r="59" spans="1:9" ht="12.75">
      <c r="A59" s="728"/>
      <c r="B59" s="663"/>
      <c r="C59" s="663"/>
      <c r="D59" s="663"/>
      <c r="E59" s="728"/>
      <c r="F59" s="663"/>
      <c r="G59" s="663"/>
      <c r="H59" s="663"/>
      <c r="I59" s="663"/>
    </row>
    <row r="60" spans="1:9" ht="12.75">
      <c r="A60" s="728"/>
      <c r="B60" s="663"/>
      <c r="C60" s="663"/>
      <c r="D60" s="663"/>
      <c r="E60" s="728"/>
      <c r="F60" s="663"/>
      <c r="G60" s="663"/>
      <c r="H60" s="663"/>
      <c r="I60" s="663"/>
    </row>
    <row r="61" spans="1:9" ht="12.75">
      <c r="A61" s="728"/>
      <c r="B61" s="663"/>
      <c r="C61" s="663"/>
      <c r="D61" s="663"/>
      <c r="E61" s="728"/>
      <c r="F61" s="663"/>
      <c r="G61" s="663"/>
      <c r="H61" s="663"/>
      <c r="I61" s="663"/>
    </row>
  </sheetData>
  <conditionalFormatting sqref="A1:I1 A3:I7 A9:I19 A21:I31 A33:I36 A38:I61">
    <cfRule type="expression" dxfId="46" priority="1">
      <formula>ISEVEN(COLUMN())</formula>
    </cfRule>
    <cfRule type="expression" dxfId="45" priority="2">
      <formula>ISODD(COLUMN())</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EA6A1-23C1-43A2-A7A7-61B138EBCC11}">
  <sheetPr>
    <tabColor rgb="FFCCCCCC"/>
    <outlinePr summaryBelow="0" summaryRight="0"/>
  </sheetPr>
  <dimension ref="A1:K90"/>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11" width="16.7109375" customWidth="1"/>
  </cols>
  <sheetData>
    <row r="1" spans="1:11" ht="35.25" customHeight="1">
      <c r="A1" s="811" t="s">
        <v>551</v>
      </c>
      <c r="B1" s="655" t="s">
        <v>1065</v>
      </c>
      <c r="C1" s="655" t="s">
        <v>1064</v>
      </c>
      <c r="D1" s="655" t="s">
        <v>1063</v>
      </c>
      <c r="E1" s="655" t="s">
        <v>1062</v>
      </c>
      <c r="F1" s="828" t="s">
        <v>1061</v>
      </c>
      <c r="G1" s="655" t="s">
        <v>1060</v>
      </c>
      <c r="H1" s="655" t="s">
        <v>1059</v>
      </c>
      <c r="I1" s="655" t="s">
        <v>1058</v>
      </c>
      <c r="J1" s="655" t="s">
        <v>1057</v>
      </c>
      <c r="K1" s="655" t="s">
        <v>1056</v>
      </c>
    </row>
    <row r="2" spans="1:11" ht="97.5" customHeight="1">
      <c r="A2" s="810" t="s">
        <v>562</v>
      </c>
      <c r="B2" s="660"/>
      <c r="C2" s="660"/>
      <c r="D2" s="660"/>
      <c r="E2" s="660"/>
      <c r="F2" s="660"/>
      <c r="G2" s="660"/>
      <c r="H2" s="660"/>
      <c r="I2" s="660"/>
      <c r="J2" s="660"/>
      <c r="K2" s="660"/>
    </row>
    <row r="3" spans="1:11" ht="12.75">
      <c r="A3" s="728" t="s">
        <v>563</v>
      </c>
      <c r="B3" s="664">
        <v>505.53</v>
      </c>
      <c r="C3" s="664">
        <v>510.3</v>
      </c>
      <c r="D3" s="664">
        <v>1027</v>
      </c>
      <c r="E3" s="664">
        <v>1140.8</v>
      </c>
      <c r="F3" s="664">
        <v>1140.8</v>
      </c>
      <c r="G3" s="664">
        <v>50</v>
      </c>
      <c r="H3" s="664">
        <v>520</v>
      </c>
      <c r="I3" s="664">
        <v>520</v>
      </c>
      <c r="J3" s="664">
        <v>520</v>
      </c>
      <c r="K3" s="664">
        <v>1525</v>
      </c>
    </row>
    <row r="4" spans="1:11" ht="12.75">
      <c r="A4" s="728" t="s">
        <v>566</v>
      </c>
      <c r="B4" s="664">
        <v>381</v>
      </c>
      <c r="C4" s="664">
        <v>381</v>
      </c>
      <c r="D4" s="664">
        <v>457</v>
      </c>
      <c r="E4" s="664">
        <v>457</v>
      </c>
      <c r="F4" s="664">
        <v>457</v>
      </c>
      <c r="G4" s="664">
        <v>120</v>
      </c>
      <c r="H4" s="664">
        <v>350</v>
      </c>
      <c r="I4" s="664">
        <v>350</v>
      </c>
      <c r="J4" s="664">
        <v>350</v>
      </c>
      <c r="K4" s="664">
        <v>580</v>
      </c>
    </row>
    <row r="5" spans="1:11" ht="12.75">
      <c r="A5" s="728" t="s">
        <v>567</v>
      </c>
      <c r="B5" s="664">
        <v>3.4544000000000001</v>
      </c>
      <c r="C5" s="664">
        <v>3.4544000000000001</v>
      </c>
      <c r="D5" s="664">
        <v>3.63</v>
      </c>
      <c r="E5" s="664">
        <v>3.9620000000000002</v>
      </c>
      <c r="F5" s="664">
        <v>3.9620000000000002</v>
      </c>
      <c r="G5" s="664">
        <v>1.95</v>
      </c>
      <c r="H5" s="664">
        <v>3.05</v>
      </c>
      <c r="I5" s="664">
        <v>3.05</v>
      </c>
      <c r="J5" s="664">
        <v>3.05</v>
      </c>
      <c r="K5" s="664">
        <v>4.63</v>
      </c>
    </row>
    <row r="6" spans="1:11" ht="18">
      <c r="A6" s="805" t="s">
        <v>1055</v>
      </c>
      <c r="B6" s="697"/>
      <c r="C6" s="697"/>
      <c r="D6" s="697"/>
      <c r="E6" s="697"/>
      <c r="F6" s="697"/>
      <c r="G6" s="697"/>
      <c r="H6" s="697"/>
      <c r="I6" s="697"/>
      <c r="J6" s="697"/>
      <c r="K6" s="697"/>
    </row>
    <row r="7" spans="1:11" ht="12.75">
      <c r="A7" s="728" t="s">
        <v>580</v>
      </c>
      <c r="B7" s="664">
        <f>1.31*201.8</f>
        <v>264.358</v>
      </c>
      <c r="C7" s="664">
        <f>1.31*201.8</f>
        <v>264.358</v>
      </c>
      <c r="D7" s="664">
        <f>1.35*428.6</f>
        <v>578.61</v>
      </c>
      <c r="E7" s="664">
        <f>1.35*428.6</f>
        <v>578.61</v>
      </c>
      <c r="F7" s="664">
        <f>1.35*428.6</f>
        <v>578.61</v>
      </c>
      <c r="G7" s="664">
        <f>1.6*15</f>
        <v>24</v>
      </c>
      <c r="H7" s="664">
        <f>1.6*100</f>
        <v>160</v>
      </c>
      <c r="I7" s="664">
        <f>1.6*100</f>
        <v>160</v>
      </c>
      <c r="J7" s="664">
        <f>1.6*100</f>
        <v>160</v>
      </c>
      <c r="K7" s="664">
        <f>1.6*440</f>
        <v>704</v>
      </c>
    </row>
    <row r="8" spans="1:11" ht="12.75">
      <c r="A8" s="728" t="s">
        <v>764</v>
      </c>
      <c r="B8" s="670" t="s">
        <v>876</v>
      </c>
      <c r="C8" s="670" t="s">
        <v>876</v>
      </c>
      <c r="D8" s="670" t="s">
        <v>876</v>
      </c>
      <c r="E8" s="670" t="s">
        <v>876</v>
      </c>
      <c r="F8" s="670" t="s">
        <v>876</v>
      </c>
      <c r="G8" s="670" t="s">
        <v>876</v>
      </c>
      <c r="H8" s="670" t="s">
        <v>876</v>
      </c>
      <c r="I8" s="670" t="s">
        <v>876</v>
      </c>
      <c r="J8" s="670" t="s">
        <v>876</v>
      </c>
      <c r="K8" s="670" t="s">
        <v>876</v>
      </c>
    </row>
    <row r="9" spans="1:11" ht="12.75">
      <c r="A9" s="776" t="s">
        <v>762</v>
      </c>
      <c r="B9" s="664">
        <v>93.227444399999996</v>
      </c>
      <c r="C9" s="664">
        <v>93.227444399999996</v>
      </c>
      <c r="D9" s="664">
        <v>117.28879999999999</v>
      </c>
      <c r="E9" s="664">
        <v>117.28879999999999</v>
      </c>
      <c r="F9" s="664">
        <v>117.28879999999999</v>
      </c>
      <c r="G9" s="664">
        <v>64.857140000000001</v>
      </c>
      <c r="H9" s="664">
        <v>85.111111100000002</v>
      </c>
      <c r="I9" s="664">
        <v>85.111111100000002</v>
      </c>
      <c r="J9" s="664">
        <v>85.111111100000002</v>
      </c>
      <c r="K9" s="664">
        <v>127.32</v>
      </c>
    </row>
    <row r="10" spans="1:11" ht="12.75">
      <c r="A10" s="661" t="s">
        <v>761</v>
      </c>
      <c r="B10" s="664">
        <v>1.0000000000000001E-5</v>
      </c>
      <c r="C10" s="664">
        <v>1.0000000000000001E-5</v>
      </c>
      <c r="D10" s="664">
        <v>1.0000000000000001E-5</v>
      </c>
      <c r="E10" s="664">
        <v>1.0000000000000001E-5</v>
      </c>
      <c r="F10" s="664">
        <v>1.0000000000000001E-5</v>
      </c>
      <c r="G10" s="664">
        <v>1.0000000000000001E-5</v>
      </c>
      <c r="H10" s="664">
        <v>1.0000000000000001E-5</v>
      </c>
      <c r="I10" s="664">
        <v>1.0000000000000001E-5</v>
      </c>
      <c r="J10" s="664">
        <v>1.0000000000000001E-5</v>
      </c>
      <c r="K10" s="664">
        <v>1.0000000000000001E-5</v>
      </c>
    </row>
    <row r="11" spans="1:11" ht="12.75">
      <c r="A11" s="661" t="s">
        <v>760</v>
      </c>
      <c r="B11" s="670" t="s">
        <v>293</v>
      </c>
      <c r="C11" s="670" t="s">
        <v>293</v>
      </c>
      <c r="D11" s="670" t="s">
        <v>293</v>
      </c>
      <c r="E11" s="670" t="s">
        <v>293</v>
      </c>
      <c r="F11" s="670" t="s">
        <v>293</v>
      </c>
      <c r="G11" s="670" t="s">
        <v>293</v>
      </c>
      <c r="H11" s="670" t="s">
        <v>293</v>
      </c>
      <c r="I11" s="670" t="s">
        <v>293</v>
      </c>
      <c r="J11" s="670" t="s">
        <v>293</v>
      </c>
      <c r="K11" s="670" t="s">
        <v>293</v>
      </c>
    </row>
    <row r="12" spans="1:11" ht="18">
      <c r="A12" s="804" t="s">
        <v>585</v>
      </c>
      <c r="B12" s="702"/>
      <c r="C12" s="702"/>
      <c r="D12" s="702"/>
      <c r="E12" s="702"/>
      <c r="F12" s="702"/>
      <c r="G12" s="702"/>
      <c r="H12" s="702"/>
      <c r="I12" s="702"/>
      <c r="J12" s="702"/>
      <c r="K12" s="702"/>
    </row>
    <row r="13" spans="1:11" ht="12.75">
      <c r="A13" s="728" t="s">
        <v>893</v>
      </c>
      <c r="B13" s="664" t="s">
        <v>890</v>
      </c>
      <c r="C13" s="664" t="s">
        <v>890</v>
      </c>
      <c r="D13" s="664" t="s">
        <v>890</v>
      </c>
      <c r="E13" s="664" t="s">
        <v>890</v>
      </c>
      <c r="F13" s="664" t="s">
        <v>890</v>
      </c>
      <c r="G13" s="664" t="s">
        <v>890</v>
      </c>
      <c r="H13" s="664" t="s">
        <v>892</v>
      </c>
      <c r="I13" s="664" t="s">
        <v>892</v>
      </c>
      <c r="J13" s="664" t="s">
        <v>892</v>
      </c>
      <c r="K13" s="664" t="s">
        <v>892</v>
      </c>
    </row>
    <row r="14" spans="1:11" ht="12.75">
      <c r="A14" s="728" t="s">
        <v>586</v>
      </c>
      <c r="B14" s="618" t="s">
        <v>887</v>
      </c>
      <c r="C14" s="618" t="s">
        <v>887</v>
      </c>
      <c r="D14" s="618" t="s">
        <v>887</v>
      </c>
      <c r="E14" s="618" t="s">
        <v>887</v>
      </c>
      <c r="F14" s="618" t="s">
        <v>887</v>
      </c>
      <c r="G14" s="670" t="s">
        <v>887</v>
      </c>
      <c r="H14" s="670" t="s">
        <v>887</v>
      </c>
      <c r="I14" s="670" t="s">
        <v>887</v>
      </c>
      <c r="J14" s="670" t="s">
        <v>887</v>
      </c>
      <c r="K14" s="670" t="s">
        <v>887</v>
      </c>
    </row>
    <row r="15" spans="1:11" ht="12.75">
      <c r="A15" s="728" t="s">
        <v>587</v>
      </c>
      <c r="B15" s="670" t="s">
        <v>293</v>
      </c>
      <c r="C15" s="670" t="s">
        <v>293</v>
      </c>
      <c r="D15" s="670" t="s">
        <v>293</v>
      </c>
      <c r="E15" s="670" t="s">
        <v>293</v>
      </c>
      <c r="F15" s="670" t="s">
        <v>293</v>
      </c>
      <c r="G15" s="670" t="s">
        <v>293</v>
      </c>
      <c r="H15" s="664">
        <v>0.09</v>
      </c>
      <c r="I15" s="664">
        <v>0.09</v>
      </c>
      <c r="J15" s="664">
        <v>0.09</v>
      </c>
      <c r="K15" s="664">
        <v>0.09</v>
      </c>
    </row>
    <row r="16" spans="1:11" ht="12.75">
      <c r="A16" s="728" t="s">
        <v>588</v>
      </c>
      <c r="B16" s="670" t="s">
        <v>293</v>
      </c>
      <c r="C16" s="670" t="s">
        <v>293</v>
      </c>
      <c r="D16" s="664">
        <v>90</v>
      </c>
      <c r="E16" s="664">
        <v>90</v>
      </c>
      <c r="F16" s="664">
        <v>90</v>
      </c>
      <c r="G16" s="664">
        <v>60</v>
      </c>
      <c r="H16" s="664">
        <v>40</v>
      </c>
      <c r="I16" s="664">
        <v>60</v>
      </c>
      <c r="J16" s="664">
        <v>60</v>
      </c>
      <c r="K16" s="664">
        <v>90</v>
      </c>
    </row>
    <row r="17" spans="1:11" ht="12.75">
      <c r="A17" s="728" t="s">
        <v>589</v>
      </c>
      <c r="B17" s="664">
        <v>1</v>
      </c>
      <c r="C17" s="664">
        <v>1</v>
      </c>
      <c r="D17" s="664">
        <v>1</v>
      </c>
      <c r="E17" s="664">
        <v>1</v>
      </c>
      <c r="F17" s="664">
        <v>1</v>
      </c>
      <c r="G17" s="664">
        <v>1</v>
      </c>
      <c r="H17" s="664">
        <v>1</v>
      </c>
      <c r="I17" s="664">
        <v>1</v>
      </c>
      <c r="J17" s="664">
        <v>1</v>
      </c>
      <c r="K17" s="664">
        <v>1</v>
      </c>
    </row>
    <row r="18" spans="1:11" ht="12.75">
      <c r="A18" s="728" t="s">
        <v>590</v>
      </c>
      <c r="B18" s="664">
        <v>3600</v>
      </c>
      <c r="C18" s="664">
        <v>3600</v>
      </c>
      <c r="D18" s="664">
        <v>3600</v>
      </c>
      <c r="E18" s="664">
        <v>3600</v>
      </c>
      <c r="F18" s="664">
        <v>3600</v>
      </c>
      <c r="G18" s="664">
        <v>3600</v>
      </c>
      <c r="H18" s="664">
        <v>3600</v>
      </c>
      <c r="I18" s="664">
        <v>3600</v>
      </c>
      <c r="J18" s="664">
        <v>3600</v>
      </c>
      <c r="K18" s="664">
        <v>3600</v>
      </c>
    </row>
    <row r="19" spans="1:11" ht="12.75">
      <c r="A19" s="728" t="s">
        <v>591</v>
      </c>
      <c r="B19" s="664">
        <v>0.1</v>
      </c>
      <c r="C19" s="664">
        <v>0.1</v>
      </c>
      <c r="D19" s="664">
        <v>0.1</v>
      </c>
      <c r="E19" s="664">
        <v>0.1</v>
      </c>
      <c r="F19" s="664">
        <v>0.1</v>
      </c>
      <c r="G19" s="664">
        <v>0.25</v>
      </c>
      <c r="H19" s="664">
        <v>0.1</v>
      </c>
      <c r="I19" s="664">
        <v>0.1</v>
      </c>
      <c r="J19" s="664">
        <v>0.1</v>
      </c>
      <c r="K19" s="664">
        <v>0.1</v>
      </c>
    </row>
    <row r="20" spans="1:11" ht="12.75">
      <c r="A20" s="728" t="s">
        <v>592</v>
      </c>
      <c r="B20" s="664">
        <v>60</v>
      </c>
      <c r="C20" s="664">
        <v>60</v>
      </c>
      <c r="D20" s="664">
        <v>60</v>
      </c>
      <c r="E20" s="664">
        <v>60</v>
      </c>
      <c r="F20" s="664">
        <v>60</v>
      </c>
      <c r="G20" s="664">
        <v>65</v>
      </c>
      <c r="H20" s="664">
        <v>58</v>
      </c>
      <c r="I20" s="664">
        <v>58</v>
      </c>
      <c r="J20" s="664">
        <v>58</v>
      </c>
      <c r="K20" s="664">
        <v>58</v>
      </c>
    </row>
    <row r="21" spans="1:11" ht="12.75">
      <c r="A21" s="728" t="s">
        <v>593</v>
      </c>
      <c r="B21" s="664">
        <v>5</v>
      </c>
      <c r="C21" s="664">
        <v>5</v>
      </c>
      <c r="D21" s="664">
        <v>5</v>
      </c>
      <c r="E21" s="664">
        <v>5</v>
      </c>
      <c r="F21" s="664">
        <v>5</v>
      </c>
      <c r="G21" s="664">
        <v>5</v>
      </c>
      <c r="H21" s="664">
        <v>7</v>
      </c>
      <c r="I21" s="664">
        <v>7</v>
      </c>
      <c r="J21" s="664">
        <v>7</v>
      </c>
      <c r="K21" s="664">
        <v>7</v>
      </c>
    </row>
    <row r="22" spans="1:11" ht="12.75">
      <c r="A22" s="728" t="s">
        <v>594</v>
      </c>
      <c r="B22" s="670" t="s">
        <v>328</v>
      </c>
      <c r="C22" s="670" t="s">
        <v>328</v>
      </c>
      <c r="D22" s="670" t="s">
        <v>328</v>
      </c>
      <c r="E22" s="670" t="s">
        <v>328</v>
      </c>
      <c r="F22" s="670" t="s">
        <v>328</v>
      </c>
      <c r="G22" s="670" t="s">
        <v>328</v>
      </c>
      <c r="H22" s="670" t="s">
        <v>328</v>
      </c>
      <c r="I22" s="670" t="s">
        <v>328</v>
      </c>
      <c r="J22" s="670" t="s">
        <v>328</v>
      </c>
      <c r="K22" s="670" t="s">
        <v>328</v>
      </c>
    </row>
    <row r="23" spans="1:11" ht="12.75">
      <c r="A23" s="728" t="s">
        <v>595</v>
      </c>
      <c r="B23" s="664">
        <v>30</v>
      </c>
      <c r="C23" s="664">
        <v>30</v>
      </c>
      <c r="D23" s="664">
        <v>30</v>
      </c>
      <c r="E23" s="664">
        <v>30</v>
      </c>
      <c r="F23" s="664">
        <v>30</v>
      </c>
      <c r="G23" s="664">
        <v>80</v>
      </c>
      <c r="H23" s="664">
        <v>55</v>
      </c>
      <c r="I23" s="664">
        <v>55</v>
      </c>
      <c r="J23" s="664">
        <v>55</v>
      </c>
      <c r="K23" s="664">
        <v>55</v>
      </c>
    </row>
    <row r="24" spans="1:11" ht="31.5" customHeight="1">
      <c r="A24" s="776" t="s">
        <v>596</v>
      </c>
      <c r="B24" s="667" t="s">
        <v>293</v>
      </c>
      <c r="C24" s="667" t="s">
        <v>293</v>
      </c>
      <c r="D24" s="667" t="s">
        <v>293</v>
      </c>
      <c r="E24" s="667" t="s">
        <v>293</v>
      </c>
      <c r="F24" s="667" t="s">
        <v>293</v>
      </c>
      <c r="G24" s="667" t="s">
        <v>293</v>
      </c>
      <c r="H24" s="667" t="s">
        <v>293</v>
      </c>
      <c r="I24" s="667" t="s">
        <v>293</v>
      </c>
      <c r="J24" s="667" t="s">
        <v>293</v>
      </c>
      <c r="K24" s="667" t="s">
        <v>293</v>
      </c>
    </row>
    <row r="25" spans="1:11" ht="15.75" customHeight="1">
      <c r="A25" s="728" t="s">
        <v>886</v>
      </c>
      <c r="B25" s="664">
        <v>40</v>
      </c>
      <c r="C25" s="662">
        <v>40</v>
      </c>
      <c r="D25" s="664">
        <v>40</v>
      </c>
      <c r="E25" s="664">
        <v>40</v>
      </c>
      <c r="F25" s="664">
        <v>40</v>
      </c>
      <c r="G25" s="664">
        <v>6</v>
      </c>
      <c r="H25" s="664">
        <v>15</v>
      </c>
      <c r="I25" s="664">
        <v>15</v>
      </c>
      <c r="J25" s="664">
        <v>15</v>
      </c>
      <c r="K25" s="664">
        <v>15</v>
      </c>
    </row>
    <row r="26" spans="1:11" ht="15.75" customHeight="1">
      <c r="A26" s="728" t="s">
        <v>1054</v>
      </c>
      <c r="B26" s="664">
        <v>6</v>
      </c>
      <c r="C26" s="662">
        <v>6</v>
      </c>
      <c r="D26" s="664">
        <v>6</v>
      </c>
      <c r="E26" s="664">
        <v>6</v>
      </c>
      <c r="F26" s="664">
        <v>6</v>
      </c>
      <c r="G26" s="728">
        <v>18</v>
      </c>
      <c r="H26" s="728">
        <v>6</v>
      </c>
      <c r="I26" s="728">
        <v>6</v>
      </c>
      <c r="J26" s="728">
        <v>6</v>
      </c>
      <c r="K26" s="728">
        <v>6</v>
      </c>
    </row>
    <row r="27" spans="1:11" ht="15.75" customHeight="1">
      <c r="A27" s="661" t="s">
        <v>601</v>
      </c>
      <c r="B27" s="670" t="s">
        <v>328</v>
      </c>
      <c r="C27" s="670" t="s">
        <v>328</v>
      </c>
      <c r="D27" s="670" t="s">
        <v>328</v>
      </c>
      <c r="E27" s="670" t="s">
        <v>328</v>
      </c>
      <c r="F27" s="670" t="s">
        <v>328</v>
      </c>
      <c r="G27" s="670" t="s">
        <v>324</v>
      </c>
      <c r="H27" s="670" t="s">
        <v>328</v>
      </c>
      <c r="I27" s="670" t="s">
        <v>328</v>
      </c>
      <c r="J27" s="670" t="s">
        <v>328</v>
      </c>
      <c r="K27" s="670" t="s">
        <v>328</v>
      </c>
    </row>
    <row r="28" spans="1:11" ht="15.75" customHeight="1">
      <c r="A28" s="661" t="s">
        <v>602</v>
      </c>
      <c r="B28" s="670" t="s">
        <v>354</v>
      </c>
      <c r="C28" s="670" t="s">
        <v>354</v>
      </c>
      <c r="D28" s="670" t="s">
        <v>354</v>
      </c>
      <c r="E28" s="670" t="s">
        <v>354</v>
      </c>
      <c r="F28" s="670" t="s">
        <v>354</v>
      </c>
      <c r="G28" s="670" t="s">
        <v>293</v>
      </c>
      <c r="H28" s="670" t="s">
        <v>354</v>
      </c>
      <c r="I28" s="670" t="s">
        <v>354</v>
      </c>
      <c r="J28" s="670" t="s">
        <v>354</v>
      </c>
      <c r="K28" s="670" t="s">
        <v>354</v>
      </c>
    </row>
    <row r="29" spans="1:11" ht="15.75" customHeight="1">
      <c r="A29" s="661" t="s">
        <v>603</v>
      </c>
      <c r="B29" s="664">
        <v>0.1</v>
      </c>
      <c r="C29" s="664">
        <v>0.1</v>
      </c>
      <c r="D29" s="664">
        <v>0.1</v>
      </c>
      <c r="E29" s="664">
        <v>0.1</v>
      </c>
      <c r="F29" s="664">
        <v>0.1</v>
      </c>
      <c r="G29" s="670" t="s">
        <v>293</v>
      </c>
      <c r="H29" s="664">
        <v>0.1</v>
      </c>
      <c r="I29" s="664">
        <v>0.1</v>
      </c>
      <c r="J29" s="664">
        <v>0.1</v>
      </c>
      <c r="K29" s="664">
        <v>0.1</v>
      </c>
    </row>
    <row r="30" spans="1:11" ht="15.75" customHeight="1">
      <c r="A30" s="661" t="s">
        <v>606</v>
      </c>
      <c r="B30" s="664">
        <v>120</v>
      </c>
      <c r="C30" s="664">
        <v>120</v>
      </c>
      <c r="D30" s="664">
        <v>120</v>
      </c>
      <c r="E30" s="664">
        <v>120</v>
      </c>
      <c r="F30" s="664">
        <v>120</v>
      </c>
      <c r="G30" s="664">
        <v>120</v>
      </c>
      <c r="H30" s="664">
        <v>120</v>
      </c>
      <c r="I30" s="664">
        <v>120</v>
      </c>
      <c r="J30" s="664">
        <v>120</v>
      </c>
      <c r="K30" s="664">
        <v>120</v>
      </c>
    </row>
    <row r="31" spans="1:11" ht="25.5">
      <c r="A31" s="682" t="s">
        <v>607</v>
      </c>
      <c r="B31" s="664">
        <v>4</v>
      </c>
      <c r="C31" s="664">
        <v>4</v>
      </c>
      <c r="D31" s="664">
        <v>4</v>
      </c>
      <c r="E31" s="664">
        <v>4</v>
      </c>
      <c r="F31" s="664">
        <v>4</v>
      </c>
      <c r="G31" s="664">
        <v>4</v>
      </c>
      <c r="H31" s="664">
        <v>4</v>
      </c>
      <c r="I31" s="664">
        <v>4</v>
      </c>
      <c r="J31" s="664">
        <v>4</v>
      </c>
      <c r="K31" s="664">
        <v>4</v>
      </c>
    </row>
    <row r="32" spans="1:11" ht="15.75" customHeight="1">
      <c r="A32" s="682" t="s">
        <v>608</v>
      </c>
      <c r="B32" s="664">
        <v>1800</v>
      </c>
      <c r="C32" s="664">
        <v>1800</v>
      </c>
      <c r="D32" s="664">
        <v>1800</v>
      </c>
      <c r="E32" s="664">
        <v>1800</v>
      </c>
      <c r="F32" s="664">
        <v>1800</v>
      </c>
      <c r="G32" s="664">
        <v>1800</v>
      </c>
      <c r="H32" s="664">
        <v>1800</v>
      </c>
      <c r="I32" s="664">
        <v>1800</v>
      </c>
      <c r="J32" s="664">
        <v>1800</v>
      </c>
      <c r="K32" s="664">
        <v>1800</v>
      </c>
    </row>
    <row r="33" spans="1:11" ht="15.75" customHeight="1">
      <c r="A33" s="661" t="s">
        <v>609</v>
      </c>
      <c r="B33" s="664">
        <v>8.2100000000000006E-2</v>
      </c>
      <c r="C33" s="664">
        <v>8.2100000000000006E-2</v>
      </c>
      <c r="D33" s="664">
        <v>8.2100000000000006E-2</v>
      </c>
      <c r="E33" s="664">
        <v>8.2100000000000006E-2</v>
      </c>
      <c r="F33" s="664">
        <v>8.2100000000000006E-2</v>
      </c>
      <c r="G33" s="664">
        <v>8.2100000000000006E-2</v>
      </c>
      <c r="H33" s="664">
        <v>4.5100000000000001E-2</v>
      </c>
      <c r="I33" s="664">
        <v>4.5100000000000001E-2</v>
      </c>
      <c r="J33" s="664">
        <v>4.5100000000000001E-2</v>
      </c>
      <c r="K33" s="664">
        <v>5.3100000000000001E-2</v>
      </c>
    </row>
    <row r="34" spans="1:11" ht="15.75" customHeight="1">
      <c r="A34" s="712" t="s">
        <v>611</v>
      </c>
      <c r="B34" s="664">
        <v>9.7100000000000006E-2</v>
      </c>
      <c r="C34" s="664">
        <v>9.7100000000000006E-2</v>
      </c>
      <c r="D34" s="664">
        <v>9.7100000000000006E-2</v>
      </c>
      <c r="E34" s="664">
        <v>9.7100000000000006E-2</v>
      </c>
      <c r="F34" s="664">
        <v>9.7100000000000006E-2</v>
      </c>
      <c r="G34" s="664">
        <v>0</v>
      </c>
      <c r="H34" s="664">
        <v>0.12759999999999999</v>
      </c>
      <c r="I34" s="664">
        <v>0.12759999999999999</v>
      </c>
      <c r="J34" s="664">
        <v>0.12759999999999999</v>
      </c>
      <c r="K34" s="664">
        <v>0.1996</v>
      </c>
    </row>
    <row r="35" spans="1:11" ht="15.75" customHeight="1">
      <c r="A35" s="712" t="s">
        <v>613</v>
      </c>
      <c r="B35" s="664">
        <v>1</v>
      </c>
      <c r="C35" s="664">
        <v>1</v>
      </c>
      <c r="D35" s="664">
        <v>1</v>
      </c>
      <c r="E35" s="664">
        <v>1</v>
      </c>
      <c r="F35" s="664">
        <v>1</v>
      </c>
      <c r="G35" s="664">
        <v>0</v>
      </c>
      <c r="H35" s="664">
        <v>1</v>
      </c>
      <c r="I35" s="664">
        <v>1</v>
      </c>
      <c r="J35" s="664">
        <v>1</v>
      </c>
      <c r="K35" s="664">
        <v>1</v>
      </c>
    </row>
    <row r="36" spans="1:11" ht="15.75" customHeight="1">
      <c r="A36" s="712" t="s">
        <v>615</v>
      </c>
      <c r="B36" s="664">
        <v>4.0000000000000002E-4</v>
      </c>
      <c r="C36" s="664">
        <v>4.0000000000000002E-4</v>
      </c>
      <c r="D36" s="664">
        <v>4.0000000000000002E-4</v>
      </c>
      <c r="E36" s="664">
        <v>4.0000000000000002E-4</v>
      </c>
      <c r="F36" s="664">
        <v>4.0000000000000002E-4</v>
      </c>
      <c r="G36" s="664">
        <v>1.5E-3</v>
      </c>
      <c r="H36" s="664">
        <v>2.9999999999999997E-4</v>
      </c>
      <c r="I36" s="664">
        <v>2.9999999999999997E-4</v>
      </c>
      <c r="J36" s="664">
        <v>2.9999999999999997E-4</v>
      </c>
      <c r="K36" s="664">
        <v>1E-4</v>
      </c>
    </row>
    <row r="37" spans="1:11" ht="24" customHeight="1">
      <c r="A37" s="803" t="s">
        <v>617</v>
      </c>
      <c r="B37" s="802"/>
      <c r="C37" s="802"/>
      <c r="D37" s="802"/>
      <c r="E37" s="802"/>
      <c r="F37" s="802"/>
      <c r="G37" s="791"/>
      <c r="H37" s="791"/>
      <c r="I37" s="791"/>
      <c r="J37" s="791"/>
      <c r="K37" s="791"/>
    </row>
    <row r="38" spans="1:11" ht="12.75">
      <c r="A38" s="661" t="s">
        <v>618</v>
      </c>
      <c r="B38" s="733">
        <f>90*0.15</f>
        <v>13.5</v>
      </c>
      <c r="C38" s="733">
        <f>90*0.15</f>
        <v>13.5</v>
      </c>
      <c r="D38" s="733">
        <f>90*0.15</f>
        <v>13.5</v>
      </c>
      <c r="E38" s="733">
        <f>90*0.15</f>
        <v>13.5</v>
      </c>
      <c r="F38" s="733">
        <f>90*0.15</f>
        <v>13.5</v>
      </c>
      <c r="G38" s="733">
        <f>90*0.1278</f>
        <v>11.501999999999999</v>
      </c>
      <c r="H38" s="733">
        <f>90*0.2</f>
        <v>18</v>
      </c>
      <c r="I38" s="733">
        <f>90*0.2</f>
        <v>18</v>
      </c>
      <c r="J38" s="733">
        <f>90*0.2</f>
        <v>18</v>
      </c>
      <c r="K38" s="733">
        <f>90*0.2</f>
        <v>18</v>
      </c>
    </row>
    <row r="39" spans="1:11" ht="12.75">
      <c r="A39" s="712" t="s">
        <v>619</v>
      </c>
      <c r="B39" s="602" t="s">
        <v>293</v>
      </c>
      <c r="C39" s="602" t="s">
        <v>293</v>
      </c>
      <c r="D39" s="602" t="s">
        <v>293</v>
      </c>
      <c r="E39" s="602" t="s">
        <v>293</v>
      </c>
      <c r="F39" s="602" t="s">
        <v>293</v>
      </c>
      <c r="G39" s="733">
        <v>2.4500000000000002</v>
      </c>
      <c r="H39" s="602" t="s">
        <v>293</v>
      </c>
      <c r="I39" s="602" t="s">
        <v>293</v>
      </c>
      <c r="J39" s="602" t="s">
        <v>293</v>
      </c>
      <c r="K39" s="602" t="s">
        <v>293</v>
      </c>
    </row>
    <row r="40" spans="1:11" ht="12.75">
      <c r="A40" s="661" t="s">
        <v>621</v>
      </c>
      <c r="B40" s="733">
        <v>2.1749999999999998</v>
      </c>
      <c r="C40" s="665">
        <v>2</v>
      </c>
      <c r="D40" s="733">
        <v>1.8</v>
      </c>
      <c r="E40" s="733">
        <v>1.8</v>
      </c>
      <c r="F40" s="733">
        <v>1.8</v>
      </c>
      <c r="G40" s="827">
        <v>2.5</v>
      </c>
      <c r="H40" s="827">
        <v>1.8</v>
      </c>
      <c r="I40" s="827">
        <v>1.8</v>
      </c>
      <c r="J40" s="827">
        <v>1.8</v>
      </c>
      <c r="K40" s="827">
        <v>2.5</v>
      </c>
    </row>
    <row r="41" spans="1:11" ht="12.75">
      <c r="A41" s="712" t="s">
        <v>631</v>
      </c>
      <c r="B41" s="733">
        <v>4</v>
      </c>
      <c r="C41" s="665">
        <v>4</v>
      </c>
      <c r="D41" s="733">
        <v>4</v>
      </c>
      <c r="E41" s="733">
        <v>4</v>
      </c>
      <c r="F41" s="733">
        <v>4</v>
      </c>
      <c r="G41" s="827">
        <v>2.4500000000000002</v>
      </c>
      <c r="H41" s="827">
        <v>3.5</v>
      </c>
      <c r="I41" s="827">
        <v>3.5</v>
      </c>
      <c r="J41" s="827">
        <v>3.5</v>
      </c>
      <c r="K41" s="827">
        <v>4</v>
      </c>
    </row>
    <row r="42" spans="1:11" ht="12.75">
      <c r="A42" s="661" t="s">
        <v>626</v>
      </c>
      <c r="B42" s="670" t="s">
        <v>293</v>
      </c>
      <c r="C42" s="670" t="s">
        <v>293</v>
      </c>
      <c r="D42" s="670" t="s">
        <v>293</v>
      </c>
      <c r="E42" s="670" t="s">
        <v>293</v>
      </c>
      <c r="F42" s="670" t="s">
        <v>293</v>
      </c>
      <c r="G42" s="670" t="s">
        <v>293</v>
      </c>
      <c r="H42" s="827">
        <v>0.09</v>
      </c>
      <c r="I42" s="827">
        <v>0.09</v>
      </c>
      <c r="J42" s="827">
        <v>0.09</v>
      </c>
      <c r="K42" s="827">
        <v>0.09</v>
      </c>
    </row>
    <row r="43" spans="1:11" ht="12.75">
      <c r="A43" s="661" t="s">
        <v>756</v>
      </c>
      <c r="B43" s="670" t="s">
        <v>293</v>
      </c>
      <c r="C43" s="670" t="s">
        <v>293</v>
      </c>
      <c r="D43" s="670" t="s">
        <v>293</v>
      </c>
      <c r="E43" s="670" t="s">
        <v>293</v>
      </c>
      <c r="F43" s="670" t="s">
        <v>293</v>
      </c>
      <c r="G43" s="827" t="s">
        <v>1053</v>
      </c>
      <c r="H43" s="670" t="s">
        <v>293</v>
      </c>
      <c r="I43" s="670" t="s">
        <v>293</v>
      </c>
      <c r="J43" s="670" t="s">
        <v>293</v>
      </c>
      <c r="K43" s="670" t="s">
        <v>293</v>
      </c>
    </row>
    <row r="44" spans="1:11" ht="12.75">
      <c r="A44" s="661" t="s">
        <v>756</v>
      </c>
      <c r="B44" s="670" t="s">
        <v>293</v>
      </c>
      <c r="C44" s="670" t="s">
        <v>293</v>
      </c>
      <c r="D44" s="670" t="s">
        <v>293</v>
      </c>
      <c r="E44" s="670" t="s">
        <v>293</v>
      </c>
      <c r="F44" s="670" t="s">
        <v>293</v>
      </c>
      <c r="G44" s="827" t="s">
        <v>1052</v>
      </c>
      <c r="H44" s="670" t="s">
        <v>293</v>
      </c>
      <c r="I44" s="670" t="s">
        <v>293</v>
      </c>
      <c r="J44" s="670" t="s">
        <v>293</v>
      </c>
      <c r="K44" s="670" t="s">
        <v>293</v>
      </c>
    </row>
    <row r="45" spans="1:11" ht="12.75">
      <c r="A45" s="661" t="s">
        <v>756</v>
      </c>
      <c r="B45" s="670" t="s">
        <v>293</v>
      </c>
      <c r="C45" s="670" t="s">
        <v>293</v>
      </c>
      <c r="D45" s="670" t="s">
        <v>293</v>
      </c>
      <c r="E45" s="670" t="s">
        <v>293</v>
      </c>
      <c r="F45" s="670" t="s">
        <v>293</v>
      </c>
      <c r="G45" s="827" t="s">
        <v>1051</v>
      </c>
      <c r="H45" s="670" t="s">
        <v>293</v>
      </c>
      <c r="I45" s="670" t="s">
        <v>293</v>
      </c>
      <c r="J45" s="670" t="s">
        <v>293</v>
      </c>
      <c r="K45" s="670" t="s">
        <v>293</v>
      </c>
    </row>
    <row r="46" spans="1:11" ht="12.75">
      <c r="A46" s="661" t="s">
        <v>628</v>
      </c>
      <c r="B46" s="670" t="s">
        <v>293</v>
      </c>
      <c r="C46" s="670" t="s">
        <v>293</v>
      </c>
      <c r="D46" s="670" t="s">
        <v>293</v>
      </c>
      <c r="E46" s="670" t="s">
        <v>293</v>
      </c>
      <c r="F46" s="670" t="s">
        <v>293</v>
      </c>
      <c r="G46" s="827">
        <v>25</v>
      </c>
      <c r="H46" s="827">
        <v>0.1</v>
      </c>
      <c r="I46" s="827">
        <v>0.1</v>
      </c>
      <c r="J46" s="827">
        <v>0.1</v>
      </c>
      <c r="K46" s="827">
        <v>0.1</v>
      </c>
    </row>
    <row r="47" spans="1:11" ht="12.75">
      <c r="A47" s="712" t="s">
        <v>686</v>
      </c>
      <c r="B47" s="670" t="s">
        <v>324</v>
      </c>
      <c r="C47" s="670" t="s">
        <v>324</v>
      </c>
      <c r="D47" s="670" t="s">
        <v>324</v>
      </c>
      <c r="E47" s="670" t="s">
        <v>324</v>
      </c>
      <c r="F47" s="670" t="s">
        <v>324</v>
      </c>
      <c r="G47" s="826" t="s">
        <v>328</v>
      </c>
      <c r="H47" s="670" t="s">
        <v>328</v>
      </c>
      <c r="I47" s="670" t="s">
        <v>328</v>
      </c>
      <c r="J47" s="670" t="s">
        <v>328</v>
      </c>
      <c r="K47" s="670" t="s">
        <v>328</v>
      </c>
    </row>
    <row r="48" spans="1:11" ht="12.75">
      <c r="A48" s="712" t="s">
        <v>1050</v>
      </c>
      <c r="B48" s="602" t="s">
        <v>293</v>
      </c>
      <c r="C48" s="602" t="s">
        <v>293</v>
      </c>
      <c r="D48" s="602" t="s">
        <v>293</v>
      </c>
      <c r="E48" s="602" t="s">
        <v>293</v>
      </c>
      <c r="F48" s="602" t="s">
        <v>293</v>
      </c>
      <c r="G48" s="825">
        <v>-2.5</v>
      </c>
      <c r="H48" s="664">
        <v>5</v>
      </c>
      <c r="I48" s="664">
        <v>5</v>
      </c>
      <c r="J48" s="664">
        <v>5</v>
      </c>
      <c r="K48" s="664">
        <v>5</v>
      </c>
    </row>
    <row r="49" spans="1:11" ht="12.75">
      <c r="A49" s="712" t="s">
        <v>1049</v>
      </c>
      <c r="B49" s="602" t="s">
        <v>293</v>
      </c>
      <c r="C49" s="602" t="s">
        <v>293</v>
      </c>
      <c r="D49" s="602" t="s">
        <v>293</v>
      </c>
      <c r="E49" s="602" t="s">
        <v>293</v>
      </c>
      <c r="F49" s="602" t="s">
        <v>293</v>
      </c>
      <c r="G49" s="825">
        <v>-35</v>
      </c>
      <c r="H49" s="664">
        <v>-40</v>
      </c>
      <c r="I49" s="664">
        <v>-40</v>
      </c>
      <c r="J49" s="664">
        <v>-40</v>
      </c>
      <c r="K49" s="664">
        <v>-40</v>
      </c>
    </row>
    <row r="50" spans="1:11" ht="12.75">
      <c r="A50" s="712" t="s">
        <v>689</v>
      </c>
      <c r="B50" s="602" t="s">
        <v>293</v>
      </c>
      <c r="C50" s="602" t="s">
        <v>293</v>
      </c>
      <c r="D50" s="602" t="s">
        <v>293</v>
      </c>
      <c r="E50" s="602" t="s">
        <v>293</v>
      </c>
      <c r="F50" s="602" t="s">
        <v>293</v>
      </c>
      <c r="G50" s="825">
        <v>1.45</v>
      </c>
      <c r="H50" s="664">
        <v>0.75</v>
      </c>
      <c r="I50" s="664">
        <v>0.75</v>
      </c>
      <c r="J50" s="664">
        <v>0.75</v>
      </c>
      <c r="K50" s="664">
        <v>0.75</v>
      </c>
    </row>
    <row r="51" spans="1:11" ht="112.5" customHeight="1">
      <c r="A51" s="722" t="s">
        <v>635</v>
      </c>
      <c r="B51" s="776" t="s">
        <v>737</v>
      </c>
      <c r="C51" s="776"/>
      <c r="D51" s="776"/>
      <c r="E51" s="776"/>
      <c r="F51" s="776"/>
      <c r="G51" s="776"/>
      <c r="H51" s="776"/>
      <c r="I51" s="776"/>
      <c r="J51" s="776" t="s">
        <v>1048</v>
      </c>
      <c r="K51" s="776"/>
    </row>
    <row r="52" spans="1:11" ht="12.75">
      <c r="A52" s="728"/>
      <c r="B52" s="661"/>
      <c r="C52" s="661"/>
      <c r="D52" s="661"/>
      <c r="E52" s="661"/>
      <c r="F52" s="661"/>
      <c r="G52" s="661"/>
      <c r="H52" s="661"/>
      <c r="I52" s="661"/>
      <c r="J52" s="661"/>
      <c r="K52" s="661"/>
    </row>
    <row r="53" spans="1:11" ht="12.75">
      <c r="A53" s="728"/>
      <c r="B53" s="661"/>
      <c r="C53" s="661"/>
      <c r="D53" s="661"/>
      <c r="E53" s="661"/>
      <c r="F53" s="661"/>
      <c r="G53" s="661"/>
      <c r="H53" s="661"/>
      <c r="I53" s="661"/>
      <c r="J53" s="661"/>
      <c r="K53" s="661"/>
    </row>
    <row r="54" spans="1:11" ht="12.75">
      <c r="A54" s="728"/>
      <c r="B54" s="661"/>
      <c r="C54" s="661"/>
      <c r="D54" s="661"/>
      <c r="E54" s="661"/>
      <c r="F54" s="661"/>
      <c r="G54" s="661"/>
      <c r="H54" s="661"/>
      <c r="I54" s="661"/>
      <c r="J54" s="661"/>
      <c r="K54" s="661"/>
    </row>
    <row r="55" spans="1:11" ht="12.75">
      <c r="A55" s="60"/>
      <c r="B55" s="60"/>
      <c r="C55" s="60"/>
      <c r="D55" s="60"/>
      <c r="E55" s="60"/>
      <c r="F55" s="60"/>
      <c r="G55" s="60"/>
      <c r="H55" s="60"/>
      <c r="I55" s="60"/>
      <c r="J55" s="60"/>
      <c r="K55" s="60"/>
    </row>
    <row r="56" spans="1:11" ht="12.75">
      <c r="A56" s="60"/>
      <c r="B56" s="60"/>
      <c r="C56" s="60"/>
      <c r="D56" s="60"/>
      <c r="E56" s="60"/>
      <c r="F56" s="60"/>
      <c r="G56" s="60"/>
      <c r="H56" s="60"/>
      <c r="I56" s="60"/>
      <c r="J56" s="60"/>
      <c r="K56" s="60"/>
    </row>
    <row r="57" spans="1:11" ht="12.75">
      <c r="A57" s="60"/>
      <c r="B57" s="60"/>
      <c r="C57" s="60"/>
      <c r="D57" s="60"/>
      <c r="E57" s="60"/>
      <c r="F57" s="60"/>
      <c r="G57" s="60"/>
      <c r="H57" s="60"/>
      <c r="I57" s="60"/>
      <c r="J57" s="60"/>
      <c r="K57" s="60"/>
    </row>
    <row r="58" spans="1:11" ht="12.75">
      <c r="A58" s="60"/>
      <c r="B58" s="60"/>
      <c r="C58" s="60"/>
      <c r="D58" s="60"/>
      <c r="E58" s="60"/>
      <c r="F58" s="60"/>
      <c r="G58" s="60"/>
      <c r="H58" s="60"/>
      <c r="I58" s="60"/>
      <c r="J58" s="60"/>
      <c r="K58" s="60"/>
    </row>
    <row r="59" spans="1:11" ht="12.75">
      <c r="A59" s="60"/>
      <c r="B59" s="60"/>
      <c r="C59" s="60"/>
      <c r="D59" s="60"/>
      <c r="E59" s="60"/>
      <c r="F59" s="60"/>
      <c r="G59" s="60"/>
      <c r="H59" s="60"/>
      <c r="I59" s="60"/>
      <c r="J59" s="60"/>
      <c r="K59" s="60"/>
    </row>
    <row r="60" spans="1:11" ht="12.75">
      <c r="A60" s="60"/>
      <c r="B60" s="60"/>
      <c r="C60" s="60"/>
      <c r="D60" s="60"/>
      <c r="E60" s="60"/>
      <c r="F60" s="60"/>
      <c r="G60" s="60"/>
      <c r="H60" s="60"/>
      <c r="I60" s="60"/>
      <c r="J60" s="60"/>
      <c r="K60" s="60"/>
    </row>
    <row r="61" spans="1:11" ht="12.75">
      <c r="A61" s="60"/>
      <c r="B61" s="60"/>
      <c r="C61" s="60"/>
      <c r="D61" s="60"/>
      <c r="E61" s="60"/>
      <c r="F61" s="60"/>
      <c r="G61" s="60"/>
      <c r="H61" s="60"/>
      <c r="I61" s="60"/>
      <c r="J61" s="60"/>
      <c r="K61" s="60"/>
    </row>
    <row r="62" spans="1:11" ht="12.75">
      <c r="A62" s="60"/>
      <c r="B62" s="60"/>
      <c r="C62" s="60"/>
      <c r="D62" s="60"/>
      <c r="E62" s="60"/>
      <c r="F62" s="60"/>
      <c r="G62" s="60"/>
      <c r="H62" s="60"/>
      <c r="I62" s="60"/>
      <c r="J62" s="60"/>
      <c r="K62" s="60"/>
    </row>
    <row r="63" spans="1:11" ht="12.75">
      <c r="A63" s="60"/>
      <c r="B63" s="60"/>
      <c r="C63" s="60"/>
      <c r="D63" s="60"/>
      <c r="E63" s="60"/>
      <c r="F63" s="60"/>
      <c r="G63" s="60"/>
      <c r="H63" s="60"/>
      <c r="I63" s="60"/>
      <c r="J63" s="60"/>
      <c r="K63" s="60"/>
    </row>
    <row r="64" spans="1:11" ht="12.75">
      <c r="A64" s="60"/>
      <c r="B64" s="60"/>
      <c r="C64" s="60"/>
      <c r="D64" s="60"/>
      <c r="E64" s="60"/>
      <c r="F64" s="60"/>
      <c r="G64" s="60"/>
      <c r="H64" s="60"/>
      <c r="I64" s="60"/>
      <c r="J64" s="60"/>
      <c r="K64" s="60"/>
    </row>
    <row r="65" spans="1:11" ht="12.75">
      <c r="A65" s="60"/>
      <c r="B65" s="60"/>
      <c r="C65" s="60"/>
      <c r="D65" s="60"/>
      <c r="E65" s="60"/>
      <c r="F65" s="60"/>
      <c r="G65" s="60"/>
      <c r="H65" s="60"/>
      <c r="I65" s="60"/>
      <c r="J65" s="60"/>
      <c r="K65" s="60"/>
    </row>
    <row r="66" spans="1:11" ht="12.75">
      <c r="A66" s="60"/>
      <c r="B66" s="60"/>
      <c r="C66" s="60"/>
      <c r="D66" s="60"/>
      <c r="E66" s="60"/>
      <c r="F66" s="60"/>
      <c r="G66" s="60"/>
      <c r="H66" s="60"/>
      <c r="I66" s="60"/>
      <c r="J66" s="60"/>
      <c r="K66" s="60"/>
    </row>
    <row r="67" spans="1:11" ht="12.75">
      <c r="A67" s="60"/>
      <c r="B67" s="60"/>
      <c r="C67" s="60"/>
      <c r="D67" s="60"/>
      <c r="E67" s="60"/>
      <c r="F67" s="60"/>
      <c r="G67" s="60"/>
      <c r="H67" s="60"/>
      <c r="I67" s="60"/>
      <c r="J67" s="60"/>
      <c r="K67" s="60"/>
    </row>
    <row r="68" spans="1:11" ht="12.75">
      <c r="A68" s="60"/>
      <c r="B68" s="60"/>
      <c r="C68" s="60"/>
      <c r="D68" s="60"/>
      <c r="E68" s="60"/>
      <c r="F68" s="60"/>
      <c r="G68" s="60"/>
      <c r="H68" s="60"/>
      <c r="I68" s="60"/>
      <c r="J68" s="60"/>
      <c r="K68" s="60"/>
    </row>
    <row r="69" spans="1:11" ht="12.75">
      <c r="A69" s="60"/>
      <c r="B69" s="60"/>
      <c r="C69" s="60"/>
      <c r="D69" s="60"/>
      <c r="E69" s="60"/>
      <c r="F69" s="60"/>
      <c r="G69" s="60"/>
      <c r="H69" s="60"/>
      <c r="I69" s="60"/>
      <c r="J69" s="60"/>
      <c r="K69" s="60"/>
    </row>
    <row r="70" spans="1:11" ht="12.75">
      <c r="A70" s="60"/>
      <c r="B70" s="60"/>
      <c r="C70" s="60"/>
      <c r="D70" s="60"/>
      <c r="E70" s="60"/>
      <c r="F70" s="60"/>
      <c r="G70" s="60"/>
      <c r="H70" s="60"/>
      <c r="I70" s="60"/>
      <c r="J70" s="60"/>
      <c r="K70" s="60"/>
    </row>
    <row r="71" spans="1:11" ht="12.75">
      <c r="A71" s="60"/>
      <c r="B71" s="60"/>
      <c r="C71" s="60"/>
      <c r="D71" s="60"/>
      <c r="E71" s="60"/>
      <c r="F71" s="60"/>
      <c r="G71" s="60"/>
      <c r="H71" s="60"/>
      <c r="I71" s="60"/>
      <c r="J71" s="60"/>
      <c r="K71" s="60"/>
    </row>
    <row r="72" spans="1:11" ht="12.75">
      <c r="A72" s="60"/>
      <c r="B72" s="60"/>
      <c r="C72" s="60"/>
      <c r="D72" s="60"/>
      <c r="E72" s="60"/>
      <c r="F72" s="60"/>
      <c r="G72" s="60"/>
      <c r="H72" s="60"/>
      <c r="I72" s="60"/>
      <c r="J72" s="60"/>
      <c r="K72" s="60"/>
    </row>
    <row r="73" spans="1:11" ht="12.75">
      <c r="A73" s="60"/>
      <c r="B73" s="60"/>
      <c r="C73" s="60"/>
      <c r="D73" s="60"/>
      <c r="E73" s="60"/>
      <c r="F73" s="60"/>
      <c r="G73" s="60"/>
      <c r="H73" s="60"/>
      <c r="I73" s="60"/>
      <c r="J73" s="60"/>
      <c r="K73" s="60"/>
    </row>
    <row r="74" spans="1:11" ht="12.75">
      <c r="A74" s="60"/>
      <c r="B74" s="60"/>
      <c r="C74" s="60"/>
      <c r="D74" s="60"/>
      <c r="E74" s="60"/>
      <c r="F74" s="60"/>
      <c r="G74" s="60"/>
      <c r="H74" s="60"/>
      <c r="I74" s="60"/>
      <c r="J74" s="60"/>
      <c r="K74" s="60"/>
    </row>
    <row r="75" spans="1:11" ht="12.75">
      <c r="A75" s="60"/>
      <c r="B75" s="60"/>
      <c r="C75" s="60"/>
      <c r="D75" s="60"/>
      <c r="E75" s="60"/>
      <c r="F75" s="60"/>
      <c r="G75" s="60"/>
      <c r="H75" s="60"/>
      <c r="I75" s="60"/>
      <c r="J75" s="60"/>
      <c r="K75" s="60"/>
    </row>
    <row r="76" spans="1:11" ht="12.75">
      <c r="A76" s="60"/>
      <c r="B76" s="60"/>
      <c r="C76" s="60"/>
      <c r="D76" s="60"/>
      <c r="E76" s="60"/>
      <c r="F76" s="60"/>
      <c r="G76" s="60"/>
      <c r="H76" s="60"/>
      <c r="I76" s="60"/>
      <c r="J76" s="60"/>
      <c r="K76" s="60"/>
    </row>
    <row r="77" spans="1:11" ht="12.75">
      <c r="A77" s="60"/>
      <c r="B77" s="60"/>
      <c r="C77" s="60"/>
      <c r="D77" s="60"/>
      <c r="E77" s="60"/>
      <c r="F77" s="60"/>
      <c r="G77" s="60"/>
      <c r="H77" s="60"/>
      <c r="I77" s="60"/>
      <c r="J77" s="60"/>
      <c r="K77" s="60"/>
    </row>
    <row r="78" spans="1:11" ht="12.75">
      <c r="A78" s="60"/>
      <c r="B78" s="60"/>
      <c r="C78" s="60"/>
      <c r="D78" s="60"/>
      <c r="E78" s="60"/>
      <c r="F78" s="60"/>
      <c r="G78" s="60"/>
      <c r="H78" s="60"/>
      <c r="I78" s="60"/>
      <c r="J78" s="60"/>
      <c r="K78" s="60"/>
    </row>
    <row r="79" spans="1:11" ht="12.75">
      <c r="A79" s="60"/>
      <c r="B79" s="60"/>
      <c r="C79" s="60"/>
      <c r="D79" s="60"/>
      <c r="E79" s="60"/>
      <c r="F79" s="60"/>
      <c r="G79" s="60"/>
      <c r="H79" s="60"/>
      <c r="I79" s="60"/>
      <c r="J79" s="60"/>
      <c r="K79" s="60"/>
    </row>
    <row r="80" spans="1:11" ht="12.75">
      <c r="A80" s="60"/>
      <c r="B80" s="60"/>
      <c r="C80" s="60"/>
      <c r="D80" s="60"/>
      <c r="E80" s="60"/>
      <c r="F80" s="60"/>
      <c r="G80" s="60"/>
      <c r="H80" s="60"/>
      <c r="I80" s="60"/>
      <c r="J80" s="60"/>
      <c r="K80" s="60"/>
    </row>
    <row r="81" spans="1:11" ht="12.75">
      <c r="A81" s="60"/>
      <c r="B81" s="60"/>
      <c r="C81" s="60"/>
      <c r="D81" s="60"/>
      <c r="E81" s="60"/>
      <c r="F81" s="60"/>
      <c r="G81" s="60"/>
      <c r="H81" s="60"/>
      <c r="I81" s="60"/>
      <c r="J81" s="60"/>
      <c r="K81" s="60"/>
    </row>
    <row r="82" spans="1:11" ht="12.75">
      <c r="A82" s="60"/>
      <c r="B82" s="60"/>
      <c r="C82" s="60"/>
      <c r="D82" s="60"/>
      <c r="E82" s="60"/>
      <c r="F82" s="60"/>
      <c r="G82" s="60"/>
      <c r="H82" s="60"/>
      <c r="I82" s="60"/>
      <c r="J82" s="60"/>
      <c r="K82" s="60"/>
    </row>
    <row r="83" spans="1:11" ht="12.75">
      <c r="A83" s="60"/>
      <c r="B83" s="60"/>
      <c r="C83" s="60"/>
      <c r="D83" s="60"/>
      <c r="E83" s="60"/>
      <c r="F83" s="60"/>
      <c r="G83" s="60"/>
      <c r="H83" s="60"/>
      <c r="I83" s="60"/>
      <c r="J83" s="60"/>
      <c r="K83" s="60"/>
    </row>
    <row r="84" spans="1:11" ht="12.75">
      <c r="A84" s="60"/>
      <c r="B84" s="60"/>
      <c r="C84" s="60"/>
      <c r="D84" s="60"/>
      <c r="E84" s="60"/>
      <c r="F84" s="60"/>
      <c r="G84" s="60"/>
      <c r="H84" s="60"/>
      <c r="I84" s="60"/>
      <c r="J84" s="60"/>
      <c r="K84" s="60"/>
    </row>
    <row r="85" spans="1:11" ht="12.75">
      <c r="A85" s="60"/>
      <c r="B85" s="60"/>
      <c r="C85" s="60"/>
      <c r="D85" s="60"/>
      <c r="E85" s="60"/>
      <c r="F85" s="60"/>
      <c r="G85" s="60"/>
      <c r="H85" s="60"/>
      <c r="I85" s="60"/>
      <c r="J85" s="60"/>
      <c r="K85" s="60"/>
    </row>
    <row r="86" spans="1:11" ht="12.75">
      <c r="A86" s="60"/>
      <c r="B86" s="60"/>
      <c r="C86" s="60"/>
      <c r="D86" s="60"/>
      <c r="E86" s="60"/>
      <c r="F86" s="60"/>
      <c r="G86" s="60"/>
      <c r="H86" s="60"/>
      <c r="I86" s="60"/>
      <c r="J86" s="60"/>
      <c r="K86" s="60"/>
    </row>
    <row r="87" spans="1:11" ht="12.75">
      <c r="A87" s="60"/>
      <c r="B87" s="60"/>
      <c r="C87" s="60"/>
      <c r="D87" s="60"/>
      <c r="E87" s="60"/>
      <c r="F87" s="60"/>
      <c r="G87" s="60"/>
      <c r="H87" s="60"/>
      <c r="I87" s="60"/>
      <c r="J87" s="60"/>
      <c r="K87" s="60"/>
    </row>
    <row r="88" spans="1:11" ht="12.75">
      <c r="A88" s="60"/>
      <c r="B88" s="60"/>
      <c r="C88" s="60"/>
      <c r="D88" s="60"/>
      <c r="E88" s="60"/>
      <c r="F88" s="60"/>
      <c r="G88" s="60"/>
      <c r="H88" s="60"/>
      <c r="I88" s="60"/>
      <c r="J88" s="60"/>
      <c r="K88" s="60"/>
    </row>
    <row r="89" spans="1:11" ht="12.75">
      <c r="A89" s="60"/>
      <c r="B89" s="60"/>
      <c r="C89" s="60"/>
      <c r="D89" s="60"/>
      <c r="E89" s="60"/>
      <c r="F89" s="60"/>
      <c r="G89" s="60"/>
      <c r="H89" s="60"/>
      <c r="I89" s="60"/>
      <c r="J89" s="60"/>
      <c r="K89" s="60"/>
    </row>
    <row r="90" spans="1:11" ht="12.75">
      <c r="A90" s="60"/>
      <c r="B90" s="60"/>
      <c r="C90" s="60"/>
      <c r="D90" s="60"/>
      <c r="E90" s="60"/>
      <c r="F90" s="60"/>
      <c r="G90" s="60"/>
      <c r="H90" s="60"/>
      <c r="I90" s="60"/>
      <c r="J90" s="60"/>
      <c r="K90" s="60"/>
    </row>
  </sheetData>
  <conditionalFormatting sqref="A1:K1 A3:K5 A7:K11 A13:K36 A38:K90">
    <cfRule type="expression" dxfId="44" priority="1">
      <formula>ISODD(COLUMN())</formula>
    </cfRule>
    <cfRule type="expression" dxfId="43" priority="2">
      <formula>ISEVEN(COLUMN())</formula>
    </cfRule>
  </conditionalFormatting>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38ADA-7D0A-449B-B180-5CF89AC4214B}">
  <sheetPr>
    <tabColor rgb="FFCCCCCC"/>
    <outlinePr summaryBelow="0" summaryRight="0"/>
  </sheetPr>
  <dimension ref="A1:E84"/>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5" width="16.7109375" customWidth="1"/>
  </cols>
  <sheetData>
    <row r="1" spans="1:5" ht="35.25" customHeight="1">
      <c r="A1" s="811" t="s">
        <v>551</v>
      </c>
      <c r="B1" s="655" t="s">
        <v>1069</v>
      </c>
      <c r="C1" s="828" t="s">
        <v>1068</v>
      </c>
      <c r="D1" s="655" t="s">
        <v>1067</v>
      </c>
      <c r="E1" s="655" t="s">
        <v>1066</v>
      </c>
    </row>
    <row r="2" spans="1:5" ht="97.5" customHeight="1">
      <c r="A2" s="810" t="s">
        <v>562</v>
      </c>
      <c r="B2" s="760"/>
      <c r="C2" s="760"/>
      <c r="D2" s="660"/>
      <c r="E2" s="660"/>
    </row>
    <row r="3" spans="1:5" ht="12.75">
      <c r="A3" s="728" t="s">
        <v>563</v>
      </c>
      <c r="B3" s="665">
        <v>1140.8</v>
      </c>
      <c r="C3" s="665">
        <v>1140.8</v>
      </c>
      <c r="D3" s="664">
        <v>410</v>
      </c>
      <c r="E3" s="664">
        <v>283</v>
      </c>
    </row>
    <row r="4" spans="1:5" ht="12.75">
      <c r="A4" s="728" t="s">
        <v>566</v>
      </c>
      <c r="B4" s="665">
        <v>457</v>
      </c>
      <c r="C4" s="665">
        <v>457</v>
      </c>
      <c r="D4" s="664">
        <v>410</v>
      </c>
      <c r="E4" s="664">
        <v>273</v>
      </c>
    </row>
    <row r="5" spans="1:5" ht="12.75">
      <c r="A5" s="728" t="s">
        <v>567</v>
      </c>
      <c r="B5" s="665">
        <v>3.9620000000000002</v>
      </c>
      <c r="C5" s="665">
        <v>3.9620000000000002</v>
      </c>
      <c r="D5" s="664">
        <v>2.56</v>
      </c>
      <c r="E5" s="664">
        <v>2.8730000000000002</v>
      </c>
    </row>
    <row r="6" spans="1:5" ht="18">
      <c r="A6" s="805" t="s">
        <v>1055</v>
      </c>
      <c r="B6" s="698"/>
      <c r="C6" s="698"/>
      <c r="D6" s="697"/>
      <c r="E6" s="697"/>
    </row>
    <row r="7" spans="1:5" ht="12.75">
      <c r="A7" s="728" t="s">
        <v>580</v>
      </c>
      <c r="B7" s="664">
        <f>1.35*428.6</f>
        <v>578.61</v>
      </c>
      <c r="C7" s="664">
        <f>1.35*428.6</f>
        <v>578.61</v>
      </c>
      <c r="D7" s="664">
        <f>1.18*175.1</f>
        <v>206.61799999999999</v>
      </c>
      <c r="E7" s="664">
        <f>1.35*87.1</f>
        <v>117.58499999999999</v>
      </c>
    </row>
    <row r="8" spans="1:5" ht="12.75">
      <c r="A8" s="728" t="s">
        <v>764</v>
      </c>
      <c r="B8" s="670" t="s">
        <v>876</v>
      </c>
      <c r="C8" s="670" t="s">
        <v>876</v>
      </c>
      <c r="D8" s="670" t="s">
        <v>876</v>
      </c>
      <c r="E8" s="670" t="s">
        <v>876</v>
      </c>
    </row>
    <row r="9" spans="1:5" ht="12.75">
      <c r="A9" s="776" t="s">
        <v>762</v>
      </c>
      <c r="B9" s="704">
        <v>117.28879999999999</v>
      </c>
      <c r="C9" s="704">
        <v>117.28879999999999</v>
      </c>
      <c r="D9" s="704">
        <v>88.736955499999993</v>
      </c>
      <c r="E9" s="704">
        <v>81.637749999999997</v>
      </c>
    </row>
    <row r="10" spans="1:5" ht="12.75">
      <c r="A10" s="661" t="s">
        <v>761</v>
      </c>
      <c r="B10" s="704">
        <v>1.0000000000000001E-5</v>
      </c>
      <c r="C10" s="704">
        <v>1.0000000000000001E-5</v>
      </c>
      <c r="D10" s="704">
        <v>1.0000000000000001E-5</v>
      </c>
      <c r="E10" s="704">
        <v>1.0000000000000001E-5</v>
      </c>
    </row>
    <row r="11" spans="1:5" ht="12.75">
      <c r="A11" s="661" t="s">
        <v>760</v>
      </c>
      <c r="B11" s="667" t="s">
        <v>293</v>
      </c>
      <c r="C11" s="667" t="s">
        <v>293</v>
      </c>
      <c r="D11" s="667" t="s">
        <v>293</v>
      </c>
      <c r="E11" s="667" t="s">
        <v>293</v>
      </c>
    </row>
    <row r="12" spans="1:5" ht="18">
      <c r="A12" s="804" t="s">
        <v>585</v>
      </c>
      <c r="B12" s="703"/>
      <c r="C12" s="703"/>
      <c r="D12" s="702"/>
      <c r="E12" s="702"/>
    </row>
    <row r="13" spans="1:5" ht="12.75">
      <c r="A13" s="728" t="s">
        <v>893</v>
      </c>
      <c r="B13" s="665" t="s">
        <v>912</v>
      </c>
      <c r="C13" s="665" t="s">
        <v>912</v>
      </c>
      <c r="D13" s="670" t="s">
        <v>293</v>
      </c>
      <c r="E13" s="670" t="s">
        <v>293</v>
      </c>
    </row>
    <row r="14" spans="1:5" ht="12.75">
      <c r="A14" s="728" t="s">
        <v>586</v>
      </c>
      <c r="B14" s="602" t="s">
        <v>323</v>
      </c>
      <c r="C14" s="602" t="s">
        <v>323</v>
      </c>
      <c r="D14" s="670" t="s">
        <v>323</v>
      </c>
      <c r="E14" s="670" t="s">
        <v>323</v>
      </c>
    </row>
    <row r="15" spans="1:5" ht="12.75">
      <c r="A15" s="728" t="s">
        <v>587</v>
      </c>
      <c r="B15" s="667" t="s">
        <v>293</v>
      </c>
      <c r="C15" s="667" t="s">
        <v>293</v>
      </c>
      <c r="D15" s="664">
        <v>3</v>
      </c>
      <c r="E15" s="664">
        <v>3</v>
      </c>
    </row>
    <row r="16" spans="1:5" ht="12.75">
      <c r="A16" s="728" t="s">
        <v>588</v>
      </c>
      <c r="B16" s="665">
        <v>90</v>
      </c>
      <c r="C16" s="665">
        <v>90</v>
      </c>
      <c r="D16" s="670" t="s">
        <v>293</v>
      </c>
      <c r="E16" s="670" t="s">
        <v>293</v>
      </c>
    </row>
    <row r="17" spans="1:5" ht="12.75">
      <c r="A17" s="728" t="s">
        <v>589</v>
      </c>
      <c r="B17" s="665">
        <v>1</v>
      </c>
      <c r="C17" s="665">
        <v>1</v>
      </c>
      <c r="D17" s="664">
        <v>0.1</v>
      </c>
      <c r="E17" s="664">
        <v>0.1</v>
      </c>
    </row>
    <row r="18" spans="1:5" ht="12.75">
      <c r="A18" s="728" t="s">
        <v>590</v>
      </c>
      <c r="B18" s="665">
        <v>3600</v>
      </c>
      <c r="C18" s="665">
        <v>3600</v>
      </c>
      <c r="D18" s="664">
        <v>3600</v>
      </c>
      <c r="E18" s="664">
        <v>3600</v>
      </c>
    </row>
    <row r="19" spans="1:5" ht="12.75">
      <c r="A19" s="728" t="s">
        <v>591</v>
      </c>
      <c r="B19" s="665">
        <v>0.1</v>
      </c>
      <c r="C19" s="665">
        <v>0.1</v>
      </c>
      <c r="D19" s="664">
        <v>5</v>
      </c>
      <c r="E19" s="664">
        <v>5</v>
      </c>
    </row>
    <row r="20" spans="1:5" ht="12.75">
      <c r="A20" s="728" t="s">
        <v>592</v>
      </c>
      <c r="B20" s="665">
        <v>54</v>
      </c>
      <c r="C20" s="665">
        <v>54</v>
      </c>
      <c r="D20" s="664">
        <v>30</v>
      </c>
      <c r="E20" s="664">
        <v>30</v>
      </c>
    </row>
    <row r="21" spans="1:5" ht="12.75">
      <c r="A21" s="728" t="s">
        <v>593</v>
      </c>
      <c r="B21" s="665">
        <v>2.5</v>
      </c>
      <c r="C21" s="665">
        <v>2.5</v>
      </c>
      <c r="D21" s="664">
        <v>10</v>
      </c>
      <c r="E21" s="664">
        <v>10</v>
      </c>
    </row>
    <row r="22" spans="1:5" ht="12.75">
      <c r="A22" s="728" t="s">
        <v>594</v>
      </c>
      <c r="B22" s="602" t="s">
        <v>328</v>
      </c>
      <c r="C22" s="602" t="s">
        <v>328</v>
      </c>
      <c r="D22" s="670" t="s">
        <v>328</v>
      </c>
      <c r="E22" s="670" t="s">
        <v>328</v>
      </c>
    </row>
    <row r="23" spans="1:5" ht="12.75">
      <c r="A23" s="728" t="s">
        <v>595</v>
      </c>
      <c r="B23" s="665">
        <v>30</v>
      </c>
      <c r="C23" s="665">
        <v>30</v>
      </c>
      <c r="D23" s="664">
        <v>30</v>
      </c>
      <c r="E23" s="664">
        <v>30</v>
      </c>
    </row>
    <row r="24" spans="1:5" ht="31.5" customHeight="1">
      <c r="A24" s="776" t="s">
        <v>596</v>
      </c>
      <c r="B24" s="664">
        <v>1</v>
      </c>
      <c r="C24" s="664">
        <v>1</v>
      </c>
      <c r="D24" s="728">
        <v>10</v>
      </c>
      <c r="E24" s="728">
        <v>10</v>
      </c>
    </row>
    <row r="25" spans="1:5" ht="15.75" customHeight="1">
      <c r="A25" s="728" t="s">
        <v>886</v>
      </c>
      <c r="B25" s="665">
        <v>40</v>
      </c>
      <c r="C25" s="665">
        <v>40</v>
      </c>
      <c r="D25" s="667" t="s">
        <v>293</v>
      </c>
      <c r="E25" s="667" t="s">
        <v>293</v>
      </c>
    </row>
    <row r="26" spans="1:5" ht="15.75" customHeight="1">
      <c r="A26" s="728" t="s">
        <v>1054</v>
      </c>
      <c r="B26" s="665">
        <v>20</v>
      </c>
      <c r="C26" s="665">
        <v>20</v>
      </c>
      <c r="D26" s="728">
        <v>0.8</v>
      </c>
      <c r="E26" s="728">
        <v>0.8</v>
      </c>
    </row>
    <row r="27" spans="1:5" ht="15.75" customHeight="1">
      <c r="A27" s="661" t="s">
        <v>601</v>
      </c>
      <c r="B27" s="670" t="s">
        <v>328</v>
      </c>
      <c r="C27" s="670" t="s">
        <v>328</v>
      </c>
      <c r="D27" s="670" t="s">
        <v>328</v>
      </c>
      <c r="E27" s="670" t="s">
        <v>328</v>
      </c>
    </row>
    <row r="28" spans="1:5" ht="15.75" customHeight="1">
      <c r="A28" s="661" t="s">
        <v>602</v>
      </c>
      <c r="B28" s="670" t="s">
        <v>354</v>
      </c>
      <c r="C28" s="670" t="s">
        <v>354</v>
      </c>
      <c r="D28" s="670" t="s">
        <v>354</v>
      </c>
      <c r="E28" s="670" t="s">
        <v>354</v>
      </c>
    </row>
    <row r="29" spans="1:5" ht="15.75" customHeight="1">
      <c r="A29" s="661" t="s">
        <v>603</v>
      </c>
      <c r="B29" s="664">
        <v>0.1</v>
      </c>
      <c r="C29" s="664">
        <v>0.1</v>
      </c>
      <c r="D29" s="664">
        <v>10</v>
      </c>
      <c r="E29" s="664">
        <v>10</v>
      </c>
    </row>
    <row r="30" spans="1:5" ht="15.75" customHeight="1">
      <c r="A30" s="661" t="s">
        <v>606</v>
      </c>
      <c r="B30" s="664">
        <v>120</v>
      </c>
      <c r="C30" s="664">
        <v>120</v>
      </c>
      <c r="D30" s="664">
        <v>2</v>
      </c>
      <c r="E30" s="664">
        <v>2</v>
      </c>
    </row>
    <row r="31" spans="1:5" ht="25.5">
      <c r="A31" s="682" t="s">
        <v>607</v>
      </c>
      <c r="B31" s="664">
        <v>4</v>
      </c>
      <c r="C31" s="664">
        <v>4</v>
      </c>
      <c r="D31" s="667" t="s">
        <v>293</v>
      </c>
      <c r="E31" s="667" t="s">
        <v>293</v>
      </c>
    </row>
    <row r="32" spans="1:5" ht="15.75" customHeight="1">
      <c r="A32" s="682" t="s">
        <v>608</v>
      </c>
      <c r="B32" s="664">
        <v>1800</v>
      </c>
      <c r="C32" s="664">
        <v>1800</v>
      </c>
      <c r="D32" s="664">
        <v>1300</v>
      </c>
      <c r="E32" s="664">
        <v>1300</v>
      </c>
    </row>
    <row r="33" spans="1:5" ht="15.75" customHeight="1">
      <c r="A33" s="661" t="s">
        <v>609</v>
      </c>
      <c r="B33" s="665">
        <v>8.2100000000000006E-2</v>
      </c>
      <c r="C33" s="665">
        <v>8.2100000000000006E-2</v>
      </c>
      <c r="D33" s="664">
        <v>0.1</v>
      </c>
      <c r="E33" s="664">
        <v>0.1</v>
      </c>
    </row>
    <row r="34" spans="1:5" ht="15.75" customHeight="1">
      <c r="A34" s="712" t="s">
        <v>611</v>
      </c>
      <c r="B34" s="665">
        <v>9.7100000000000006E-2</v>
      </c>
      <c r="C34" s="665">
        <v>9.7100000000000006E-2</v>
      </c>
      <c r="D34" s="664">
        <v>0.1</v>
      </c>
      <c r="E34" s="664">
        <v>0.1</v>
      </c>
    </row>
    <row r="35" spans="1:5" ht="15.75" customHeight="1">
      <c r="A35" s="712" t="s">
        <v>613</v>
      </c>
      <c r="B35" s="665">
        <v>1</v>
      </c>
      <c r="C35" s="665">
        <v>1</v>
      </c>
      <c r="D35" s="664">
        <v>0.75</v>
      </c>
      <c r="E35" s="664">
        <v>0.75</v>
      </c>
    </row>
    <row r="36" spans="1:5" ht="15.75" customHeight="1">
      <c r="A36" s="712" t="s">
        <v>615</v>
      </c>
      <c r="B36" s="665">
        <v>4.0000000000000002E-4</v>
      </c>
      <c r="C36" s="665">
        <v>4.0000000000000002E-4</v>
      </c>
      <c r="D36" s="664">
        <v>0.1</v>
      </c>
      <c r="E36" s="664">
        <v>0.1</v>
      </c>
    </row>
    <row r="37" spans="1:5" ht="24" customHeight="1">
      <c r="A37" s="803" t="s">
        <v>617</v>
      </c>
      <c r="B37" s="830"/>
      <c r="C37" s="830"/>
      <c r="D37" s="791"/>
      <c r="E37" s="791"/>
    </row>
    <row r="38" spans="1:5" ht="12.75">
      <c r="A38" s="661" t="s">
        <v>618</v>
      </c>
      <c r="B38" s="665">
        <f>90*0.15</f>
        <v>13.5</v>
      </c>
      <c r="C38" s="665">
        <f>90*0.15</f>
        <v>13.5</v>
      </c>
      <c r="D38" s="733">
        <f>90*0.15</f>
        <v>13.5</v>
      </c>
      <c r="E38" s="733">
        <f>90*0.15</f>
        <v>13.5</v>
      </c>
    </row>
    <row r="39" spans="1:5" ht="12.75">
      <c r="A39" s="661" t="s">
        <v>621</v>
      </c>
      <c r="B39" s="665">
        <v>1.8</v>
      </c>
      <c r="C39" s="665">
        <v>1.8</v>
      </c>
      <c r="D39" s="829">
        <v>1.5</v>
      </c>
      <c r="E39" s="829">
        <v>1.5</v>
      </c>
    </row>
    <row r="40" spans="1:5" ht="12.75">
      <c r="A40" s="712" t="s">
        <v>631</v>
      </c>
      <c r="B40" s="665">
        <v>4</v>
      </c>
      <c r="C40" s="665">
        <v>4</v>
      </c>
      <c r="D40" s="829">
        <v>3</v>
      </c>
      <c r="E40" s="829">
        <v>3</v>
      </c>
    </row>
    <row r="41" spans="1:5" ht="12.75">
      <c r="A41" s="712" t="s">
        <v>686</v>
      </c>
      <c r="B41" s="670" t="s">
        <v>324</v>
      </c>
      <c r="C41" s="670" t="s">
        <v>324</v>
      </c>
      <c r="D41" s="670" t="s">
        <v>324</v>
      </c>
      <c r="E41" s="670" t="s">
        <v>324</v>
      </c>
    </row>
    <row r="42" spans="1:5" ht="12.75">
      <c r="A42" s="712" t="s">
        <v>1050</v>
      </c>
      <c r="B42" s="602" t="s">
        <v>293</v>
      </c>
      <c r="C42" s="602" t="s">
        <v>293</v>
      </c>
      <c r="D42" s="349" t="s">
        <v>293</v>
      </c>
      <c r="E42" s="349" t="s">
        <v>293</v>
      </c>
    </row>
    <row r="43" spans="1:5" ht="12.75">
      <c r="A43" s="712" t="s">
        <v>1049</v>
      </c>
      <c r="B43" s="602" t="s">
        <v>293</v>
      </c>
      <c r="C43" s="602" t="s">
        <v>293</v>
      </c>
      <c r="D43" s="349" t="s">
        <v>293</v>
      </c>
      <c r="E43" s="349" t="s">
        <v>293</v>
      </c>
    </row>
    <row r="44" spans="1:5" ht="12.75">
      <c r="A44" s="712" t="s">
        <v>689</v>
      </c>
      <c r="B44" s="602" t="s">
        <v>293</v>
      </c>
      <c r="C44" s="602" t="s">
        <v>293</v>
      </c>
      <c r="D44" s="349" t="s">
        <v>293</v>
      </c>
      <c r="E44" s="349" t="s">
        <v>293</v>
      </c>
    </row>
    <row r="45" spans="1:5" ht="112.5" customHeight="1">
      <c r="A45" s="722" t="s">
        <v>635</v>
      </c>
      <c r="B45" s="712"/>
      <c r="C45" s="712"/>
      <c r="D45" s="776"/>
      <c r="E45" s="776"/>
    </row>
    <row r="46" spans="1:5" ht="12.75">
      <c r="A46" s="728"/>
      <c r="B46" s="712"/>
      <c r="C46" s="712"/>
      <c r="D46" s="661"/>
      <c r="E46" s="661"/>
    </row>
    <row r="47" spans="1:5" ht="12.75">
      <c r="A47" s="728"/>
      <c r="B47" s="712"/>
      <c r="C47" s="712"/>
      <c r="D47" s="661"/>
      <c r="E47" s="661"/>
    </row>
    <row r="48" spans="1:5" ht="12.75">
      <c r="A48" s="728"/>
      <c r="B48" s="712"/>
      <c r="C48" s="712"/>
      <c r="D48" s="661"/>
      <c r="E48" s="661"/>
    </row>
    <row r="49" spans="1:5" ht="12.75">
      <c r="A49" s="60"/>
      <c r="B49" s="712"/>
      <c r="C49" s="712"/>
      <c r="D49" s="60"/>
      <c r="E49" s="60"/>
    </row>
    <row r="50" spans="1:5" ht="12.75">
      <c r="A50" s="60"/>
      <c r="B50" s="712"/>
      <c r="C50" s="712"/>
      <c r="D50" s="60"/>
      <c r="E50" s="60"/>
    </row>
    <row r="51" spans="1:5" ht="12.75">
      <c r="A51" s="60"/>
      <c r="B51" s="712"/>
      <c r="C51" s="712"/>
      <c r="D51" s="60"/>
      <c r="E51" s="60"/>
    </row>
    <row r="52" spans="1:5" ht="12.75">
      <c r="A52" s="60"/>
      <c r="B52" s="712"/>
      <c r="C52" s="712"/>
      <c r="D52" s="60"/>
      <c r="E52" s="60"/>
    </row>
    <row r="53" spans="1:5" ht="12.75">
      <c r="A53" s="60"/>
      <c r="B53" s="712"/>
      <c r="C53" s="712"/>
      <c r="D53" s="60"/>
      <c r="E53" s="60"/>
    </row>
    <row r="54" spans="1:5" ht="12.75">
      <c r="A54" s="60"/>
      <c r="B54" s="712"/>
      <c r="C54" s="712"/>
      <c r="D54" s="60"/>
      <c r="E54" s="60"/>
    </row>
    <row r="55" spans="1:5" ht="12.75">
      <c r="A55" s="60"/>
      <c r="B55" s="712"/>
      <c r="C55" s="712"/>
      <c r="D55" s="60"/>
      <c r="E55" s="60"/>
    </row>
    <row r="56" spans="1:5" ht="12.75">
      <c r="A56" s="60"/>
      <c r="B56" s="712"/>
      <c r="C56" s="712"/>
      <c r="D56" s="60"/>
      <c r="E56" s="60"/>
    </row>
    <row r="57" spans="1:5" ht="12.75">
      <c r="A57" s="60"/>
      <c r="B57" s="712"/>
      <c r="C57" s="712"/>
      <c r="D57" s="60"/>
      <c r="E57" s="60"/>
    </row>
    <row r="58" spans="1:5" ht="12.75">
      <c r="A58" s="60"/>
      <c r="B58" s="712"/>
      <c r="C58" s="712"/>
      <c r="D58" s="60"/>
      <c r="E58" s="60"/>
    </row>
    <row r="59" spans="1:5" ht="12.75">
      <c r="A59" s="60"/>
      <c r="B59" s="712"/>
      <c r="C59" s="712"/>
      <c r="D59" s="60"/>
      <c r="E59" s="60"/>
    </row>
    <row r="60" spans="1:5" ht="12.75">
      <c r="A60" s="60"/>
      <c r="B60" s="712"/>
      <c r="C60" s="712"/>
      <c r="D60" s="60"/>
      <c r="E60" s="60"/>
    </row>
    <row r="61" spans="1:5" ht="12.75">
      <c r="A61" s="60"/>
      <c r="B61" s="712"/>
      <c r="C61" s="712"/>
      <c r="D61" s="60"/>
      <c r="E61" s="60"/>
    </row>
    <row r="62" spans="1:5" ht="12.75">
      <c r="A62" s="60"/>
      <c r="B62" s="712"/>
      <c r="C62" s="712"/>
      <c r="D62" s="60"/>
      <c r="E62" s="60"/>
    </row>
    <row r="63" spans="1:5" ht="12.75">
      <c r="A63" s="60"/>
      <c r="B63" s="712"/>
      <c r="C63" s="712"/>
      <c r="D63" s="60"/>
      <c r="E63" s="60"/>
    </row>
    <row r="64" spans="1:5" ht="12.75">
      <c r="A64" s="60"/>
      <c r="B64" s="712"/>
      <c r="C64" s="712"/>
      <c r="D64" s="60"/>
      <c r="E64" s="60"/>
    </row>
    <row r="65" spans="1:5" ht="12.75">
      <c r="A65" s="60"/>
      <c r="B65" s="712"/>
      <c r="C65" s="712"/>
      <c r="D65" s="60"/>
      <c r="E65" s="60"/>
    </row>
    <row r="66" spans="1:5" ht="12.75">
      <c r="A66" s="60"/>
      <c r="B66" s="712"/>
      <c r="C66" s="712"/>
      <c r="D66" s="60"/>
      <c r="E66" s="60"/>
    </row>
    <row r="67" spans="1:5" ht="12.75">
      <c r="A67" s="60"/>
      <c r="B67" s="712"/>
      <c r="C67" s="712"/>
      <c r="D67" s="60"/>
      <c r="E67" s="60"/>
    </row>
    <row r="68" spans="1:5" ht="12.75">
      <c r="A68" s="60"/>
      <c r="B68" s="712"/>
      <c r="C68" s="712"/>
      <c r="D68" s="60"/>
      <c r="E68" s="60"/>
    </row>
    <row r="69" spans="1:5" ht="12.75">
      <c r="A69" s="60"/>
      <c r="B69" s="712"/>
      <c r="C69" s="712"/>
      <c r="D69" s="60"/>
      <c r="E69" s="60"/>
    </row>
    <row r="70" spans="1:5" ht="12.75">
      <c r="A70" s="60"/>
      <c r="B70" s="712"/>
      <c r="C70" s="712"/>
      <c r="D70" s="60"/>
      <c r="E70" s="60"/>
    </row>
    <row r="71" spans="1:5" ht="12.75">
      <c r="A71" s="60"/>
      <c r="B71" s="712"/>
      <c r="C71" s="712"/>
      <c r="D71" s="60"/>
      <c r="E71" s="60"/>
    </row>
    <row r="72" spans="1:5" ht="12.75">
      <c r="A72" s="60"/>
      <c r="B72" s="712"/>
      <c r="C72" s="712"/>
      <c r="D72" s="60"/>
      <c r="E72" s="60"/>
    </row>
    <row r="73" spans="1:5" ht="12.75">
      <c r="A73" s="60"/>
      <c r="B73" s="712"/>
      <c r="C73" s="712"/>
      <c r="D73" s="60"/>
      <c r="E73" s="60"/>
    </row>
    <row r="74" spans="1:5" ht="12.75">
      <c r="A74" s="60"/>
      <c r="B74" s="712"/>
      <c r="C74" s="712"/>
      <c r="D74" s="60"/>
      <c r="E74" s="60"/>
    </row>
    <row r="75" spans="1:5" ht="12.75">
      <c r="A75" s="60"/>
      <c r="B75" s="712"/>
      <c r="C75" s="712"/>
      <c r="D75" s="60"/>
      <c r="E75" s="60"/>
    </row>
    <row r="76" spans="1:5" ht="12.75">
      <c r="A76" s="60"/>
      <c r="B76" s="712"/>
      <c r="C76" s="712"/>
      <c r="D76" s="60"/>
      <c r="E76" s="60"/>
    </row>
    <row r="77" spans="1:5" ht="12.75">
      <c r="A77" s="60"/>
      <c r="B77" s="712"/>
      <c r="C77" s="712"/>
      <c r="D77" s="60"/>
      <c r="E77" s="60"/>
    </row>
    <row r="78" spans="1:5" ht="12.75">
      <c r="A78" s="60"/>
      <c r="B78" s="712"/>
      <c r="C78" s="712"/>
      <c r="D78" s="60"/>
      <c r="E78" s="60"/>
    </row>
    <row r="79" spans="1:5" ht="12.75">
      <c r="A79" s="60"/>
      <c r="B79" s="712"/>
      <c r="C79" s="712"/>
      <c r="D79" s="60"/>
      <c r="E79" s="60"/>
    </row>
    <row r="80" spans="1:5" ht="12.75">
      <c r="A80" s="60"/>
      <c r="B80" s="712"/>
      <c r="C80" s="712"/>
      <c r="D80" s="60"/>
      <c r="E80" s="60"/>
    </row>
    <row r="81" spans="1:5" ht="12.75">
      <c r="A81" s="60"/>
      <c r="B81" s="712"/>
      <c r="C81" s="712"/>
      <c r="D81" s="60"/>
      <c r="E81" s="60"/>
    </row>
    <row r="82" spans="1:5" ht="12.75">
      <c r="A82" s="60"/>
      <c r="B82" s="712"/>
      <c r="C82" s="712"/>
      <c r="D82" s="60"/>
      <c r="E82" s="60"/>
    </row>
    <row r="83" spans="1:5" ht="12.75">
      <c r="A83" s="60"/>
      <c r="B83" s="712"/>
      <c r="C83" s="712"/>
      <c r="D83" s="60"/>
      <c r="E83" s="60"/>
    </row>
    <row r="84" spans="1:5" ht="12.75">
      <c r="A84" s="60"/>
      <c r="B84" s="712"/>
      <c r="C84" s="712"/>
      <c r="D84" s="60"/>
      <c r="E84" s="60"/>
    </row>
  </sheetData>
  <conditionalFormatting sqref="A1:E1 A3:E5 A7:E11 A13:E36 A38:E84">
    <cfRule type="expression" dxfId="42" priority="1">
      <formula>ISODD(COLUMN())</formula>
    </cfRule>
    <cfRule type="expression" dxfId="41" priority="2">
      <formula>ISEVEN(COLUMN())</formula>
    </cfRule>
  </conditionalFormatting>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174F-9F5B-447A-BF1A-A96A60418B85}">
  <sheetPr>
    <tabColor rgb="FFCCCCCC"/>
    <outlinePr summaryBelow="0" summaryRight="0"/>
  </sheetPr>
  <dimension ref="A1:O78"/>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2" width="15.7109375" customWidth="1"/>
    <col min="3" max="3" width="18.140625" customWidth="1"/>
    <col min="4" max="4" width="17.5703125" customWidth="1"/>
    <col min="5" max="5" width="18.140625" customWidth="1"/>
    <col min="6" max="6" width="19.5703125" customWidth="1"/>
    <col min="7" max="7" width="18.28515625" customWidth="1"/>
    <col min="8" max="8" width="19.5703125" customWidth="1"/>
    <col min="11" max="11" width="15.7109375" customWidth="1"/>
    <col min="14" max="14" width="14.42578125" customWidth="1"/>
    <col min="15" max="15" width="15.7109375" customWidth="1"/>
  </cols>
  <sheetData>
    <row r="1" spans="1:15" ht="35.25" customHeight="1">
      <c r="A1" s="811" t="s">
        <v>551</v>
      </c>
      <c r="B1" s="655" t="s">
        <v>1084</v>
      </c>
      <c r="C1" s="655" t="s">
        <v>1083</v>
      </c>
      <c r="D1" s="655" t="s">
        <v>1082</v>
      </c>
      <c r="E1" s="655" t="s">
        <v>1081</v>
      </c>
      <c r="F1" s="655" t="s">
        <v>1080</v>
      </c>
      <c r="G1" s="655" t="s">
        <v>1079</v>
      </c>
      <c r="H1" s="655" t="s">
        <v>1078</v>
      </c>
      <c r="I1" s="655" t="s">
        <v>1077</v>
      </c>
      <c r="J1" s="655" t="s">
        <v>1076</v>
      </c>
      <c r="K1" s="655" t="s">
        <v>1075</v>
      </c>
      <c r="L1" s="655" t="s">
        <v>1074</v>
      </c>
      <c r="M1" s="655" t="s">
        <v>1073</v>
      </c>
      <c r="N1" s="655" t="s">
        <v>1072</v>
      </c>
      <c r="O1" s="655" t="s">
        <v>1071</v>
      </c>
    </row>
    <row r="2" spans="1:15" ht="97.5" customHeight="1">
      <c r="A2" s="810" t="s">
        <v>562</v>
      </c>
      <c r="B2" s="660"/>
      <c r="C2" s="660"/>
      <c r="D2" s="819"/>
      <c r="E2" s="660"/>
      <c r="F2" s="660"/>
      <c r="G2" s="819"/>
      <c r="H2" s="660"/>
      <c r="I2" s="660"/>
      <c r="J2" s="660"/>
      <c r="K2" s="660"/>
      <c r="L2" s="660"/>
      <c r="M2" s="660"/>
      <c r="N2" s="659"/>
      <c r="O2" s="660"/>
    </row>
    <row r="3" spans="1:15" ht="12.75">
      <c r="A3" s="728" t="s">
        <v>563</v>
      </c>
      <c r="B3" s="664">
        <v>3320</v>
      </c>
      <c r="C3" s="664">
        <v>893.6</v>
      </c>
      <c r="D3" s="664">
        <v>893.6</v>
      </c>
      <c r="E3" s="664">
        <v>446.8</v>
      </c>
      <c r="F3" s="664">
        <v>253.1</v>
      </c>
      <c r="G3" s="664">
        <v>253.1</v>
      </c>
      <c r="H3" s="664">
        <v>121.563</v>
      </c>
      <c r="I3" s="831">
        <v>50</v>
      </c>
      <c r="J3" s="831">
        <v>560</v>
      </c>
      <c r="K3" s="664">
        <v>598</v>
      </c>
      <c r="L3" s="831">
        <v>290</v>
      </c>
      <c r="M3" s="831">
        <v>630</v>
      </c>
      <c r="N3" s="664">
        <v>505</v>
      </c>
      <c r="O3" s="664">
        <v>1525</v>
      </c>
    </row>
    <row r="4" spans="1:15" ht="12.75">
      <c r="A4" s="728" t="s">
        <v>566</v>
      </c>
      <c r="B4" s="664">
        <v>820</v>
      </c>
      <c r="C4" s="664">
        <v>457</v>
      </c>
      <c r="D4" s="664">
        <v>457</v>
      </c>
      <c r="E4" s="664">
        <v>356</v>
      </c>
      <c r="F4" s="664">
        <v>273</v>
      </c>
      <c r="G4" s="664">
        <v>273</v>
      </c>
      <c r="H4" s="664">
        <v>190.5</v>
      </c>
      <c r="I4" s="831">
        <v>120</v>
      </c>
      <c r="J4" s="831">
        <v>400</v>
      </c>
      <c r="K4" s="664">
        <v>310</v>
      </c>
      <c r="L4" s="831">
        <v>377</v>
      </c>
      <c r="M4" s="831">
        <v>377</v>
      </c>
      <c r="N4" s="664">
        <v>355</v>
      </c>
      <c r="O4" s="664">
        <v>400</v>
      </c>
    </row>
    <row r="5" spans="1:15" ht="12.75">
      <c r="A5" s="728" t="s">
        <v>567</v>
      </c>
      <c r="B5" s="664">
        <v>4.58</v>
      </c>
      <c r="C5" s="664">
        <v>3.8479999999999999</v>
      </c>
      <c r="D5" s="664">
        <v>3.8479999999999999</v>
      </c>
      <c r="E5" s="664">
        <v>3.008</v>
      </c>
      <c r="F5" s="664">
        <v>2.377948</v>
      </c>
      <c r="G5" s="664">
        <v>2.377948</v>
      </c>
      <c r="H5" s="664">
        <v>1.798</v>
      </c>
      <c r="I5" s="831">
        <v>1.85</v>
      </c>
      <c r="J5" s="831">
        <v>3.05</v>
      </c>
      <c r="K5" s="664">
        <v>4.1920000000000002</v>
      </c>
      <c r="L5" s="831">
        <v>2.93</v>
      </c>
      <c r="M5" s="831">
        <v>3.08</v>
      </c>
      <c r="N5" s="664">
        <v>2.84</v>
      </c>
      <c r="O5" s="664">
        <v>5.05</v>
      </c>
    </row>
    <row r="6" spans="1:15" ht="18">
      <c r="A6" s="805" t="s">
        <v>1055</v>
      </c>
      <c r="B6" s="697"/>
      <c r="C6" s="697"/>
      <c r="D6" s="697"/>
      <c r="E6" s="697"/>
      <c r="F6" s="697"/>
      <c r="G6" s="697"/>
      <c r="H6" s="697"/>
      <c r="I6" s="697"/>
      <c r="J6" s="697"/>
      <c r="K6" s="697"/>
      <c r="L6" s="697"/>
      <c r="M6" s="697"/>
      <c r="N6" s="697"/>
      <c r="O6" s="697"/>
    </row>
    <row r="7" spans="1:15" ht="12.75">
      <c r="A7" s="728" t="s">
        <v>580</v>
      </c>
      <c r="B7" s="664">
        <f>1.6*1387</f>
        <v>2219.2000000000003</v>
      </c>
      <c r="C7" s="664">
        <f>1.35*428.6</f>
        <v>578.61</v>
      </c>
      <c r="D7" s="664">
        <f>1.35*428.6</f>
        <v>578.61</v>
      </c>
      <c r="E7" s="664">
        <f>1.35*201.8</f>
        <v>272.43</v>
      </c>
      <c r="F7" s="664">
        <f>1.35*87.1</f>
        <v>117.58499999999999</v>
      </c>
      <c r="G7" s="664">
        <f>1.28*87.1</f>
        <v>111.488</v>
      </c>
      <c r="H7" s="664">
        <f>1.62*16.3293</f>
        <v>26.453466000000002</v>
      </c>
      <c r="I7" s="831">
        <v>24</v>
      </c>
      <c r="J7" s="831">
        <f>1.6*195</f>
        <v>312</v>
      </c>
      <c r="K7" s="664">
        <f>260*1.6</f>
        <v>416</v>
      </c>
      <c r="L7" s="831">
        <v>91.4</v>
      </c>
      <c r="M7" s="831">
        <v>220</v>
      </c>
      <c r="N7" s="664">
        <f>1.6*185</f>
        <v>296</v>
      </c>
      <c r="O7" s="664">
        <f>1.6*440</f>
        <v>704</v>
      </c>
    </row>
    <row r="8" spans="1:15" ht="12.75">
      <c r="A8" s="728" t="s">
        <v>764</v>
      </c>
      <c r="B8" s="670" t="s">
        <v>876</v>
      </c>
      <c r="C8" s="670" t="s">
        <v>876</v>
      </c>
      <c r="D8" s="670" t="s">
        <v>876</v>
      </c>
      <c r="E8" s="670" t="s">
        <v>876</v>
      </c>
      <c r="F8" s="670" t="s">
        <v>876</v>
      </c>
      <c r="G8" s="670" t="s">
        <v>876</v>
      </c>
      <c r="H8" s="670" t="s">
        <v>876</v>
      </c>
      <c r="I8" s="670" t="s">
        <v>876</v>
      </c>
      <c r="J8" s="670" t="s">
        <v>876</v>
      </c>
      <c r="K8" s="670" t="s">
        <v>876</v>
      </c>
      <c r="L8" s="670" t="s">
        <v>876</v>
      </c>
      <c r="M8" s="670" t="s">
        <v>876</v>
      </c>
      <c r="N8" s="670" t="s">
        <v>876</v>
      </c>
      <c r="O8" s="670" t="s">
        <v>876</v>
      </c>
    </row>
    <row r="9" spans="1:15" ht="12.75">
      <c r="A9" s="776" t="s">
        <v>762</v>
      </c>
      <c r="B9" s="704">
        <v>237.38839999999999</v>
      </c>
      <c r="C9" s="704">
        <v>117.28879999999999</v>
      </c>
      <c r="D9" s="704">
        <v>117.28879999999999</v>
      </c>
      <c r="E9" s="704">
        <v>93.856666666600006</v>
      </c>
      <c r="F9" s="704">
        <v>81.637749999999997</v>
      </c>
      <c r="G9" s="704">
        <v>80.723200000000006</v>
      </c>
      <c r="H9" s="664">
        <v>65.484488666659999</v>
      </c>
      <c r="I9" s="704">
        <v>64.857140000000001</v>
      </c>
      <c r="J9" s="704">
        <v>96.9</v>
      </c>
      <c r="K9" s="704">
        <v>104.7</v>
      </c>
      <c r="L9" s="704">
        <v>77.709999999999994</v>
      </c>
      <c r="M9" s="704">
        <v>89.777777777769998</v>
      </c>
      <c r="N9" s="664">
        <v>95.688888888799994</v>
      </c>
      <c r="O9" s="704">
        <v>127.32</v>
      </c>
    </row>
    <row r="10" spans="1:15" ht="12.75">
      <c r="A10" s="661" t="s">
        <v>761</v>
      </c>
      <c r="B10" s="704">
        <v>1.0000000000000001E-5</v>
      </c>
      <c r="C10" s="704">
        <v>1.0000000000000001E-5</v>
      </c>
      <c r="D10" s="704">
        <v>1.0000000000000001E-5</v>
      </c>
      <c r="E10" s="704">
        <v>1.0000000000000001E-5</v>
      </c>
      <c r="F10" s="704">
        <v>1.0000000000000001E-5</v>
      </c>
      <c r="G10" s="704">
        <v>1.0000000000000001E-5</v>
      </c>
      <c r="H10" s="704">
        <v>1.0000000000000001E-5</v>
      </c>
      <c r="I10" s="704">
        <v>1.0000000000000001E-5</v>
      </c>
      <c r="J10" s="704">
        <v>1.0000000000000001E-5</v>
      </c>
      <c r="K10" s="704">
        <v>1.0000000000000001E-5</v>
      </c>
      <c r="L10" s="704">
        <v>1.0000000000000001E-5</v>
      </c>
      <c r="M10" s="704">
        <v>1.0000000000000001E-5</v>
      </c>
      <c r="N10" s="704">
        <v>1.0000000000000001E-5</v>
      </c>
      <c r="O10" s="704">
        <v>1.0000000000000001E-5</v>
      </c>
    </row>
    <row r="11" spans="1:15" ht="12.75">
      <c r="A11" s="661" t="s">
        <v>760</v>
      </c>
      <c r="B11" s="667" t="s">
        <v>293</v>
      </c>
      <c r="C11" s="667" t="s">
        <v>293</v>
      </c>
      <c r="D11" s="667" t="s">
        <v>293</v>
      </c>
      <c r="E11" s="667" t="s">
        <v>293</v>
      </c>
      <c r="F11" s="667" t="s">
        <v>293</v>
      </c>
      <c r="G11" s="667" t="s">
        <v>293</v>
      </c>
      <c r="H11" s="664">
        <v>1</v>
      </c>
      <c r="I11" s="667" t="s">
        <v>293</v>
      </c>
      <c r="J11" s="667" t="s">
        <v>293</v>
      </c>
      <c r="K11" s="667" t="s">
        <v>293</v>
      </c>
      <c r="L11" s="667" t="s">
        <v>293</v>
      </c>
      <c r="M11" s="667" t="s">
        <v>293</v>
      </c>
      <c r="N11" s="670" t="s">
        <v>293</v>
      </c>
      <c r="O11" s="667" t="s">
        <v>293</v>
      </c>
    </row>
    <row r="12" spans="1:15" ht="18">
      <c r="A12" s="804" t="s">
        <v>585</v>
      </c>
      <c r="B12" s="702"/>
      <c r="C12" s="702"/>
      <c r="D12" s="702"/>
      <c r="E12" s="702"/>
      <c r="F12" s="702"/>
      <c r="G12" s="702"/>
      <c r="H12" s="702"/>
      <c r="I12" s="702"/>
      <c r="J12" s="702"/>
      <c r="K12" s="702"/>
      <c r="L12" s="702"/>
      <c r="M12" s="702"/>
      <c r="N12" s="702"/>
      <c r="O12" s="702"/>
    </row>
    <row r="13" spans="1:15" ht="12.75">
      <c r="A13" s="728" t="s">
        <v>586</v>
      </c>
      <c r="B13" s="670" t="s">
        <v>929</v>
      </c>
      <c r="C13" s="670" t="s">
        <v>929</v>
      </c>
      <c r="D13" s="670" t="s">
        <v>929</v>
      </c>
      <c r="E13" s="670" t="s">
        <v>929</v>
      </c>
      <c r="F13" s="670" t="s">
        <v>929</v>
      </c>
      <c r="G13" s="670" t="s">
        <v>929</v>
      </c>
      <c r="H13" s="670" t="s">
        <v>929</v>
      </c>
      <c r="I13" s="670" t="s">
        <v>929</v>
      </c>
      <c r="J13" s="670" t="s">
        <v>929</v>
      </c>
      <c r="K13" s="670" t="s">
        <v>929</v>
      </c>
      <c r="L13" s="670" t="s">
        <v>929</v>
      </c>
      <c r="M13" s="670" t="s">
        <v>929</v>
      </c>
      <c r="N13" s="670" t="s">
        <v>929</v>
      </c>
      <c r="O13" s="670" t="s">
        <v>929</v>
      </c>
    </row>
    <row r="14" spans="1:15" ht="12.75">
      <c r="A14" s="728" t="s">
        <v>587</v>
      </c>
      <c r="B14" s="664">
        <v>2.5</v>
      </c>
      <c r="C14" s="664">
        <v>0.3</v>
      </c>
      <c r="D14" s="664">
        <v>0.3</v>
      </c>
      <c r="E14" s="664">
        <v>0.3</v>
      </c>
      <c r="F14" s="664">
        <v>0.3</v>
      </c>
      <c r="G14" s="664">
        <v>0.3</v>
      </c>
      <c r="H14" s="664">
        <v>2.5</v>
      </c>
      <c r="I14" s="667" t="s">
        <v>293</v>
      </c>
      <c r="J14" s="831">
        <v>1.5</v>
      </c>
      <c r="K14" s="664">
        <v>1</v>
      </c>
      <c r="L14" s="664">
        <v>1.5</v>
      </c>
      <c r="M14" s="664">
        <v>1.5</v>
      </c>
      <c r="N14" s="664">
        <v>1</v>
      </c>
      <c r="O14" s="664">
        <v>1</v>
      </c>
    </row>
    <row r="15" spans="1:15" ht="12.75">
      <c r="A15" s="728" t="s">
        <v>588</v>
      </c>
      <c r="B15" s="664">
        <v>400</v>
      </c>
      <c r="C15" s="664">
        <v>200</v>
      </c>
      <c r="D15" s="664">
        <v>200</v>
      </c>
      <c r="E15" s="664">
        <v>200</v>
      </c>
      <c r="F15" s="664">
        <v>200</v>
      </c>
      <c r="G15" s="664">
        <v>200</v>
      </c>
      <c r="H15" s="664">
        <v>700</v>
      </c>
      <c r="I15" s="831">
        <v>60</v>
      </c>
      <c r="J15" s="831">
        <v>40</v>
      </c>
      <c r="K15" s="664">
        <v>260</v>
      </c>
      <c r="L15" s="664">
        <v>300</v>
      </c>
      <c r="M15" s="664">
        <v>300</v>
      </c>
      <c r="N15" s="664">
        <v>200</v>
      </c>
      <c r="O15" s="664">
        <v>200</v>
      </c>
    </row>
    <row r="16" spans="1:15" ht="12.75">
      <c r="A16" s="728" t="s">
        <v>589</v>
      </c>
      <c r="B16" s="664">
        <v>1</v>
      </c>
      <c r="C16" s="664">
        <v>1</v>
      </c>
      <c r="D16" s="664">
        <v>1</v>
      </c>
      <c r="E16" s="664">
        <v>1</v>
      </c>
      <c r="F16" s="664">
        <v>1</v>
      </c>
      <c r="G16" s="664">
        <v>1</v>
      </c>
      <c r="H16" s="664">
        <v>1</v>
      </c>
      <c r="I16" s="664">
        <v>1</v>
      </c>
      <c r="J16" s="664">
        <v>1</v>
      </c>
      <c r="K16" s="664">
        <v>1</v>
      </c>
      <c r="L16" s="664">
        <v>1</v>
      </c>
      <c r="M16" s="664">
        <v>1</v>
      </c>
      <c r="N16" s="664">
        <v>1</v>
      </c>
      <c r="O16" s="664">
        <v>1</v>
      </c>
    </row>
    <row r="17" spans="1:15" ht="12.75">
      <c r="A17" s="728" t="s">
        <v>590</v>
      </c>
      <c r="B17" s="664">
        <v>3600</v>
      </c>
      <c r="C17" s="664">
        <v>3600</v>
      </c>
      <c r="D17" s="664">
        <v>3600</v>
      </c>
      <c r="E17" s="664">
        <v>3600</v>
      </c>
      <c r="F17" s="664">
        <v>3600</v>
      </c>
      <c r="G17" s="664">
        <v>3600</v>
      </c>
      <c r="H17" s="664">
        <v>3600</v>
      </c>
      <c r="I17" s="664">
        <v>3600</v>
      </c>
      <c r="J17" s="664">
        <v>3600</v>
      </c>
      <c r="K17" s="664">
        <v>3600</v>
      </c>
      <c r="L17" s="664">
        <v>3600</v>
      </c>
      <c r="M17" s="664">
        <v>3600</v>
      </c>
      <c r="N17" s="664">
        <v>3600</v>
      </c>
      <c r="O17" s="664">
        <v>3600</v>
      </c>
    </row>
    <row r="18" spans="1:15" ht="12.75">
      <c r="A18" s="728" t="s">
        <v>592</v>
      </c>
      <c r="B18" s="664">
        <v>180</v>
      </c>
      <c r="C18" s="664">
        <v>180</v>
      </c>
      <c r="D18" s="664">
        <v>180</v>
      </c>
      <c r="E18" s="664">
        <v>180</v>
      </c>
      <c r="F18" s="664">
        <v>180</v>
      </c>
      <c r="G18" s="664">
        <v>180</v>
      </c>
      <c r="H18" s="664">
        <v>180</v>
      </c>
      <c r="I18" s="664">
        <v>180</v>
      </c>
      <c r="J18" s="664">
        <v>180</v>
      </c>
      <c r="K18" s="664">
        <v>180</v>
      </c>
      <c r="L18" s="664">
        <v>180</v>
      </c>
      <c r="M18" s="664">
        <v>180</v>
      </c>
      <c r="N18" s="664">
        <v>180</v>
      </c>
      <c r="O18" s="664">
        <v>180</v>
      </c>
    </row>
    <row r="19" spans="1:15" ht="25.5">
      <c r="A19" s="682" t="s">
        <v>607</v>
      </c>
      <c r="B19" s="664">
        <v>4</v>
      </c>
      <c r="C19" s="664">
        <v>4</v>
      </c>
      <c r="D19" s="664">
        <v>4</v>
      </c>
      <c r="E19" s="664">
        <v>4</v>
      </c>
      <c r="F19" s="664">
        <v>4</v>
      </c>
      <c r="G19" s="664">
        <v>4</v>
      </c>
      <c r="H19" s="664">
        <v>4</v>
      </c>
      <c r="I19" s="664">
        <v>4</v>
      </c>
      <c r="J19" s="664">
        <v>4</v>
      </c>
      <c r="K19" s="664">
        <v>4</v>
      </c>
      <c r="L19" s="664">
        <v>4</v>
      </c>
      <c r="M19" s="664">
        <v>4</v>
      </c>
      <c r="N19" s="664">
        <v>4</v>
      </c>
      <c r="O19" s="664">
        <v>4</v>
      </c>
    </row>
    <row r="20" spans="1:15" ht="12.75">
      <c r="A20" s="682" t="s">
        <v>608</v>
      </c>
      <c r="B20" s="664">
        <v>1800</v>
      </c>
      <c r="C20" s="664">
        <v>1800</v>
      </c>
      <c r="D20" s="664">
        <v>1800</v>
      </c>
      <c r="E20" s="664">
        <v>1800</v>
      </c>
      <c r="F20" s="664">
        <v>1800</v>
      </c>
      <c r="G20" s="664">
        <v>1800</v>
      </c>
      <c r="H20" s="664">
        <v>1800</v>
      </c>
      <c r="I20" s="664">
        <v>1800</v>
      </c>
      <c r="J20" s="664">
        <v>1800</v>
      </c>
      <c r="K20" s="664">
        <v>1800</v>
      </c>
      <c r="L20" s="664">
        <v>1800</v>
      </c>
      <c r="M20" s="664">
        <v>1800</v>
      </c>
      <c r="N20" s="664">
        <v>1800</v>
      </c>
      <c r="O20" s="664">
        <v>1800</v>
      </c>
    </row>
    <row r="21" spans="1:15" ht="15.75" customHeight="1">
      <c r="A21" s="661" t="s">
        <v>609</v>
      </c>
      <c r="B21" s="664">
        <v>0.199599</v>
      </c>
      <c r="C21" s="664">
        <v>0.1111</v>
      </c>
      <c r="D21" s="664">
        <v>0.1111</v>
      </c>
      <c r="E21" s="664">
        <v>0.1236</v>
      </c>
      <c r="F21" s="664">
        <v>4.1099999999999998E-2</v>
      </c>
      <c r="G21" s="664">
        <v>4.1099999999999998E-2</v>
      </c>
      <c r="H21" s="664">
        <v>1.61E-2</v>
      </c>
      <c r="I21" s="664">
        <v>8.2100000000000006E-2</v>
      </c>
      <c r="J21" s="664">
        <v>2.1100000000000001E-2</v>
      </c>
      <c r="K21" s="664">
        <v>1.61E-2</v>
      </c>
      <c r="L21" s="664">
        <v>1.8599999999999998E-2</v>
      </c>
      <c r="M21" s="664">
        <v>0.45100000000000001</v>
      </c>
      <c r="N21" s="664">
        <v>4.9099999999999998E-2</v>
      </c>
      <c r="O21" s="664">
        <v>4.6100000000000002E-2</v>
      </c>
    </row>
    <row r="22" spans="1:15" ht="15.75" customHeight="1">
      <c r="A22" s="728" t="s">
        <v>611</v>
      </c>
      <c r="B22" s="664">
        <v>4.3499999999999997E-2</v>
      </c>
      <c r="C22" s="664">
        <v>1.0999999999999999E-2</v>
      </c>
      <c r="D22" s="664">
        <v>1.0999999999999999E-2</v>
      </c>
      <c r="E22" s="664">
        <v>8.9999999999999993E-3</v>
      </c>
      <c r="F22" s="664">
        <v>0.192499</v>
      </c>
      <c r="G22" s="664">
        <v>0.192499</v>
      </c>
      <c r="H22" s="664">
        <v>6.25E-2</v>
      </c>
      <c r="I22" s="664">
        <v>0</v>
      </c>
      <c r="J22" s="664">
        <v>0.14949999999999999</v>
      </c>
      <c r="K22" s="664">
        <v>8.4000000000000005E-2</v>
      </c>
      <c r="L22" s="664">
        <v>6.3500000000000001E-2</v>
      </c>
      <c r="M22" s="664">
        <v>4.4999999999999998E-2</v>
      </c>
      <c r="N22" s="664">
        <v>0.1055</v>
      </c>
      <c r="O22" s="664">
        <v>6.6500000000000004E-2</v>
      </c>
    </row>
    <row r="23" spans="1:15" ht="15.75" customHeight="1">
      <c r="A23" s="728" t="s">
        <v>613</v>
      </c>
      <c r="B23" s="664">
        <v>1</v>
      </c>
      <c r="C23" s="664">
        <v>1</v>
      </c>
      <c r="D23" s="664">
        <v>1</v>
      </c>
      <c r="E23" s="664">
        <v>1</v>
      </c>
      <c r="F23" s="664">
        <v>1</v>
      </c>
      <c r="G23" s="664">
        <v>1</v>
      </c>
      <c r="H23" s="664">
        <v>1</v>
      </c>
      <c r="I23" s="664">
        <v>0</v>
      </c>
      <c r="J23" s="664">
        <v>1</v>
      </c>
      <c r="K23" s="664">
        <v>1</v>
      </c>
      <c r="L23" s="664">
        <v>1</v>
      </c>
      <c r="M23" s="664">
        <v>1</v>
      </c>
      <c r="N23" s="664">
        <v>1</v>
      </c>
      <c r="O23" s="664">
        <v>1</v>
      </c>
    </row>
    <row r="24" spans="1:15" ht="15.75" customHeight="1">
      <c r="A24" s="728" t="s">
        <v>615</v>
      </c>
      <c r="B24" s="664">
        <v>1E-4</v>
      </c>
      <c r="C24" s="664">
        <v>1E-4</v>
      </c>
      <c r="D24" s="664">
        <v>1E-4</v>
      </c>
      <c r="E24" s="664">
        <v>1E-4</v>
      </c>
      <c r="F24" s="664">
        <v>4.0000000000000002E-4</v>
      </c>
      <c r="G24" s="664">
        <v>4.0000000000000002E-4</v>
      </c>
      <c r="H24" s="664">
        <v>5.0000000000000001E-4</v>
      </c>
      <c r="I24" s="664">
        <v>1.5E-3</v>
      </c>
      <c r="J24" s="664">
        <v>6.9999999999999999E-4</v>
      </c>
      <c r="K24" s="664">
        <v>8.0000000000000004E-4</v>
      </c>
      <c r="L24" s="664">
        <v>1E-4</v>
      </c>
      <c r="M24" s="664">
        <v>5.0000000000000001E-4</v>
      </c>
      <c r="N24" s="664">
        <v>4.0000000000000002E-4</v>
      </c>
      <c r="O24" s="664">
        <v>1.6999999999999999E-3</v>
      </c>
    </row>
    <row r="25" spans="1:15" ht="24" customHeight="1">
      <c r="A25" s="803" t="s">
        <v>617</v>
      </c>
      <c r="B25" s="791"/>
      <c r="C25" s="802"/>
      <c r="D25" s="802"/>
      <c r="E25" s="802"/>
      <c r="F25" s="802"/>
      <c r="G25" s="802"/>
      <c r="H25" s="802"/>
      <c r="I25" s="802"/>
      <c r="J25" s="802"/>
      <c r="K25" s="791"/>
      <c r="L25" s="802"/>
      <c r="M25" s="802"/>
      <c r="N25" s="802"/>
      <c r="O25" s="791"/>
    </row>
    <row r="26" spans="1:15" ht="12.75">
      <c r="A26" s="661" t="s">
        <v>618</v>
      </c>
      <c r="B26" s="704" t="str">
        <f>TEXT(90*0.05, "0.0") &amp; " / " &amp; TEXT(90*0.2,"0") &amp; " [H / V]"</f>
        <v>4.5 / 18 [H / V]</v>
      </c>
      <c r="C26" s="664">
        <f>90*0.224484</f>
        <v>20.20356</v>
      </c>
      <c r="D26" s="664">
        <f>90*0.224484</f>
        <v>20.20356</v>
      </c>
      <c r="E26" s="664">
        <f>90*0.224484</f>
        <v>20.20356</v>
      </c>
      <c r="F26" s="662">
        <f>90*0.246</f>
        <v>22.14</v>
      </c>
      <c r="G26" s="662">
        <f>90*0.246</f>
        <v>22.14</v>
      </c>
      <c r="H26" s="662">
        <f>90*0.3</f>
        <v>27</v>
      </c>
      <c r="I26" s="662">
        <f>90*0.1278</f>
        <v>11.501999999999999</v>
      </c>
      <c r="J26" s="662">
        <f>90*0.3</f>
        <v>27</v>
      </c>
      <c r="K26" s="662">
        <f>0.2*90</f>
        <v>18</v>
      </c>
      <c r="L26" s="662">
        <f>90*0.291864</f>
        <v>26.267760000000003</v>
      </c>
      <c r="M26" s="662">
        <f>90*0.294517</f>
        <v>26.506529999999998</v>
      </c>
      <c r="N26" s="664">
        <f>90*0.3</f>
        <v>27</v>
      </c>
      <c r="O26" s="662">
        <f>90*0.3</f>
        <v>27</v>
      </c>
    </row>
    <row r="27" spans="1:15" ht="12.75">
      <c r="A27" s="712" t="s">
        <v>619</v>
      </c>
      <c r="B27" s="667" t="s">
        <v>293</v>
      </c>
      <c r="C27" s="667" t="s">
        <v>293</v>
      </c>
      <c r="D27" s="667" t="s">
        <v>293</v>
      </c>
      <c r="E27" s="667" t="s">
        <v>293</v>
      </c>
      <c r="F27" s="667" t="s">
        <v>293</v>
      </c>
      <c r="G27" s="667" t="s">
        <v>293</v>
      </c>
      <c r="H27" s="667" t="s">
        <v>293</v>
      </c>
      <c r="I27" s="662">
        <v>2.4500000000000002</v>
      </c>
      <c r="J27" s="667" t="s">
        <v>293</v>
      </c>
      <c r="K27" s="667" t="s">
        <v>293</v>
      </c>
      <c r="L27" s="667" t="s">
        <v>293</v>
      </c>
      <c r="M27" s="667" t="s">
        <v>293</v>
      </c>
      <c r="N27" s="667" t="s">
        <v>293</v>
      </c>
      <c r="O27" s="667" t="s">
        <v>293</v>
      </c>
    </row>
    <row r="28" spans="1:15" ht="12.75">
      <c r="A28" s="661" t="s">
        <v>621</v>
      </c>
      <c r="B28" s="812">
        <v>5</v>
      </c>
      <c r="C28" s="812">
        <v>1.5</v>
      </c>
      <c r="D28" s="812">
        <v>1.5</v>
      </c>
      <c r="E28" s="812">
        <v>1.3</v>
      </c>
      <c r="F28" s="812">
        <v>1.05</v>
      </c>
      <c r="G28" s="812">
        <v>1.05</v>
      </c>
      <c r="H28" s="812">
        <v>3.5</v>
      </c>
      <c r="I28" s="831">
        <v>2.5</v>
      </c>
      <c r="J28" s="831">
        <v>1.6</v>
      </c>
      <c r="K28" s="812">
        <v>3</v>
      </c>
      <c r="L28" s="812">
        <v>3</v>
      </c>
      <c r="M28" s="812">
        <v>3</v>
      </c>
      <c r="N28" s="812">
        <v>1.75</v>
      </c>
      <c r="O28" s="812">
        <v>2</v>
      </c>
    </row>
    <row r="29" spans="1:15" ht="12.75">
      <c r="A29" s="728" t="s">
        <v>631</v>
      </c>
      <c r="B29" s="812">
        <v>2</v>
      </c>
      <c r="C29" s="812">
        <v>2.75</v>
      </c>
      <c r="D29" s="812">
        <v>2.75</v>
      </c>
      <c r="E29" s="812">
        <v>2.75</v>
      </c>
      <c r="F29" s="812">
        <v>2.75</v>
      </c>
      <c r="G29" s="812">
        <v>2.75</v>
      </c>
      <c r="H29" s="812">
        <v>10</v>
      </c>
      <c r="I29" s="831">
        <v>2.4500000000000002</v>
      </c>
      <c r="J29" s="831">
        <v>4</v>
      </c>
      <c r="K29" s="812">
        <v>8</v>
      </c>
      <c r="L29" s="812">
        <v>9</v>
      </c>
      <c r="M29" s="812">
        <v>5</v>
      </c>
      <c r="N29" s="812">
        <v>5</v>
      </c>
      <c r="O29" s="812">
        <v>4</v>
      </c>
    </row>
    <row r="30" spans="1:15" ht="12.75">
      <c r="A30" s="661" t="s">
        <v>626</v>
      </c>
      <c r="B30" s="812">
        <v>2.5</v>
      </c>
      <c r="C30" s="812">
        <v>0.3</v>
      </c>
      <c r="D30" s="812">
        <v>0.3</v>
      </c>
      <c r="E30" s="812">
        <v>0.3</v>
      </c>
      <c r="F30" s="812">
        <v>0.3</v>
      </c>
      <c r="G30" s="812">
        <v>0.3</v>
      </c>
      <c r="H30" s="812">
        <v>2.5</v>
      </c>
      <c r="I30" s="667" t="s">
        <v>293</v>
      </c>
      <c r="J30" s="812">
        <v>1.5</v>
      </c>
      <c r="K30" s="812">
        <v>1</v>
      </c>
      <c r="L30" s="812">
        <v>1.5</v>
      </c>
      <c r="M30" s="812">
        <v>1.5</v>
      </c>
      <c r="N30" s="812">
        <v>1</v>
      </c>
      <c r="O30" s="812">
        <v>1</v>
      </c>
    </row>
    <row r="31" spans="1:15" ht="12.75">
      <c r="A31" s="661" t="s">
        <v>756</v>
      </c>
      <c r="B31" s="667" t="s">
        <v>293</v>
      </c>
      <c r="C31" s="667" t="s">
        <v>293</v>
      </c>
      <c r="D31" s="667" t="s">
        <v>293</v>
      </c>
      <c r="E31" s="667" t="s">
        <v>293</v>
      </c>
      <c r="F31" s="667" t="s">
        <v>293</v>
      </c>
      <c r="G31" s="667" t="s">
        <v>293</v>
      </c>
      <c r="H31" s="667" t="s">
        <v>293</v>
      </c>
      <c r="I31" s="831" t="s">
        <v>1053</v>
      </c>
      <c r="J31" s="667" t="s">
        <v>293</v>
      </c>
      <c r="K31" s="667" t="s">
        <v>293</v>
      </c>
      <c r="L31" s="667" t="s">
        <v>293</v>
      </c>
      <c r="M31" s="667" t="s">
        <v>293</v>
      </c>
      <c r="N31" s="667" t="s">
        <v>293</v>
      </c>
      <c r="O31" s="667" t="s">
        <v>293</v>
      </c>
    </row>
    <row r="32" spans="1:15" ht="12.75">
      <c r="A32" s="661" t="s">
        <v>756</v>
      </c>
      <c r="B32" s="667" t="s">
        <v>293</v>
      </c>
      <c r="C32" s="667" t="s">
        <v>293</v>
      </c>
      <c r="D32" s="667" t="s">
        <v>293</v>
      </c>
      <c r="E32" s="667" t="s">
        <v>293</v>
      </c>
      <c r="F32" s="667" t="s">
        <v>293</v>
      </c>
      <c r="G32" s="667" t="s">
        <v>293</v>
      </c>
      <c r="H32" s="667" t="s">
        <v>293</v>
      </c>
      <c r="I32" s="831" t="s">
        <v>1052</v>
      </c>
      <c r="J32" s="667" t="s">
        <v>293</v>
      </c>
      <c r="K32" s="667" t="s">
        <v>293</v>
      </c>
      <c r="L32" s="667" t="s">
        <v>293</v>
      </c>
      <c r="M32" s="667" t="s">
        <v>293</v>
      </c>
      <c r="N32" s="667" t="s">
        <v>293</v>
      </c>
      <c r="O32" s="667" t="s">
        <v>293</v>
      </c>
    </row>
    <row r="33" spans="1:15" ht="12.75">
      <c r="A33" s="661" t="s">
        <v>756</v>
      </c>
      <c r="B33" s="667" t="s">
        <v>293</v>
      </c>
      <c r="C33" s="667" t="s">
        <v>293</v>
      </c>
      <c r="D33" s="667" t="s">
        <v>293</v>
      </c>
      <c r="E33" s="667" t="s">
        <v>293</v>
      </c>
      <c r="F33" s="667" t="s">
        <v>293</v>
      </c>
      <c r="G33" s="667" t="s">
        <v>293</v>
      </c>
      <c r="H33" s="667" t="s">
        <v>293</v>
      </c>
      <c r="I33" s="831" t="s">
        <v>1051</v>
      </c>
      <c r="J33" s="667" t="s">
        <v>293</v>
      </c>
      <c r="K33" s="667" t="s">
        <v>293</v>
      </c>
      <c r="L33" s="667" t="s">
        <v>293</v>
      </c>
      <c r="M33" s="667" t="s">
        <v>293</v>
      </c>
      <c r="N33" s="667" t="s">
        <v>293</v>
      </c>
      <c r="O33" s="667" t="s">
        <v>293</v>
      </c>
    </row>
    <row r="34" spans="1:15" ht="12.75">
      <c r="A34" s="661" t="s">
        <v>628</v>
      </c>
      <c r="B34" s="812">
        <v>2.5099999999999998</v>
      </c>
      <c r="C34" s="812">
        <v>0.31</v>
      </c>
      <c r="D34" s="812">
        <v>0.31</v>
      </c>
      <c r="E34" s="812">
        <v>0.31</v>
      </c>
      <c r="F34" s="812">
        <v>0.31</v>
      </c>
      <c r="G34" s="812">
        <v>0.31</v>
      </c>
      <c r="H34" s="812">
        <v>2.5099999999999998</v>
      </c>
      <c r="I34" s="831">
        <v>25</v>
      </c>
      <c r="J34" s="812">
        <v>1.51</v>
      </c>
      <c r="K34" s="812">
        <v>1.5</v>
      </c>
      <c r="L34" s="812">
        <v>1.51</v>
      </c>
      <c r="M34" s="812">
        <v>1.51</v>
      </c>
      <c r="N34" s="812">
        <v>1.5</v>
      </c>
      <c r="O34" s="812">
        <v>1.5</v>
      </c>
    </row>
    <row r="35" spans="1:15" ht="12.75">
      <c r="A35" s="728" t="s">
        <v>686</v>
      </c>
      <c r="B35" s="670" t="s">
        <v>328</v>
      </c>
      <c r="C35" s="815" t="s">
        <v>328</v>
      </c>
      <c r="D35" s="815" t="s">
        <v>328</v>
      </c>
      <c r="E35" s="815" t="s">
        <v>328</v>
      </c>
      <c r="F35" s="815" t="s">
        <v>328</v>
      </c>
      <c r="G35" s="815" t="s">
        <v>328</v>
      </c>
      <c r="H35" s="815" t="s">
        <v>328</v>
      </c>
      <c r="I35" s="832" t="s">
        <v>328</v>
      </c>
      <c r="J35" s="832" t="s">
        <v>328</v>
      </c>
      <c r="K35" s="670" t="s">
        <v>328</v>
      </c>
      <c r="L35" s="815" t="s">
        <v>328</v>
      </c>
      <c r="M35" s="815" t="s">
        <v>328</v>
      </c>
      <c r="N35" s="670" t="s">
        <v>328</v>
      </c>
      <c r="O35" s="670" t="s">
        <v>328</v>
      </c>
    </row>
    <row r="36" spans="1:15" ht="12.75">
      <c r="A36" s="728" t="s">
        <v>1050</v>
      </c>
      <c r="B36" s="664">
        <v>-2</v>
      </c>
      <c r="C36" s="812">
        <v>5</v>
      </c>
      <c r="D36" s="812">
        <v>5</v>
      </c>
      <c r="E36" s="812">
        <v>5</v>
      </c>
      <c r="F36" s="812">
        <v>5</v>
      </c>
      <c r="G36" s="812">
        <v>5</v>
      </c>
      <c r="H36" s="812">
        <v>5</v>
      </c>
      <c r="I36" s="831">
        <v>-2.5</v>
      </c>
      <c r="J36" s="831">
        <v>4</v>
      </c>
      <c r="K36" s="664">
        <v>5</v>
      </c>
      <c r="L36" s="812">
        <v>-2.5</v>
      </c>
      <c r="M36" s="812">
        <v>-2.5</v>
      </c>
      <c r="N36" s="664">
        <v>-0.25</v>
      </c>
      <c r="O36" s="664">
        <v>-0.25</v>
      </c>
    </row>
    <row r="37" spans="1:15" ht="12.75">
      <c r="A37" s="728" t="s">
        <v>1049</v>
      </c>
      <c r="B37" s="664">
        <v>-45</v>
      </c>
      <c r="C37" s="812">
        <v>-65</v>
      </c>
      <c r="D37" s="812">
        <v>-65</v>
      </c>
      <c r="E37" s="812">
        <v>-65</v>
      </c>
      <c r="F37" s="812">
        <v>-65</v>
      </c>
      <c r="G37" s="812">
        <v>-65</v>
      </c>
      <c r="H37" s="812">
        <v>-65</v>
      </c>
      <c r="I37" s="831">
        <v>-35</v>
      </c>
      <c r="J37" s="831">
        <v>-12</v>
      </c>
      <c r="K37" s="664">
        <v>-70</v>
      </c>
      <c r="L37" s="812">
        <v>-65</v>
      </c>
      <c r="M37" s="812">
        <v>-65</v>
      </c>
      <c r="N37" s="664">
        <v>-60</v>
      </c>
      <c r="O37" s="664">
        <v>-60</v>
      </c>
    </row>
    <row r="38" spans="1:15" ht="12.75">
      <c r="A38" s="728" t="s">
        <v>689</v>
      </c>
      <c r="B38" s="664">
        <v>0.65</v>
      </c>
      <c r="C38" s="812">
        <v>1.25</v>
      </c>
      <c r="D38" s="812">
        <v>1.25</v>
      </c>
      <c r="E38" s="812">
        <v>1.25</v>
      </c>
      <c r="F38" s="812">
        <v>1.25</v>
      </c>
      <c r="G38" s="812">
        <v>1.25</v>
      </c>
      <c r="H38" s="812">
        <v>1.25</v>
      </c>
      <c r="I38" s="831">
        <v>1.45</v>
      </c>
      <c r="J38" s="831">
        <v>0.45</v>
      </c>
      <c r="K38" s="664">
        <v>1.1499999999999999</v>
      </c>
      <c r="L38" s="812">
        <v>1.25</v>
      </c>
      <c r="M38" s="812">
        <v>1.25</v>
      </c>
      <c r="N38" s="664">
        <v>1.1499999999999999</v>
      </c>
      <c r="O38" s="664">
        <v>1.1499999999999999</v>
      </c>
    </row>
    <row r="39" spans="1:15" ht="112.5" customHeight="1">
      <c r="A39" s="722" t="s">
        <v>635</v>
      </c>
      <c r="B39" s="776"/>
      <c r="C39" s="815" t="s">
        <v>1070</v>
      </c>
      <c r="D39" s="815" t="s">
        <v>1070</v>
      </c>
      <c r="E39" s="776"/>
      <c r="F39" s="776"/>
      <c r="G39" s="776"/>
      <c r="H39" s="815"/>
      <c r="I39" s="776"/>
      <c r="J39" s="776"/>
      <c r="K39" s="776"/>
      <c r="L39" s="776"/>
      <c r="M39" s="776"/>
      <c r="N39" s="728"/>
      <c r="O39" s="776"/>
    </row>
    <row r="40" spans="1:15" ht="12.75">
      <c r="A40" s="728"/>
      <c r="B40" s="661"/>
      <c r="C40" s="728"/>
      <c r="D40" s="728"/>
      <c r="E40" s="728"/>
      <c r="F40" s="661"/>
      <c r="G40" s="661"/>
      <c r="H40" s="661"/>
      <c r="I40" s="661"/>
      <c r="J40" s="661"/>
      <c r="K40" s="661"/>
      <c r="L40" s="661"/>
      <c r="M40" s="661"/>
      <c r="N40" s="728"/>
      <c r="O40" s="661"/>
    </row>
    <row r="41" spans="1:15" ht="12.75">
      <c r="A41" s="728"/>
      <c r="B41" s="661"/>
      <c r="C41" s="728"/>
      <c r="D41" s="728"/>
      <c r="E41" s="728"/>
      <c r="F41" s="661"/>
      <c r="G41" s="661"/>
      <c r="H41" s="661"/>
      <c r="I41" s="661"/>
      <c r="J41" s="661"/>
      <c r="K41" s="661"/>
      <c r="L41" s="661"/>
      <c r="M41" s="661"/>
      <c r="N41" s="728"/>
      <c r="O41" s="661"/>
    </row>
    <row r="42" spans="1:15" ht="12.75">
      <c r="A42" s="728"/>
      <c r="B42" s="661"/>
      <c r="C42" s="728"/>
      <c r="D42" s="728"/>
      <c r="E42" s="728"/>
      <c r="F42" s="661"/>
      <c r="G42" s="661"/>
      <c r="H42" s="661"/>
      <c r="I42" s="661"/>
      <c r="J42" s="661"/>
      <c r="K42" s="661"/>
      <c r="L42" s="661"/>
      <c r="M42" s="661"/>
      <c r="N42" s="728"/>
      <c r="O42" s="661"/>
    </row>
    <row r="43" spans="1:15" ht="12.75">
      <c r="A43" s="787"/>
      <c r="B43" s="787"/>
      <c r="C43" s="728"/>
      <c r="D43" s="728"/>
      <c r="E43" s="728"/>
      <c r="F43" s="787"/>
      <c r="G43" s="787"/>
      <c r="H43" s="787"/>
      <c r="I43" s="787"/>
      <c r="J43" s="787"/>
      <c r="K43" s="787"/>
      <c r="L43" s="787"/>
      <c r="M43" s="787"/>
      <c r="N43" s="728"/>
      <c r="O43" s="787"/>
    </row>
    <row r="44" spans="1:15" ht="12.75">
      <c r="A44" s="787"/>
      <c r="B44" s="787"/>
      <c r="C44" s="728"/>
      <c r="D44" s="728"/>
      <c r="E44" s="728"/>
      <c r="F44" s="787"/>
      <c r="G44" s="787"/>
      <c r="H44" s="787"/>
      <c r="I44" s="787"/>
      <c r="J44" s="787"/>
      <c r="K44" s="787"/>
      <c r="L44" s="787"/>
      <c r="M44" s="787"/>
      <c r="N44" s="728"/>
      <c r="O44" s="787"/>
    </row>
    <row r="45" spans="1:15" ht="12.75">
      <c r="A45" s="787"/>
      <c r="B45" s="787"/>
      <c r="C45" s="728"/>
      <c r="D45" s="728"/>
      <c r="E45" s="728"/>
      <c r="F45" s="787"/>
      <c r="G45" s="787"/>
      <c r="H45" s="787"/>
      <c r="I45" s="787"/>
      <c r="J45" s="787"/>
      <c r="K45" s="787"/>
      <c r="L45" s="787"/>
      <c r="M45" s="787"/>
      <c r="N45" s="728"/>
      <c r="O45" s="787"/>
    </row>
    <row r="46" spans="1:15" ht="12.75">
      <c r="A46" s="787"/>
      <c r="B46" s="787"/>
      <c r="C46" s="728"/>
      <c r="D46" s="728"/>
      <c r="E46" s="728"/>
      <c r="F46" s="787"/>
      <c r="G46" s="787"/>
      <c r="H46" s="787"/>
      <c r="I46" s="787"/>
      <c r="J46" s="787"/>
      <c r="K46" s="787"/>
      <c r="L46" s="787"/>
      <c r="M46" s="787"/>
      <c r="N46" s="728"/>
      <c r="O46" s="787"/>
    </row>
    <row r="47" spans="1:15" ht="12.75">
      <c r="A47" s="787"/>
      <c r="B47" s="787"/>
      <c r="C47" s="728"/>
      <c r="D47" s="728"/>
      <c r="E47" s="728"/>
      <c r="F47" s="787"/>
      <c r="G47" s="787"/>
      <c r="H47" s="787"/>
      <c r="I47" s="787"/>
      <c r="J47" s="787"/>
      <c r="K47" s="787"/>
      <c r="L47" s="787"/>
      <c r="M47" s="787"/>
      <c r="N47" s="728"/>
      <c r="O47" s="787"/>
    </row>
    <row r="48" spans="1:15" ht="12.75">
      <c r="A48" s="787"/>
      <c r="B48" s="787"/>
      <c r="C48" s="728"/>
      <c r="D48" s="728"/>
      <c r="E48" s="728"/>
      <c r="F48" s="787"/>
      <c r="G48" s="787"/>
      <c r="H48" s="787"/>
      <c r="I48" s="787"/>
      <c r="J48" s="787"/>
      <c r="K48" s="787"/>
      <c r="L48" s="787"/>
      <c r="M48" s="787"/>
      <c r="N48" s="728"/>
      <c r="O48" s="787"/>
    </row>
    <row r="49" spans="1:15" ht="12.75">
      <c r="A49" s="787"/>
      <c r="B49" s="787"/>
      <c r="C49" s="728"/>
      <c r="D49" s="728"/>
      <c r="E49" s="728"/>
      <c r="F49" s="787"/>
      <c r="G49" s="787"/>
      <c r="H49" s="787"/>
      <c r="I49" s="787"/>
      <c r="J49" s="787"/>
      <c r="K49" s="787"/>
      <c r="L49" s="787"/>
      <c r="M49" s="787"/>
      <c r="N49" s="728"/>
      <c r="O49" s="787"/>
    </row>
    <row r="50" spans="1:15" ht="12.75">
      <c r="A50" s="787"/>
      <c r="B50" s="787"/>
      <c r="C50" s="728"/>
      <c r="D50" s="728"/>
      <c r="E50" s="728"/>
      <c r="F50" s="787"/>
      <c r="G50" s="787"/>
      <c r="H50" s="787"/>
      <c r="I50" s="787"/>
      <c r="J50" s="787"/>
      <c r="K50" s="787"/>
      <c r="L50" s="787"/>
      <c r="M50" s="787"/>
      <c r="N50" s="728"/>
      <c r="O50" s="787"/>
    </row>
    <row r="51" spans="1:15" ht="12.75">
      <c r="A51" s="787"/>
      <c r="B51" s="787"/>
      <c r="C51" s="728"/>
      <c r="D51" s="728"/>
      <c r="E51" s="728"/>
      <c r="F51" s="787"/>
      <c r="G51" s="787"/>
      <c r="H51" s="787"/>
      <c r="I51" s="787"/>
      <c r="J51" s="787"/>
      <c r="K51" s="787"/>
      <c r="L51" s="787"/>
      <c r="M51" s="787"/>
      <c r="N51" s="728"/>
      <c r="O51" s="787"/>
    </row>
    <row r="52" spans="1:15" ht="12.75">
      <c r="A52" s="787"/>
      <c r="B52" s="787"/>
      <c r="C52" s="728"/>
      <c r="D52" s="728"/>
      <c r="E52" s="728"/>
      <c r="F52" s="787"/>
      <c r="G52" s="787"/>
      <c r="H52" s="787"/>
      <c r="I52" s="787"/>
      <c r="J52" s="787"/>
      <c r="K52" s="787"/>
      <c r="L52" s="787"/>
      <c r="M52" s="787"/>
      <c r="N52" s="728"/>
      <c r="O52" s="787"/>
    </row>
    <row r="53" spans="1:15" ht="12.75">
      <c r="A53" s="787"/>
      <c r="B53" s="787"/>
      <c r="C53" s="728"/>
      <c r="D53" s="728"/>
      <c r="E53" s="728"/>
      <c r="F53" s="787"/>
      <c r="G53" s="787"/>
      <c r="H53" s="787"/>
      <c r="I53" s="787"/>
      <c r="J53" s="787"/>
      <c r="K53" s="787"/>
      <c r="L53" s="787"/>
      <c r="M53" s="787"/>
      <c r="N53" s="728"/>
      <c r="O53" s="787"/>
    </row>
    <row r="54" spans="1:15" ht="12.75">
      <c r="A54" s="787"/>
      <c r="B54" s="787"/>
      <c r="C54" s="728"/>
      <c r="D54" s="728"/>
      <c r="E54" s="728"/>
      <c r="F54" s="787"/>
      <c r="G54" s="787"/>
      <c r="H54" s="787"/>
      <c r="I54" s="787"/>
      <c r="J54" s="787"/>
      <c r="K54" s="787"/>
      <c r="L54" s="787"/>
      <c r="M54" s="787"/>
      <c r="N54" s="728"/>
      <c r="O54" s="787"/>
    </row>
    <row r="55" spans="1:15" ht="12.75">
      <c r="A55" s="787"/>
      <c r="B55" s="787"/>
      <c r="C55" s="728"/>
      <c r="D55" s="728"/>
      <c r="E55" s="728"/>
      <c r="F55" s="787"/>
      <c r="G55" s="787"/>
      <c r="H55" s="787"/>
      <c r="I55" s="787"/>
      <c r="J55" s="787"/>
      <c r="K55" s="787"/>
      <c r="L55" s="787"/>
      <c r="M55" s="787"/>
      <c r="N55" s="728"/>
      <c r="O55" s="787"/>
    </row>
    <row r="56" spans="1:15" ht="12.75">
      <c r="A56" s="787"/>
      <c r="B56" s="787"/>
      <c r="C56" s="728"/>
      <c r="D56" s="728"/>
      <c r="E56" s="728"/>
      <c r="F56" s="787"/>
      <c r="G56" s="787"/>
      <c r="H56" s="787"/>
      <c r="I56" s="787"/>
      <c r="J56" s="787"/>
      <c r="K56" s="787"/>
      <c r="L56" s="787"/>
      <c r="M56" s="787"/>
      <c r="N56" s="728"/>
      <c r="O56" s="787"/>
    </row>
    <row r="57" spans="1:15" ht="12.75">
      <c r="A57" s="787"/>
      <c r="B57" s="787"/>
      <c r="C57" s="728"/>
      <c r="D57" s="728"/>
      <c r="E57" s="728"/>
      <c r="F57" s="787"/>
      <c r="G57" s="787"/>
      <c r="H57" s="787"/>
      <c r="I57" s="787"/>
      <c r="J57" s="787"/>
      <c r="K57" s="787"/>
      <c r="L57" s="787"/>
      <c r="M57" s="787"/>
      <c r="N57" s="728"/>
      <c r="O57" s="787"/>
    </row>
    <row r="58" spans="1:15" ht="12.75">
      <c r="A58" s="787"/>
      <c r="B58" s="787"/>
      <c r="C58" s="728"/>
      <c r="D58" s="728"/>
      <c r="E58" s="728"/>
      <c r="F58" s="787"/>
      <c r="G58" s="787"/>
      <c r="H58" s="787"/>
      <c r="I58" s="787"/>
      <c r="J58" s="787"/>
      <c r="K58" s="787"/>
      <c r="L58" s="787"/>
      <c r="M58" s="787"/>
      <c r="N58" s="728"/>
      <c r="O58" s="787"/>
    </row>
    <row r="59" spans="1:15" ht="12.75">
      <c r="A59" s="787"/>
      <c r="B59" s="787"/>
      <c r="C59" s="728"/>
      <c r="D59" s="728"/>
      <c r="E59" s="728"/>
      <c r="F59" s="787"/>
      <c r="G59" s="787"/>
      <c r="H59" s="787"/>
      <c r="I59" s="787"/>
      <c r="J59" s="787"/>
      <c r="K59" s="787"/>
      <c r="L59" s="787"/>
      <c r="M59" s="787"/>
      <c r="N59" s="728"/>
      <c r="O59" s="787"/>
    </row>
    <row r="60" spans="1:15" ht="12.75">
      <c r="A60" s="787"/>
      <c r="B60" s="787"/>
      <c r="C60" s="728"/>
      <c r="D60" s="728"/>
      <c r="E60" s="728"/>
      <c r="F60" s="787"/>
      <c r="G60" s="787"/>
      <c r="H60" s="787"/>
      <c r="I60" s="787"/>
      <c r="J60" s="787"/>
      <c r="K60" s="787"/>
      <c r="L60" s="787"/>
      <c r="M60" s="787"/>
      <c r="N60" s="728"/>
      <c r="O60" s="787"/>
    </row>
    <row r="61" spans="1:15" ht="12.75">
      <c r="A61" s="787"/>
      <c r="B61" s="787"/>
      <c r="C61" s="728"/>
      <c r="D61" s="728"/>
      <c r="E61" s="728"/>
      <c r="F61" s="787"/>
      <c r="G61" s="787"/>
      <c r="H61" s="787"/>
      <c r="I61" s="787"/>
      <c r="J61" s="787"/>
      <c r="K61" s="787"/>
      <c r="L61" s="787"/>
      <c r="M61" s="787"/>
      <c r="N61" s="728"/>
      <c r="O61" s="787"/>
    </row>
    <row r="62" spans="1:15" ht="12.75">
      <c r="A62" s="787"/>
      <c r="B62" s="787"/>
      <c r="C62" s="728"/>
      <c r="D62" s="728"/>
      <c r="E62" s="728"/>
      <c r="F62" s="787"/>
      <c r="G62" s="787"/>
      <c r="H62" s="787"/>
      <c r="I62" s="787"/>
      <c r="J62" s="787"/>
      <c r="K62" s="787"/>
      <c r="L62" s="787"/>
      <c r="M62" s="787"/>
      <c r="N62" s="728"/>
      <c r="O62" s="787"/>
    </row>
    <row r="63" spans="1:15" ht="12.75">
      <c r="A63" s="787"/>
      <c r="B63" s="787"/>
      <c r="C63" s="728"/>
      <c r="D63" s="728"/>
      <c r="E63" s="728"/>
      <c r="F63" s="787"/>
      <c r="G63" s="787"/>
      <c r="H63" s="787"/>
      <c r="I63" s="787"/>
      <c r="J63" s="787"/>
      <c r="K63" s="787"/>
      <c r="L63" s="787"/>
      <c r="M63" s="787"/>
      <c r="N63" s="728"/>
      <c r="O63" s="787"/>
    </row>
    <row r="64" spans="1:15" ht="12.75">
      <c r="A64" s="787"/>
      <c r="B64" s="787"/>
      <c r="C64" s="728"/>
      <c r="D64" s="728"/>
      <c r="E64" s="728"/>
      <c r="F64" s="787"/>
      <c r="G64" s="787"/>
      <c r="H64" s="787"/>
      <c r="I64" s="787"/>
      <c r="J64" s="787"/>
      <c r="K64" s="787"/>
      <c r="L64" s="787"/>
      <c r="M64" s="787"/>
      <c r="N64" s="728"/>
      <c r="O64" s="787"/>
    </row>
    <row r="65" spans="1:15" ht="12.75">
      <c r="A65" s="787"/>
      <c r="B65" s="787"/>
      <c r="C65" s="728"/>
      <c r="D65" s="728"/>
      <c r="E65" s="728"/>
      <c r="F65" s="787"/>
      <c r="G65" s="787"/>
      <c r="H65" s="787"/>
      <c r="I65" s="787"/>
      <c r="J65" s="787"/>
      <c r="K65" s="787"/>
      <c r="L65" s="787"/>
      <c r="M65" s="787"/>
      <c r="N65" s="728"/>
      <c r="O65" s="787"/>
    </row>
    <row r="66" spans="1:15" ht="12.75">
      <c r="A66" s="787"/>
      <c r="B66" s="787"/>
      <c r="C66" s="728"/>
      <c r="D66" s="728"/>
      <c r="E66" s="728"/>
      <c r="F66" s="787"/>
      <c r="G66" s="787"/>
      <c r="H66" s="787"/>
      <c r="I66" s="787"/>
      <c r="J66" s="787"/>
      <c r="K66" s="787"/>
      <c r="L66" s="787"/>
      <c r="M66" s="787"/>
      <c r="N66" s="728"/>
      <c r="O66" s="787"/>
    </row>
    <row r="67" spans="1:15" ht="12.75">
      <c r="A67" s="787"/>
      <c r="B67" s="787"/>
      <c r="C67" s="728"/>
      <c r="D67" s="728"/>
      <c r="E67" s="728"/>
      <c r="F67" s="787"/>
      <c r="G67" s="787"/>
      <c r="H67" s="787"/>
      <c r="I67" s="787"/>
      <c r="J67" s="787"/>
      <c r="K67" s="787"/>
      <c r="L67" s="787"/>
      <c r="M67" s="787"/>
      <c r="N67" s="728"/>
      <c r="O67" s="787"/>
    </row>
    <row r="68" spans="1:15" ht="12.75">
      <c r="A68" s="787"/>
      <c r="B68" s="787"/>
      <c r="C68" s="728"/>
      <c r="D68" s="728"/>
      <c r="E68" s="728"/>
      <c r="F68" s="787"/>
      <c r="G68" s="787"/>
      <c r="H68" s="787"/>
      <c r="I68" s="787"/>
      <c r="J68" s="787"/>
      <c r="K68" s="787"/>
      <c r="L68" s="787"/>
      <c r="M68" s="787"/>
      <c r="N68" s="728"/>
      <c r="O68" s="787"/>
    </row>
    <row r="69" spans="1:15" ht="12.75">
      <c r="A69" s="787"/>
      <c r="B69" s="787"/>
      <c r="C69" s="728"/>
      <c r="D69" s="728"/>
      <c r="E69" s="728"/>
      <c r="F69" s="787"/>
      <c r="G69" s="787"/>
      <c r="H69" s="787"/>
      <c r="I69" s="787"/>
      <c r="J69" s="787"/>
      <c r="K69" s="787"/>
      <c r="L69" s="787"/>
      <c r="M69" s="787"/>
      <c r="N69" s="728"/>
      <c r="O69" s="787"/>
    </row>
    <row r="70" spans="1:15" ht="12.75">
      <c r="A70" s="787"/>
      <c r="B70" s="787"/>
      <c r="C70" s="728"/>
      <c r="D70" s="728"/>
      <c r="E70" s="728"/>
      <c r="F70" s="787"/>
      <c r="G70" s="787"/>
      <c r="H70" s="787"/>
      <c r="I70" s="787"/>
      <c r="J70" s="787"/>
      <c r="K70" s="787"/>
      <c r="L70" s="787"/>
      <c r="M70" s="787"/>
      <c r="N70" s="728"/>
      <c r="O70" s="787"/>
    </row>
    <row r="71" spans="1:15" ht="12.75">
      <c r="A71" s="787"/>
      <c r="B71" s="787"/>
      <c r="C71" s="728"/>
      <c r="D71" s="728"/>
      <c r="E71" s="728"/>
      <c r="F71" s="787"/>
      <c r="G71" s="787"/>
      <c r="H71" s="787"/>
      <c r="I71" s="787"/>
      <c r="J71" s="787"/>
      <c r="K71" s="787"/>
      <c r="L71" s="787"/>
      <c r="M71" s="787"/>
      <c r="N71" s="728"/>
      <c r="O71" s="787"/>
    </row>
    <row r="72" spans="1:15" ht="12.75">
      <c r="A72" s="787"/>
      <c r="B72" s="787"/>
      <c r="C72" s="728"/>
      <c r="D72" s="728"/>
      <c r="E72" s="728"/>
      <c r="F72" s="787"/>
      <c r="G72" s="787"/>
      <c r="H72" s="787"/>
      <c r="I72" s="787"/>
      <c r="J72" s="787"/>
      <c r="K72" s="787"/>
      <c r="L72" s="787"/>
      <c r="M72" s="787"/>
      <c r="N72" s="728"/>
      <c r="O72" s="787"/>
    </row>
    <row r="73" spans="1:15" ht="12.75">
      <c r="A73" s="787"/>
      <c r="B73" s="787"/>
      <c r="C73" s="728"/>
      <c r="D73" s="728"/>
      <c r="E73" s="728"/>
      <c r="F73" s="787"/>
      <c r="G73" s="787"/>
      <c r="H73" s="787"/>
      <c r="I73" s="787"/>
      <c r="J73" s="787"/>
      <c r="K73" s="787"/>
      <c r="L73" s="787"/>
      <c r="M73" s="787"/>
      <c r="N73" s="728"/>
      <c r="O73" s="787"/>
    </row>
    <row r="74" spans="1:15" ht="12.75">
      <c r="A74" s="787"/>
      <c r="B74" s="787"/>
      <c r="C74" s="728"/>
      <c r="D74" s="728"/>
      <c r="E74" s="728"/>
      <c r="F74" s="787"/>
      <c r="G74" s="787"/>
      <c r="H74" s="787"/>
      <c r="I74" s="787"/>
      <c r="J74" s="787"/>
      <c r="K74" s="787"/>
      <c r="L74" s="787"/>
      <c r="M74" s="787"/>
      <c r="N74" s="728"/>
      <c r="O74" s="787"/>
    </row>
    <row r="75" spans="1:15" ht="12.75">
      <c r="A75" s="787"/>
      <c r="B75" s="787"/>
      <c r="C75" s="728"/>
      <c r="D75" s="728"/>
      <c r="E75" s="728"/>
      <c r="F75" s="787"/>
      <c r="G75" s="787"/>
      <c r="H75" s="787"/>
      <c r="I75" s="787"/>
      <c r="J75" s="787"/>
      <c r="K75" s="787"/>
      <c r="L75" s="787"/>
      <c r="M75" s="787"/>
      <c r="N75" s="728"/>
      <c r="O75" s="787"/>
    </row>
    <row r="76" spans="1:15" ht="12.75">
      <c r="A76" s="787"/>
      <c r="B76" s="787"/>
      <c r="C76" s="728"/>
      <c r="D76" s="728"/>
      <c r="E76" s="728"/>
      <c r="F76" s="787"/>
      <c r="G76" s="787"/>
      <c r="H76" s="787"/>
      <c r="I76" s="787"/>
      <c r="J76" s="787"/>
      <c r="K76" s="787"/>
      <c r="L76" s="787"/>
      <c r="M76" s="787"/>
      <c r="N76" s="728"/>
      <c r="O76" s="787"/>
    </row>
    <row r="77" spans="1:15" ht="12.75">
      <c r="A77" s="787"/>
      <c r="B77" s="787"/>
      <c r="C77" s="728"/>
      <c r="D77" s="728"/>
      <c r="E77" s="728"/>
      <c r="F77" s="787"/>
      <c r="G77" s="787"/>
      <c r="H77" s="787"/>
      <c r="I77" s="787"/>
      <c r="J77" s="787"/>
      <c r="K77" s="787"/>
      <c r="L77" s="787"/>
      <c r="M77" s="787"/>
      <c r="N77" s="728"/>
      <c r="O77" s="787"/>
    </row>
    <row r="78" spans="1:15" ht="12.75">
      <c r="A78" s="787"/>
      <c r="B78" s="787"/>
      <c r="C78" s="728"/>
      <c r="D78" s="728"/>
      <c r="E78" s="728"/>
      <c r="F78" s="787"/>
      <c r="G78" s="787"/>
      <c r="H78" s="787"/>
      <c r="I78" s="787"/>
      <c r="J78" s="787"/>
      <c r="K78" s="787"/>
      <c r="L78" s="787"/>
      <c r="M78" s="787"/>
      <c r="N78" s="728"/>
      <c r="O78" s="787"/>
    </row>
  </sheetData>
  <conditionalFormatting sqref="A1:O1 A3:O5 A7:O11 A13:O24 A26:O78">
    <cfRule type="expression" dxfId="40" priority="1">
      <formula>ISODD(COLUMN())</formula>
    </cfRule>
    <cfRule type="expression" dxfId="39" priority="2">
      <formula>ISEVEN(COLUMN())</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3500-279C-431F-8414-1F0BDF49E11A}">
  <sheetPr>
    <tabColor rgb="FFCCCCCC"/>
    <outlinePr summaryBelow="0" summaryRight="0"/>
  </sheetPr>
  <dimension ref="A1:AB82"/>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3.85546875" customWidth="1"/>
    <col min="2" max="7" width="16.7109375" customWidth="1"/>
    <col min="8" max="8" width="19.140625" customWidth="1"/>
    <col min="9" max="9" width="19" customWidth="1"/>
    <col min="10" max="10" width="18.85546875" customWidth="1"/>
    <col min="11" max="11" width="19" customWidth="1"/>
    <col min="12" max="14" width="16.7109375" customWidth="1"/>
    <col min="15" max="15" width="18.85546875" customWidth="1"/>
    <col min="16" max="16" width="19" customWidth="1"/>
    <col min="17" max="17" width="19.140625" customWidth="1"/>
    <col min="18" max="18" width="19.5703125" customWidth="1"/>
    <col min="19" max="19" width="19" customWidth="1"/>
    <col min="20" max="25" width="16.7109375" customWidth="1"/>
    <col min="26" max="26" width="19.140625" customWidth="1"/>
    <col min="27" max="27" width="18.42578125" customWidth="1"/>
    <col min="28" max="28" width="19" customWidth="1"/>
  </cols>
  <sheetData>
    <row r="1" spans="1:28" ht="35.25" customHeight="1">
      <c r="A1" s="811" t="s">
        <v>551</v>
      </c>
      <c r="B1" s="655" t="s">
        <v>1111</v>
      </c>
      <c r="C1" s="833" t="s">
        <v>1110</v>
      </c>
      <c r="D1" s="655" t="s">
        <v>1109</v>
      </c>
      <c r="E1" s="655" t="s">
        <v>1108</v>
      </c>
      <c r="F1" s="655" t="s">
        <v>1107</v>
      </c>
      <c r="G1" s="655" t="s">
        <v>1106</v>
      </c>
      <c r="H1" s="655" t="s">
        <v>1105</v>
      </c>
      <c r="I1" s="655" t="s">
        <v>1104</v>
      </c>
      <c r="J1" s="655" t="s">
        <v>1103</v>
      </c>
      <c r="K1" s="655" t="s">
        <v>1102</v>
      </c>
      <c r="L1" s="655" t="s">
        <v>1101</v>
      </c>
      <c r="M1" s="655" t="s">
        <v>1100</v>
      </c>
      <c r="N1" s="655" t="s">
        <v>1099</v>
      </c>
      <c r="O1" s="655" t="s">
        <v>1098</v>
      </c>
      <c r="P1" s="655" t="s">
        <v>1097</v>
      </c>
      <c r="Q1" s="655" t="s">
        <v>1096</v>
      </c>
      <c r="R1" s="655" t="s">
        <v>1095</v>
      </c>
      <c r="S1" s="655" t="s">
        <v>1094</v>
      </c>
      <c r="T1" s="655" t="s">
        <v>1093</v>
      </c>
      <c r="U1" s="653" t="s">
        <v>1092</v>
      </c>
      <c r="V1" s="655" t="s">
        <v>1091</v>
      </c>
      <c r="W1" s="655" t="s">
        <v>1090</v>
      </c>
      <c r="X1" s="655" t="s">
        <v>1089</v>
      </c>
      <c r="Y1" s="655" t="s">
        <v>1088</v>
      </c>
      <c r="Z1" s="655" t="s">
        <v>1087</v>
      </c>
      <c r="AA1" s="655" t="s">
        <v>1086</v>
      </c>
      <c r="AB1" s="655" t="s">
        <v>1085</v>
      </c>
    </row>
    <row r="2" spans="1:28" ht="97.5" customHeight="1">
      <c r="A2" s="810" t="s">
        <v>562</v>
      </c>
      <c r="B2" s="660"/>
      <c r="C2" s="660"/>
      <c r="D2" s="660"/>
      <c r="E2" s="660"/>
      <c r="F2" s="660"/>
      <c r="G2" s="659"/>
      <c r="H2" s="660"/>
      <c r="I2" s="660"/>
      <c r="J2" s="660"/>
      <c r="K2" s="660"/>
      <c r="L2" s="660"/>
      <c r="M2" s="660"/>
      <c r="N2" s="660"/>
      <c r="O2" s="660"/>
      <c r="P2" s="660"/>
      <c r="Q2" s="660"/>
      <c r="R2" s="660"/>
      <c r="S2" s="660"/>
      <c r="T2" s="660"/>
      <c r="U2" s="659"/>
      <c r="V2" s="660"/>
      <c r="W2" s="660"/>
      <c r="X2" s="660"/>
      <c r="Y2" s="660"/>
      <c r="Z2" s="660"/>
      <c r="AA2" s="660"/>
      <c r="AB2" s="660"/>
    </row>
    <row r="3" spans="1:28" ht="12.75">
      <c r="A3" s="728" t="s">
        <v>563</v>
      </c>
      <c r="B3" s="831">
        <v>277.14</v>
      </c>
      <c r="C3" s="831">
        <v>400</v>
      </c>
      <c r="D3" s="831">
        <v>970</v>
      </c>
      <c r="E3" s="831">
        <v>260</v>
      </c>
      <c r="F3" s="831">
        <v>570</v>
      </c>
      <c r="G3" s="662">
        <v>1090</v>
      </c>
      <c r="H3" s="664">
        <v>943.92600000000004</v>
      </c>
      <c r="I3" s="664">
        <v>277.14</v>
      </c>
      <c r="J3" s="664">
        <v>495.3</v>
      </c>
      <c r="K3" s="664">
        <v>299.37099999999998</v>
      </c>
      <c r="L3" s="664">
        <v>1079.55</v>
      </c>
      <c r="M3" s="664">
        <v>1079.55</v>
      </c>
      <c r="N3" s="664">
        <v>991</v>
      </c>
      <c r="O3" s="664">
        <v>495.3</v>
      </c>
      <c r="P3" s="664">
        <v>277.14</v>
      </c>
      <c r="Q3" s="664">
        <v>943.92600000000004</v>
      </c>
      <c r="R3" s="664">
        <v>260.81599999999997</v>
      </c>
      <c r="S3" s="664">
        <v>161.24</v>
      </c>
      <c r="T3" s="831">
        <v>50</v>
      </c>
      <c r="U3" s="662">
        <v>256</v>
      </c>
      <c r="V3" s="831">
        <v>560</v>
      </c>
      <c r="W3" s="831">
        <v>560</v>
      </c>
      <c r="X3" s="831">
        <v>1525</v>
      </c>
      <c r="Y3" s="831">
        <v>1525</v>
      </c>
      <c r="Z3" s="831">
        <v>546.5</v>
      </c>
      <c r="AA3" s="831">
        <v>546.5</v>
      </c>
      <c r="AB3" s="664">
        <v>277.14</v>
      </c>
    </row>
    <row r="4" spans="1:28" ht="12.75">
      <c r="A4" s="728" t="s">
        <v>566</v>
      </c>
      <c r="B4" s="831">
        <v>279.39999999999998</v>
      </c>
      <c r="C4" s="831">
        <v>403</v>
      </c>
      <c r="D4" s="831">
        <v>457.2</v>
      </c>
      <c r="E4" s="831">
        <v>299</v>
      </c>
      <c r="F4" s="831">
        <v>377</v>
      </c>
      <c r="G4" s="662">
        <v>377</v>
      </c>
      <c r="H4" s="664">
        <v>457.2</v>
      </c>
      <c r="I4" s="664">
        <v>279.39999999999998</v>
      </c>
      <c r="J4" s="664">
        <v>355.6</v>
      </c>
      <c r="K4" s="664">
        <v>279.39999999999998</v>
      </c>
      <c r="L4" s="664">
        <v>457.2</v>
      </c>
      <c r="M4" s="664">
        <v>457.2</v>
      </c>
      <c r="N4" s="664">
        <v>368</v>
      </c>
      <c r="O4" s="664">
        <v>355.6</v>
      </c>
      <c r="P4" s="664">
        <v>279.39999999999998</v>
      </c>
      <c r="Q4" s="664">
        <v>457.2</v>
      </c>
      <c r="R4" s="664">
        <v>273</v>
      </c>
      <c r="S4" s="664">
        <v>229</v>
      </c>
      <c r="T4" s="831">
        <v>120</v>
      </c>
      <c r="U4" s="662">
        <v>255</v>
      </c>
      <c r="V4" s="831">
        <v>400</v>
      </c>
      <c r="W4" s="831">
        <v>400</v>
      </c>
      <c r="X4" s="831">
        <v>580</v>
      </c>
      <c r="Y4" s="831">
        <v>580</v>
      </c>
      <c r="Z4" s="831">
        <v>420</v>
      </c>
      <c r="AA4" s="831">
        <v>420</v>
      </c>
      <c r="AB4" s="664">
        <v>279.39999999999998</v>
      </c>
    </row>
    <row r="5" spans="1:28" ht="12.75">
      <c r="A5" s="728" t="s">
        <v>567</v>
      </c>
      <c r="B5" s="831">
        <v>3.3273999999999999</v>
      </c>
      <c r="C5" s="831">
        <v>3.4</v>
      </c>
      <c r="D5" s="831">
        <v>4.37</v>
      </c>
      <c r="E5" s="831">
        <v>2.7349999999999999</v>
      </c>
      <c r="F5" s="831">
        <v>3.34</v>
      </c>
      <c r="G5" s="662">
        <v>4.1479999999999997</v>
      </c>
      <c r="H5" s="664">
        <v>4.3179999999999996</v>
      </c>
      <c r="I5" s="664">
        <v>3.3273999999999999</v>
      </c>
      <c r="J5" s="664">
        <v>3.6829999999999998</v>
      </c>
      <c r="K5" s="664">
        <v>3.3527999999999998</v>
      </c>
      <c r="L5" s="664">
        <v>4.3179999999999996</v>
      </c>
      <c r="M5" s="664">
        <v>4.3179999999999996</v>
      </c>
      <c r="N5" s="664">
        <v>4.2417999999999996</v>
      </c>
      <c r="O5" s="664">
        <v>3.6829999999999998</v>
      </c>
      <c r="P5" s="664">
        <v>3.3273999999999999</v>
      </c>
      <c r="Q5" s="664">
        <v>4.3179999999999996</v>
      </c>
      <c r="R5" s="664">
        <v>2.377948</v>
      </c>
      <c r="S5" s="664">
        <v>2.9350000000000001</v>
      </c>
      <c r="T5" s="831">
        <v>1.85</v>
      </c>
      <c r="U5" s="662">
        <v>3.2</v>
      </c>
      <c r="V5" s="831">
        <v>3.05</v>
      </c>
      <c r="W5" s="831">
        <v>2.75</v>
      </c>
      <c r="X5" s="831">
        <v>4.5999999999999996</v>
      </c>
      <c r="Y5" s="831">
        <v>4.5999999999999996</v>
      </c>
      <c r="Z5" s="831">
        <v>3.488</v>
      </c>
      <c r="AA5" s="831">
        <v>3.488</v>
      </c>
      <c r="AB5" s="664">
        <v>3.3273999999999999</v>
      </c>
    </row>
    <row r="6" spans="1:28" ht="18">
      <c r="A6" s="805" t="s">
        <v>1055</v>
      </c>
      <c r="B6" s="697"/>
      <c r="C6" s="697"/>
      <c r="D6" s="697"/>
      <c r="E6" s="697"/>
      <c r="F6" s="697"/>
      <c r="G6" s="697"/>
      <c r="H6" s="697"/>
      <c r="I6" s="697"/>
      <c r="J6" s="697"/>
      <c r="K6" s="697"/>
      <c r="L6" s="697"/>
      <c r="M6" s="697"/>
      <c r="N6" s="697"/>
      <c r="O6" s="697"/>
      <c r="P6" s="697"/>
      <c r="Q6" s="697"/>
      <c r="R6" s="697"/>
      <c r="S6" s="697"/>
      <c r="T6" s="697"/>
      <c r="U6" s="697"/>
      <c r="V6" s="697"/>
      <c r="W6" s="697"/>
      <c r="X6" s="697"/>
      <c r="Y6" s="697"/>
      <c r="Z6" s="697"/>
      <c r="AA6" s="697"/>
      <c r="AB6" s="697"/>
    </row>
    <row r="7" spans="1:28" ht="12.75">
      <c r="A7" s="728" t="s">
        <v>580</v>
      </c>
      <c r="B7" s="831">
        <f>1.35*87.1</f>
        <v>117.58499999999999</v>
      </c>
      <c r="C7" s="831">
        <f>1*167</f>
        <v>167</v>
      </c>
      <c r="D7" s="831">
        <f>1*500</f>
        <v>500</v>
      </c>
      <c r="E7" s="831">
        <v>91</v>
      </c>
      <c r="F7" s="831">
        <v>220</v>
      </c>
      <c r="G7" s="662">
        <v>537.6</v>
      </c>
      <c r="H7" s="664">
        <f>1.35*428.6</f>
        <v>578.61</v>
      </c>
      <c r="I7" s="664">
        <f>1.35*87.1</f>
        <v>117.58499999999999</v>
      </c>
      <c r="J7" s="664">
        <f>1.35*201.8</f>
        <v>272.43</v>
      </c>
      <c r="K7" s="664">
        <f>1.35*87.1</f>
        <v>117.58499999999999</v>
      </c>
      <c r="L7" s="664">
        <f>1.35*428.6</f>
        <v>578.61</v>
      </c>
      <c r="M7" s="664">
        <f>1.35*428.6</f>
        <v>578.61</v>
      </c>
      <c r="N7" s="664">
        <f>1.18*242.7</f>
        <v>286.38599999999997</v>
      </c>
      <c r="O7" s="664">
        <f>1.35*201.8</f>
        <v>272.43</v>
      </c>
      <c r="P7" s="664">
        <f>1.35*87.1</f>
        <v>117.58499999999999</v>
      </c>
      <c r="Q7" s="664">
        <f>1.35*428.6</f>
        <v>578.61</v>
      </c>
      <c r="R7" s="664">
        <f>1.35*87.1</f>
        <v>117.58499999999999</v>
      </c>
      <c r="S7" s="664">
        <f>1.35*33</f>
        <v>44.550000000000004</v>
      </c>
      <c r="T7" s="831">
        <f>1.6*15</f>
        <v>24</v>
      </c>
      <c r="U7" s="662">
        <f>1.6*96</f>
        <v>153.60000000000002</v>
      </c>
      <c r="V7" s="831">
        <f>1.6*195</f>
        <v>312</v>
      </c>
      <c r="W7" s="831">
        <f>1.6*195</f>
        <v>312</v>
      </c>
      <c r="X7" s="831">
        <f>1.6*440</f>
        <v>704</v>
      </c>
      <c r="Y7" s="831">
        <f>1.6*440</f>
        <v>704</v>
      </c>
      <c r="Z7" s="831">
        <f>1.6*185.3</f>
        <v>296.48</v>
      </c>
      <c r="AA7" s="831">
        <f>1.6*184</f>
        <v>294.40000000000003</v>
      </c>
      <c r="AB7" s="664">
        <f>1.35*87.1</f>
        <v>117.58499999999999</v>
      </c>
    </row>
    <row r="8" spans="1:28" ht="12.75">
      <c r="A8" s="728" t="s">
        <v>764</v>
      </c>
      <c r="B8" s="670" t="s">
        <v>876</v>
      </c>
      <c r="C8" s="670" t="s">
        <v>876</v>
      </c>
      <c r="D8" s="670" t="s">
        <v>876</v>
      </c>
      <c r="E8" s="670" t="s">
        <v>876</v>
      </c>
      <c r="F8" s="670" t="s">
        <v>876</v>
      </c>
      <c r="G8" s="670" t="s">
        <v>876</v>
      </c>
      <c r="H8" s="670" t="s">
        <v>876</v>
      </c>
      <c r="I8" s="670" t="s">
        <v>876</v>
      </c>
      <c r="J8" s="670" t="s">
        <v>876</v>
      </c>
      <c r="K8" s="670" t="s">
        <v>876</v>
      </c>
      <c r="L8" s="670" t="s">
        <v>876</v>
      </c>
      <c r="M8" s="670" t="s">
        <v>876</v>
      </c>
      <c r="N8" s="670" t="s">
        <v>876</v>
      </c>
      <c r="O8" s="670" t="s">
        <v>876</v>
      </c>
      <c r="P8" s="670" t="s">
        <v>876</v>
      </c>
      <c r="Q8" s="670" t="s">
        <v>876</v>
      </c>
      <c r="R8" s="670" t="s">
        <v>876</v>
      </c>
      <c r="S8" s="670" t="s">
        <v>876</v>
      </c>
      <c r="T8" s="670" t="s">
        <v>876</v>
      </c>
      <c r="U8" s="670" t="s">
        <v>876</v>
      </c>
      <c r="V8" s="670" t="s">
        <v>876</v>
      </c>
      <c r="W8" s="670" t="s">
        <v>876</v>
      </c>
      <c r="X8" s="670" t="s">
        <v>876</v>
      </c>
      <c r="Y8" s="670" t="s">
        <v>876</v>
      </c>
      <c r="Z8" s="670" t="s">
        <v>876</v>
      </c>
      <c r="AA8" s="670" t="s">
        <v>876</v>
      </c>
      <c r="AB8" s="670" t="s">
        <v>876</v>
      </c>
    </row>
    <row r="9" spans="1:28" ht="12.75">
      <c r="A9" s="776" t="s">
        <v>762</v>
      </c>
      <c r="B9" s="704">
        <v>81.637749999999997</v>
      </c>
      <c r="C9" s="704">
        <v>85.655555555000007</v>
      </c>
      <c r="D9" s="704">
        <v>111</v>
      </c>
      <c r="E9" s="704">
        <v>7.65</v>
      </c>
      <c r="F9" s="704">
        <v>89.77777777</v>
      </c>
      <c r="G9" s="704">
        <v>114.008</v>
      </c>
      <c r="H9" s="704">
        <v>117.28879999999999</v>
      </c>
      <c r="I9" s="704">
        <v>81.637749999999997</v>
      </c>
      <c r="J9" s="704">
        <v>93.855666666000005</v>
      </c>
      <c r="K9" s="704">
        <v>81.637749999999997</v>
      </c>
      <c r="L9" s="704">
        <v>117.28879999999999</v>
      </c>
      <c r="M9" s="704">
        <v>117.28879999999999</v>
      </c>
      <c r="N9" s="664">
        <v>94.941133333300002</v>
      </c>
      <c r="O9" s="704">
        <v>93.855666666600001</v>
      </c>
      <c r="P9" s="704">
        <v>81.637749999999997</v>
      </c>
      <c r="Q9" s="704">
        <v>117.28879999999999</v>
      </c>
      <c r="R9" s="704">
        <v>81.637749999999997</v>
      </c>
      <c r="S9" s="664">
        <v>70.682500000000005</v>
      </c>
      <c r="T9" s="704">
        <v>64.857140000000001</v>
      </c>
      <c r="U9" s="704">
        <v>84.613333333</v>
      </c>
      <c r="V9" s="704">
        <v>96.9</v>
      </c>
      <c r="W9" s="704">
        <v>96.9</v>
      </c>
      <c r="X9" s="704">
        <v>127.32</v>
      </c>
      <c r="Y9" s="704">
        <v>127.32</v>
      </c>
      <c r="Z9" s="704">
        <v>95.726222222199993</v>
      </c>
      <c r="AA9" s="704">
        <v>95.564444440000003</v>
      </c>
      <c r="AB9" s="704">
        <v>81.367750000000001</v>
      </c>
    </row>
    <row r="10" spans="1:28" ht="12.75">
      <c r="A10" s="661" t="s">
        <v>761</v>
      </c>
      <c r="B10" s="704">
        <v>1.0000000000000001E-5</v>
      </c>
      <c r="C10" s="704">
        <v>1.0000000000000001E-5</v>
      </c>
      <c r="D10" s="704">
        <v>1.0000000000000001E-5</v>
      </c>
      <c r="E10" s="704">
        <v>1.0000000000000001E-5</v>
      </c>
      <c r="F10" s="704">
        <v>1.0000000000000001E-5</v>
      </c>
      <c r="G10" s="704">
        <v>1.0000000000000001E-5</v>
      </c>
      <c r="H10" s="704">
        <v>1.0000000000000001E-5</v>
      </c>
      <c r="I10" s="704">
        <v>1.0000000000000001E-5</v>
      </c>
      <c r="J10" s="704">
        <v>1.0000000000000001E-5</v>
      </c>
      <c r="K10" s="704">
        <v>1.0000000000000001E-5</v>
      </c>
      <c r="L10" s="704">
        <v>1.0000000000000001E-5</v>
      </c>
      <c r="M10" s="704">
        <v>1.0000000000000001E-5</v>
      </c>
      <c r="N10" s="704">
        <v>1.0000000000000001E-5</v>
      </c>
      <c r="O10" s="704">
        <v>1.0000000000000001E-5</v>
      </c>
      <c r="P10" s="704">
        <v>1.0000000000000001E-5</v>
      </c>
      <c r="Q10" s="704">
        <v>1.0000000000000001E-5</v>
      </c>
      <c r="R10" s="704">
        <v>1.0000000000000001E-5</v>
      </c>
      <c r="S10" s="704">
        <v>1.0000000000000001E-5</v>
      </c>
      <c r="T10" s="704">
        <v>1.0000000000000001E-5</v>
      </c>
      <c r="U10" s="704">
        <v>1.0000000000000001E-5</v>
      </c>
      <c r="V10" s="704">
        <v>1.0000000000000001E-5</v>
      </c>
      <c r="W10" s="704">
        <v>1.0000000000000001E-5</v>
      </c>
      <c r="X10" s="704">
        <v>1.0000000000000001E-5</v>
      </c>
      <c r="Y10" s="704">
        <v>1.0000000000000001E-5</v>
      </c>
      <c r="Z10" s="704">
        <v>1.0000000000000001E-5</v>
      </c>
      <c r="AA10" s="704">
        <v>1.0000000000000001E-5</v>
      </c>
      <c r="AB10" s="704">
        <v>1.0000000000000001E-5</v>
      </c>
    </row>
    <row r="11" spans="1:28" ht="12.75">
      <c r="A11" s="661" t="s">
        <v>760</v>
      </c>
      <c r="B11" s="667" t="s">
        <v>293</v>
      </c>
      <c r="C11" s="667" t="s">
        <v>293</v>
      </c>
      <c r="D11" s="667" t="s">
        <v>293</v>
      </c>
      <c r="E11" s="667" t="s">
        <v>293</v>
      </c>
      <c r="F11" s="667" t="s">
        <v>293</v>
      </c>
      <c r="G11" s="667" t="s">
        <v>293</v>
      </c>
      <c r="H11" s="667" t="s">
        <v>293</v>
      </c>
      <c r="I11" s="667" t="s">
        <v>293</v>
      </c>
      <c r="J11" s="667" t="s">
        <v>293</v>
      </c>
      <c r="K11" s="667" t="s">
        <v>293</v>
      </c>
      <c r="L11" s="667" t="s">
        <v>293</v>
      </c>
      <c r="M11" s="667" t="s">
        <v>293</v>
      </c>
      <c r="N11" s="664">
        <v>5</v>
      </c>
      <c r="O11" s="667" t="s">
        <v>293</v>
      </c>
      <c r="P11" s="667" t="s">
        <v>293</v>
      </c>
      <c r="Q11" s="667" t="s">
        <v>293</v>
      </c>
      <c r="R11" s="667" t="s">
        <v>293</v>
      </c>
      <c r="S11" s="664">
        <v>1</v>
      </c>
      <c r="T11" s="667" t="s">
        <v>293</v>
      </c>
      <c r="U11" s="667" t="s">
        <v>293</v>
      </c>
      <c r="V11" s="667" t="s">
        <v>293</v>
      </c>
      <c r="W11" s="667" t="s">
        <v>293</v>
      </c>
      <c r="X11" s="667" t="s">
        <v>293</v>
      </c>
      <c r="Y11" s="667" t="s">
        <v>293</v>
      </c>
      <c r="Z11" s="667" t="s">
        <v>293</v>
      </c>
      <c r="AA11" s="667" t="s">
        <v>293</v>
      </c>
      <c r="AB11" s="667" t="s">
        <v>293</v>
      </c>
    </row>
    <row r="12" spans="1:28" ht="18">
      <c r="A12" s="804" t="s">
        <v>585</v>
      </c>
      <c r="B12" s="702"/>
      <c r="C12" s="702"/>
      <c r="D12" s="702"/>
      <c r="E12" s="702"/>
      <c r="F12" s="702"/>
      <c r="G12" s="702"/>
      <c r="H12" s="702"/>
      <c r="I12" s="702"/>
      <c r="J12" s="702"/>
      <c r="K12" s="702"/>
      <c r="L12" s="702"/>
      <c r="M12" s="702"/>
      <c r="N12" s="702"/>
      <c r="O12" s="702"/>
      <c r="P12" s="702"/>
      <c r="Q12" s="702"/>
      <c r="R12" s="702"/>
      <c r="S12" s="702"/>
      <c r="T12" s="702"/>
      <c r="U12" s="702"/>
      <c r="V12" s="702"/>
      <c r="W12" s="702"/>
      <c r="X12" s="702"/>
      <c r="Y12" s="702"/>
      <c r="Z12" s="702"/>
      <c r="AA12" s="702"/>
      <c r="AB12" s="702"/>
    </row>
    <row r="13" spans="1:28" ht="12.75">
      <c r="A13" s="728" t="s">
        <v>893</v>
      </c>
      <c r="B13" s="664" t="s">
        <v>890</v>
      </c>
      <c r="C13" s="664" t="s">
        <v>890</v>
      </c>
      <c r="D13" s="664" t="s">
        <v>890</v>
      </c>
      <c r="E13" s="664" t="s">
        <v>890</v>
      </c>
      <c r="F13" s="664" t="s">
        <v>890</v>
      </c>
      <c r="G13" s="668" t="s">
        <v>293</v>
      </c>
      <c r="H13" s="664" t="s">
        <v>890</v>
      </c>
      <c r="I13" s="664" t="s">
        <v>890</v>
      </c>
      <c r="J13" s="664" t="s">
        <v>890</v>
      </c>
      <c r="K13" s="664" t="s">
        <v>890</v>
      </c>
      <c r="L13" s="664" t="s">
        <v>890</v>
      </c>
      <c r="M13" s="664" t="s">
        <v>890</v>
      </c>
      <c r="N13" s="664" t="s">
        <v>890</v>
      </c>
      <c r="O13" s="664" t="s">
        <v>890</v>
      </c>
      <c r="P13" s="664" t="s">
        <v>890</v>
      </c>
      <c r="Q13" s="664" t="s">
        <v>890</v>
      </c>
      <c r="R13" s="664" t="s">
        <v>890</v>
      </c>
      <c r="S13" s="664" t="s">
        <v>890</v>
      </c>
      <c r="T13" s="664" t="s">
        <v>890</v>
      </c>
      <c r="U13" s="664" t="s">
        <v>890</v>
      </c>
      <c r="V13" s="664" t="s">
        <v>890</v>
      </c>
      <c r="W13" s="664" t="s">
        <v>890</v>
      </c>
      <c r="X13" s="664" t="s">
        <v>890</v>
      </c>
      <c r="Y13" s="664" t="s">
        <v>890</v>
      </c>
      <c r="Z13" s="664" t="s">
        <v>890</v>
      </c>
      <c r="AA13" s="664" t="s">
        <v>890</v>
      </c>
      <c r="AB13" s="664" t="s">
        <v>890</v>
      </c>
    </row>
    <row r="14" spans="1:28" ht="12.75">
      <c r="A14" s="728" t="s">
        <v>586</v>
      </c>
      <c r="B14" s="832" t="s">
        <v>945</v>
      </c>
      <c r="C14" s="832" t="s">
        <v>945</v>
      </c>
      <c r="D14" s="832" t="s">
        <v>945</v>
      </c>
      <c r="E14" s="832" t="s">
        <v>944</v>
      </c>
      <c r="F14" s="832" t="s">
        <v>945</v>
      </c>
      <c r="G14" s="668" t="s">
        <v>944</v>
      </c>
      <c r="H14" s="670" t="s">
        <v>945</v>
      </c>
      <c r="I14" s="670" t="s">
        <v>945</v>
      </c>
      <c r="J14" s="670" t="s">
        <v>945</v>
      </c>
      <c r="K14" s="670" t="s">
        <v>945</v>
      </c>
      <c r="L14" s="670" t="s">
        <v>945</v>
      </c>
      <c r="M14" s="668" t="s">
        <v>944</v>
      </c>
      <c r="N14" s="670" t="s">
        <v>945</v>
      </c>
      <c r="O14" s="668" t="s">
        <v>944</v>
      </c>
      <c r="P14" s="668" t="s">
        <v>944</v>
      </c>
      <c r="Q14" s="668" t="s">
        <v>944</v>
      </c>
      <c r="R14" s="668" t="s">
        <v>944</v>
      </c>
      <c r="S14" s="668" t="s">
        <v>944</v>
      </c>
      <c r="T14" s="668" t="s">
        <v>944</v>
      </c>
      <c r="U14" s="668" t="s">
        <v>944</v>
      </c>
      <c r="V14" s="832" t="s">
        <v>945</v>
      </c>
      <c r="W14" s="832" t="s">
        <v>945</v>
      </c>
      <c r="X14" s="832" t="s">
        <v>945</v>
      </c>
      <c r="Y14" s="832" t="s">
        <v>945</v>
      </c>
      <c r="Z14" s="832" t="s">
        <v>945</v>
      </c>
      <c r="AA14" s="832" t="s">
        <v>945</v>
      </c>
      <c r="AB14" s="668" t="s">
        <v>944</v>
      </c>
    </row>
    <row r="15" spans="1:28" ht="12.75">
      <c r="A15" s="728" t="s">
        <v>587</v>
      </c>
      <c r="B15" s="349" t="s">
        <v>293</v>
      </c>
      <c r="C15" s="349" t="s">
        <v>293</v>
      </c>
      <c r="D15" s="349" t="s">
        <v>293</v>
      </c>
      <c r="E15" s="349" t="s">
        <v>293</v>
      </c>
      <c r="F15" s="667" t="s">
        <v>293</v>
      </c>
      <c r="G15" s="667" t="s">
        <v>293</v>
      </c>
      <c r="H15" s="667" t="s">
        <v>293</v>
      </c>
      <c r="I15" s="667" t="s">
        <v>293</v>
      </c>
      <c r="J15" s="667" t="s">
        <v>293</v>
      </c>
      <c r="K15" s="667" t="s">
        <v>293</v>
      </c>
      <c r="L15" s="667" t="s">
        <v>293</v>
      </c>
      <c r="M15" s="667" t="s">
        <v>293</v>
      </c>
      <c r="N15" s="667" t="s">
        <v>293</v>
      </c>
      <c r="O15" s="667" t="s">
        <v>293</v>
      </c>
      <c r="P15" s="667" t="s">
        <v>293</v>
      </c>
      <c r="Q15" s="667" t="s">
        <v>293</v>
      </c>
      <c r="R15" s="664">
        <v>0.3</v>
      </c>
      <c r="S15" s="670" t="s">
        <v>293</v>
      </c>
      <c r="T15" s="670" t="s">
        <v>293</v>
      </c>
      <c r="U15" s="664">
        <v>0.5</v>
      </c>
      <c r="V15" s="667" t="s">
        <v>293</v>
      </c>
      <c r="W15" s="667" t="s">
        <v>293</v>
      </c>
      <c r="X15" s="831">
        <v>0.4</v>
      </c>
      <c r="Y15" s="831">
        <v>0.4</v>
      </c>
      <c r="Z15" s="667" t="s">
        <v>293</v>
      </c>
      <c r="AA15" s="667" t="s">
        <v>293</v>
      </c>
      <c r="AB15" s="667" t="s">
        <v>293</v>
      </c>
    </row>
    <row r="16" spans="1:28" ht="12.75">
      <c r="A16" s="728" t="s">
        <v>588</v>
      </c>
      <c r="B16" s="831">
        <v>55</v>
      </c>
      <c r="C16" s="831">
        <v>60</v>
      </c>
      <c r="D16" s="831">
        <v>60</v>
      </c>
      <c r="E16" s="831">
        <v>80</v>
      </c>
      <c r="F16" s="831">
        <v>60</v>
      </c>
      <c r="G16" s="662">
        <v>105</v>
      </c>
      <c r="H16" s="664">
        <v>55</v>
      </c>
      <c r="I16" s="664">
        <v>55</v>
      </c>
      <c r="J16" s="664">
        <v>55</v>
      </c>
      <c r="K16" s="664">
        <v>90</v>
      </c>
      <c r="L16" s="664">
        <v>90</v>
      </c>
      <c r="M16" s="664">
        <v>90</v>
      </c>
      <c r="N16" s="664">
        <v>90</v>
      </c>
      <c r="O16" s="664">
        <v>110</v>
      </c>
      <c r="P16" s="664">
        <v>110</v>
      </c>
      <c r="Q16" s="664">
        <v>110</v>
      </c>
      <c r="R16" s="664">
        <v>200</v>
      </c>
      <c r="S16" s="664">
        <v>110</v>
      </c>
      <c r="T16" s="831">
        <v>60</v>
      </c>
      <c r="U16" s="670" t="s">
        <v>293</v>
      </c>
      <c r="V16" s="831">
        <v>60</v>
      </c>
      <c r="W16" s="831">
        <v>60</v>
      </c>
      <c r="X16" s="831">
        <v>90</v>
      </c>
      <c r="Y16" s="831">
        <v>90</v>
      </c>
      <c r="Z16" s="831">
        <v>60</v>
      </c>
      <c r="AA16" s="831">
        <v>60</v>
      </c>
      <c r="AB16" s="664">
        <v>110</v>
      </c>
    </row>
    <row r="17" spans="1:28" ht="12.75">
      <c r="A17" s="728" t="s">
        <v>591</v>
      </c>
      <c r="B17" s="831">
        <v>32</v>
      </c>
      <c r="C17" s="831">
        <v>32</v>
      </c>
      <c r="D17" s="831">
        <v>32</v>
      </c>
      <c r="E17" s="831">
        <v>30</v>
      </c>
      <c r="F17" s="831">
        <v>25</v>
      </c>
      <c r="G17" s="662">
        <v>30</v>
      </c>
      <c r="H17" s="664">
        <v>32</v>
      </c>
      <c r="I17" s="664">
        <v>32</v>
      </c>
      <c r="J17" s="664">
        <v>32</v>
      </c>
      <c r="K17" s="664">
        <v>30</v>
      </c>
      <c r="L17" s="664">
        <v>30</v>
      </c>
      <c r="M17" s="664">
        <v>30</v>
      </c>
      <c r="N17" s="664">
        <v>30</v>
      </c>
      <c r="O17" s="664">
        <v>32</v>
      </c>
      <c r="P17" s="664">
        <v>32</v>
      </c>
      <c r="Q17" s="664">
        <v>32</v>
      </c>
      <c r="R17" s="664">
        <v>32</v>
      </c>
      <c r="S17" s="664">
        <v>32</v>
      </c>
      <c r="T17" s="831">
        <v>30</v>
      </c>
      <c r="U17" s="662">
        <v>30</v>
      </c>
      <c r="V17" s="831">
        <v>20</v>
      </c>
      <c r="W17" s="831">
        <v>30</v>
      </c>
      <c r="X17" s="831">
        <v>20</v>
      </c>
      <c r="Y17" s="831">
        <v>30</v>
      </c>
      <c r="Z17" s="831">
        <v>32</v>
      </c>
      <c r="AA17" s="831">
        <v>32</v>
      </c>
      <c r="AB17" s="664">
        <v>32</v>
      </c>
    </row>
    <row r="18" spans="1:28" ht="12.75">
      <c r="A18" s="728" t="s">
        <v>592</v>
      </c>
      <c r="B18" s="349" t="s">
        <v>293</v>
      </c>
      <c r="C18" s="349" t="s">
        <v>293</v>
      </c>
      <c r="D18" s="349" t="s">
        <v>293</v>
      </c>
      <c r="E18" s="831">
        <v>35</v>
      </c>
      <c r="F18" s="667" t="s">
        <v>293</v>
      </c>
      <c r="G18" s="662">
        <v>45</v>
      </c>
      <c r="H18" s="667" t="s">
        <v>293</v>
      </c>
      <c r="I18" s="667" t="s">
        <v>293</v>
      </c>
      <c r="J18" s="667" t="s">
        <v>293</v>
      </c>
      <c r="K18" s="664">
        <v>45</v>
      </c>
      <c r="L18" s="664">
        <v>45</v>
      </c>
      <c r="M18" s="664">
        <v>45</v>
      </c>
      <c r="N18" s="664">
        <v>45</v>
      </c>
      <c r="O18" s="667" t="s">
        <v>293</v>
      </c>
      <c r="P18" s="667" t="s">
        <v>293</v>
      </c>
      <c r="Q18" s="667" t="s">
        <v>293</v>
      </c>
      <c r="R18" s="670" t="s">
        <v>293</v>
      </c>
      <c r="S18" s="670" t="s">
        <v>293</v>
      </c>
      <c r="T18" s="831">
        <v>60</v>
      </c>
      <c r="U18" s="662">
        <v>60</v>
      </c>
      <c r="V18" s="667" t="s">
        <v>293</v>
      </c>
      <c r="W18" s="831">
        <v>60</v>
      </c>
      <c r="X18" s="667" t="s">
        <v>293</v>
      </c>
      <c r="Y18" s="831">
        <v>60</v>
      </c>
      <c r="Z18" s="667" t="s">
        <v>293</v>
      </c>
      <c r="AA18" s="667" t="s">
        <v>293</v>
      </c>
      <c r="AB18" s="667" t="s">
        <v>293</v>
      </c>
    </row>
    <row r="19" spans="1:28" ht="12.75">
      <c r="A19" s="728" t="s">
        <v>593</v>
      </c>
      <c r="B19" s="831">
        <v>10000</v>
      </c>
      <c r="C19" s="831">
        <v>10000</v>
      </c>
      <c r="D19" s="831">
        <v>10000</v>
      </c>
      <c r="E19" s="831">
        <v>8</v>
      </c>
      <c r="F19" s="831">
        <v>10000</v>
      </c>
      <c r="G19" s="662">
        <v>8</v>
      </c>
      <c r="H19" s="664">
        <v>10000</v>
      </c>
      <c r="I19" s="664">
        <v>10000</v>
      </c>
      <c r="J19" s="664">
        <v>10000</v>
      </c>
      <c r="K19" s="664">
        <v>8</v>
      </c>
      <c r="L19" s="664">
        <v>8</v>
      </c>
      <c r="M19" s="664">
        <v>8</v>
      </c>
      <c r="N19" s="664">
        <v>8</v>
      </c>
      <c r="O19" s="664">
        <v>10000</v>
      </c>
      <c r="P19" s="664">
        <v>10000</v>
      </c>
      <c r="Q19" s="664">
        <v>10000</v>
      </c>
      <c r="R19" s="664">
        <v>10000</v>
      </c>
      <c r="S19" s="664">
        <v>10000</v>
      </c>
      <c r="T19" s="831">
        <v>8</v>
      </c>
      <c r="U19" s="662">
        <v>8</v>
      </c>
      <c r="V19" s="831">
        <v>10000</v>
      </c>
      <c r="W19" s="831">
        <v>8</v>
      </c>
      <c r="X19" s="831">
        <v>10000</v>
      </c>
      <c r="Y19" s="831">
        <v>8</v>
      </c>
      <c r="Z19" s="831">
        <v>10000</v>
      </c>
      <c r="AA19" s="831">
        <v>10000</v>
      </c>
      <c r="AB19" s="664">
        <v>10000</v>
      </c>
    </row>
    <row r="20" spans="1:28" ht="15.75" customHeight="1">
      <c r="A20" s="728" t="s">
        <v>943</v>
      </c>
      <c r="B20" s="789">
        <v>4.8768000000000002</v>
      </c>
      <c r="C20" s="789">
        <v>4.8768000000000002</v>
      </c>
      <c r="D20" s="789">
        <v>4.8768000000000002</v>
      </c>
      <c r="E20" s="789">
        <v>6</v>
      </c>
      <c r="F20" s="789">
        <v>5</v>
      </c>
      <c r="G20" s="662">
        <v>6</v>
      </c>
      <c r="H20" s="664">
        <v>4.8768000000000002</v>
      </c>
      <c r="I20" s="664">
        <v>4.8768000000000002</v>
      </c>
      <c r="J20" s="664">
        <v>4.8768000000000002</v>
      </c>
      <c r="K20" s="664">
        <v>6.13225</v>
      </c>
      <c r="L20" s="664">
        <v>6.13225</v>
      </c>
      <c r="M20" s="664">
        <v>6.13225</v>
      </c>
      <c r="N20" s="664">
        <v>6.13225</v>
      </c>
      <c r="O20" s="664">
        <v>4.8768000000000002</v>
      </c>
      <c r="P20" s="664">
        <v>4.8768000000000002</v>
      </c>
      <c r="Q20" s="664">
        <v>4.8768000000000002</v>
      </c>
      <c r="R20" s="664">
        <v>4.8768000000000002</v>
      </c>
      <c r="S20" s="664">
        <v>4.8768000000000002</v>
      </c>
      <c r="T20" s="789">
        <v>6</v>
      </c>
      <c r="U20" s="662">
        <v>6</v>
      </c>
      <c r="V20" s="789">
        <v>5</v>
      </c>
      <c r="W20" s="789">
        <v>6</v>
      </c>
      <c r="X20" s="789">
        <v>5</v>
      </c>
      <c r="Y20" s="789">
        <v>6</v>
      </c>
      <c r="Z20" s="789">
        <v>4.8768000000000002</v>
      </c>
      <c r="AA20" s="789">
        <v>4.8768000000000002</v>
      </c>
      <c r="AB20" s="664">
        <v>4.8768000000000002</v>
      </c>
    </row>
    <row r="21" spans="1:28" ht="12.75">
      <c r="A21" s="728" t="s">
        <v>729</v>
      </c>
      <c r="B21" s="667" t="s">
        <v>293</v>
      </c>
      <c r="C21" s="667" t="s">
        <v>293</v>
      </c>
      <c r="D21" s="667" t="s">
        <v>293</v>
      </c>
      <c r="E21" s="667" t="s">
        <v>293</v>
      </c>
      <c r="F21" s="667" t="s">
        <v>293</v>
      </c>
      <c r="G21" s="667" t="s">
        <v>293</v>
      </c>
      <c r="H21" s="667" t="s">
        <v>293</v>
      </c>
      <c r="I21" s="667" t="s">
        <v>293</v>
      </c>
      <c r="J21" s="667" t="s">
        <v>293</v>
      </c>
      <c r="K21" s="667" t="s">
        <v>293</v>
      </c>
      <c r="L21" s="667" t="s">
        <v>293</v>
      </c>
      <c r="M21" s="667">
        <v>0</v>
      </c>
      <c r="N21" s="667" t="s">
        <v>293</v>
      </c>
      <c r="O21" s="667" t="s">
        <v>293</v>
      </c>
      <c r="P21" s="667" t="s">
        <v>293</v>
      </c>
      <c r="Q21" s="667" t="s">
        <v>293</v>
      </c>
      <c r="R21" s="670" t="s">
        <v>293</v>
      </c>
      <c r="S21" s="670" t="s">
        <v>293</v>
      </c>
      <c r="T21" s="831">
        <v>5</v>
      </c>
      <c r="U21" s="831">
        <v>5</v>
      </c>
      <c r="V21" s="667" t="s">
        <v>293</v>
      </c>
      <c r="W21" s="667" t="s">
        <v>293</v>
      </c>
      <c r="X21" s="667" t="s">
        <v>293</v>
      </c>
      <c r="Y21" s="667" t="s">
        <v>293</v>
      </c>
      <c r="Z21" s="667" t="s">
        <v>293</v>
      </c>
      <c r="AA21" s="667" t="s">
        <v>293</v>
      </c>
      <c r="AB21" s="711">
        <v>0</v>
      </c>
    </row>
    <row r="22" spans="1:28" ht="25.5">
      <c r="A22" s="682" t="s">
        <v>607</v>
      </c>
      <c r="B22" s="664">
        <v>4</v>
      </c>
      <c r="C22" s="664">
        <v>4</v>
      </c>
      <c r="D22" s="664">
        <v>4</v>
      </c>
      <c r="E22" s="664">
        <v>4</v>
      </c>
      <c r="F22" s="664">
        <v>4</v>
      </c>
      <c r="G22" s="664">
        <v>4</v>
      </c>
      <c r="H22" s="664">
        <v>4</v>
      </c>
      <c r="I22" s="664">
        <v>4</v>
      </c>
      <c r="J22" s="664">
        <v>4</v>
      </c>
      <c r="K22" s="664">
        <v>4</v>
      </c>
      <c r="L22" s="664">
        <v>4</v>
      </c>
      <c r="M22" s="664">
        <v>4</v>
      </c>
      <c r="N22" s="664">
        <v>4</v>
      </c>
      <c r="O22" s="664">
        <v>4</v>
      </c>
      <c r="P22" s="664">
        <v>4</v>
      </c>
      <c r="Q22" s="664">
        <v>4</v>
      </c>
      <c r="R22" s="664">
        <v>4</v>
      </c>
      <c r="S22" s="664">
        <v>4</v>
      </c>
      <c r="T22" s="664">
        <v>4</v>
      </c>
      <c r="U22" s="664">
        <v>4</v>
      </c>
      <c r="V22" s="664">
        <v>4</v>
      </c>
      <c r="W22" s="664">
        <v>4</v>
      </c>
      <c r="X22" s="664">
        <v>4</v>
      </c>
      <c r="Y22" s="664">
        <v>4</v>
      </c>
      <c r="Z22" s="664">
        <v>4</v>
      </c>
      <c r="AA22" s="664">
        <v>4</v>
      </c>
      <c r="AB22" s="664">
        <v>4</v>
      </c>
    </row>
    <row r="23" spans="1:28" ht="15.75" customHeight="1">
      <c r="A23" s="682" t="s">
        <v>608</v>
      </c>
      <c r="B23" s="664">
        <v>1800</v>
      </c>
      <c r="C23" s="664">
        <v>1800</v>
      </c>
      <c r="D23" s="664">
        <v>1800</v>
      </c>
      <c r="E23" s="664">
        <v>1800</v>
      </c>
      <c r="F23" s="664">
        <v>1800</v>
      </c>
      <c r="G23" s="664">
        <v>1800</v>
      </c>
      <c r="H23" s="664">
        <v>1800</v>
      </c>
      <c r="I23" s="664">
        <v>1800</v>
      </c>
      <c r="J23" s="664">
        <v>1800</v>
      </c>
      <c r="K23" s="664">
        <v>1800</v>
      </c>
      <c r="L23" s="664">
        <v>1800</v>
      </c>
      <c r="M23" s="664">
        <v>1800</v>
      </c>
      <c r="N23" s="664">
        <v>1800</v>
      </c>
      <c r="O23" s="664">
        <v>1800</v>
      </c>
      <c r="P23" s="664">
        <v>1800</v>
      </c>
      <c r="Q23" s="664">
        <v>1800</v>
      </c>
      <c r="R23" s="664">
        <v>1800</v>
      </c>
      <c r="S23" s="664">
        <v>1800</v>
      </c>
      <c r="T23" s="664">
        <v>1800</v>
      </c>
      <c r="U23" s="664">
        <v>1800</v>
      </c>
      <c r="V23" s="664">
        <v>1800</v>
      </c>
      <c r="W23" s="664">
        <v>1800</v>
      </c>
      <c r="X23" s="664">
        <v>1800</v>
      </c>
      <c r="Y23" s="664">
        <v>1800</v>
      </c>
      <c r="Z23" s="664">
        <v>1800</v>
      </c>
      <c r="AA23" s="664">
        <v>1800</v>
      </c>
      <c r="AB23" s="664">
        <v>1800</v>
      </c>
    </row>
    <row r="24" spans="1:28" ht="15.75" customHeight="1">
      <c r="A24" s="661" t="s">
        <v>609</v>
      </c>
      <c r="B24" s="664">
        <v>4.36E-2</v>
      </c>
      <c r="C24" s="664">
        <v>9.9599999999999994E-2</v>
      </c>
      <c r="D24" s="664">
        <v>9.9599999999999994E-2</v>
      </c>
      <c r="E24" s="664">
        <v>3.5099999999999999E-2</v>
      </c>
      <c r="F24" s="664">
        <v>6.7599999999999993E-2</v>
      </c>
      <c r="G24" s="662">
        <v>4.5600000000000002E-2</v>
      </c>
      <c r="H24" s="664">
        <v>7.3099999999999998E-2</v>
      </c>
      <c r="I24" s="664">
        <v>4.36E-2</v>
      </c>
      <c r="J24" s="664">
        <v>8.0100000000000005E-2</v>
      </c>
      <c r="K24" s="664">
        <v>5.16E-2</v>
      </c>
      <c r="L24" s="664">
        <v>6.9599999999999995E-2</v>
      </c>
      <c r="M24" s="664">
        <v>6.9599999999999995E-2</v>
      </c>
      <c r="N24" s="664">
        <v>4.8099999999999997E-2</v>
      </c>
      <c r="O24" s="664">
        <v>8.0100000000000005E-2</v>
      </c>
      <c r="P24" s="664">
        <v>4.36E-2</v>
      </c>
      <c r="Q24" s="664">
        <v>7.3099999999999998E-2</v>
      </c>
      <c r="R24" s="664">
        <v>4.1099999999999998E-2</v>
      </c>
      <c r="S24" s="664">
        <v>5.5599999999999997E-2</v>
      </c>
      <c r="T24" s="664">
        <v>8.2100000000000006E-2</v>
      </c>
      <c r="U24" s="662">
        <v>2.86E-2</v>
      </c>
      <c r="V24" s="664">
        <v>6.2600000000000003E-2</v>
      </c>
      <c r="W24" s="664">
        <v>6.2600000000000003E-2</v>
      </c>
      <c r="X24" s="664">
        <v>5.91E-2</v>
      </c>
      <c r="Y24" s="664">
        <v>5.91E-2</v>
      </c>
      <c r="Z24" s="664">
        <v>7.6600000000000001E-2</v>
      </c>
      <c r="AA24" s="664">
        <v>7.6600000000000001E-2</v>
      </c>
      <c r="AB24" s="664">
        <v>4.36E-2</v>
      </c>
    </row>
    <row r="25" spans="1:28" ht="15.75" customHeight="1">
      <c r="A25" s="728" t="s">
        <v>611</v>
      </c>
      <c r="B25" s="664">
        <v>9.0999999999999998E-2</v>
      </c>
      <c r="C25" s="664">
        <v>9.8100000000000007E-2</v>
      </c>
      <c r="D25" s="664">
        <v>3.1600000000000003E-2</v>
      </c>
      <c r="E25" s="664">
        <v>0.14460000000000001</v>
      </c>
      <c r="F25" s="664">
        <v>0.1101</v>
      </c>
      <c r="G25" s="662">
        <v>0.18459999999999999</v>
      </c>
      <c r="H25" s="664">
        <v>9.2999999999999999E-2</v>
      </c>
      <c r="I25" s="664">
        <v>9.0999999999999998E-2</v>
      </c>
      <c r="J25" s="664">
        <v>9.1499999999999998E-2</v>
      </c>
      <c r="K25" s="664">
        <v>6.2E-2</v>
      </c>
      <c r="L25" s="664">
        <v>8.9499999999999996E-2</v>
      </c>
      <c r="M25" s="664">
        <v>8.9499999999999996E-2</v>
      </c>
      <c r="N25" s="664">
        <v>9.4E-2</v>
      </c>
      <c r="O25" s="664">
        <v>9.1499999999999998E-2</v>
      </c>
      <c r="P25" s="664">
        <v>9.0999999999999998E-2</v>
      </c>
      <c r="Q25" s="664">
        <v>9.2999999999999999E-2</v>
      </c>
      <c r="R25" s="664">
        <v>0.192499</v>
      </c>
      <c r="S25" s="664">
        <v>9.9500000000000005E-2</v>
      </c>
      <c r="T25" s="664">
        <v>0</v>
      </c>
      <c r="U25" s="662">
        <v>0.1095</v>
      </c>
      <c r="V25" s="664">
        <v>0.1181</v>
      </c>
      <c r="W25" s="664">
        <v>0.1181</v>
      </c>
      <c r="X25" s="664">
        <v>2.3E-2</v>
      </c>
      <c r="Y25" s="664">
        <v>2.3E-2</v>
      </c>
      <c r="Z25" s="664">
        <v>0.1996</v>
      </c>
      <c r="AA25" s="664">
        <v>0.1996</v>
      </c>
      <c r="AB25" s="664">
        <v>9.0999999999999998E-2</v>
      </c>
    </row>
    <row r="26" spans="1:28" ht="15.75" customHeight="1">
      <c r="A26" s="728" t="s">
        <v>613</v>
      </c>
      <c r="B26" s="664">
        <v>1</v>
      </c>
      <c r="C26" s="664">
        <v>1</v>
      </c>
      <c r="D26" s="664">
        <v>1</v>
      </c>
      <c r="E26" s="664">
        <v>1</v>
      </c>
      <c r="F26" s="664">
        <v>1</v>
      </c>
      <c r="G26" s="662">
        <v>1</v>
      </c>
      <c r="H26" s="664">
        <v>1</v>
      </c>
      <c r="I26" s="664">
        <v>1</v>
      </c>
      <c r="J26" s="664">
        <v>1</v>
      </c>
      <c r="K26" s="664">
        <v>1</v>
      </c>
      <c r="L26" s="664">
        <v>1</v>
      </c>
      <c r="M26" s="664">
        <v>1</v>
      </c>
      <c r="N26" s="664">
        <v>1</v>
      </c>
      <c r="O26" s="664">
        <v>1</v>
      </c>
      <c r="P26" s="664">
        <v>1</v>
      </c>
      <c r="Q26" s="664">
        <v>1</v>
      </c>
      <c r="R26" s="664">
        <v>1</v>
      </c>
      <c r="S26" s="664">
        <v>1</v>
      </c>
      <c r="T26" s="664">
        <v>0</v>
      </c>
      <c r="U26" s="662">
        <v>1</v>
      </c>
      <c r="V26" s="664">
        <v>1</v>
      </c>
      <c r="W26" s="664">
        <v>1</v>
      </c>
      <c r="X26" s="664">
        <v>1</v>
      </c>
      <c r="Y26" s="664">
        <v>1</v>
      </c>
      <c r="Z26" s="664">
        <v>1</v>
      </c>
      <c r="AA26" s="664">
        <v>1</v>
      </c>
      <c r="AB26" s="664">
        <v>1</v>
      </c>
    </row>
    <row r="27" spans="1:28" ht="15.75" customHeight="1">
      <c r="A27" s="728" t="s">
        <v>615</v>
      </c>
      <c r="B27" s="664">
        <v>2.9999999999999997E-4</v>
      </c>
      <c r="C27" s="664">
        <v>1E-4</v>
      </c>
      <c r="D27" s="664">
        <v>1E-4</v>
      </c>
      <c r="E27" s="664">
        <v>5.0000000000000001E-4</v>
      </c>
      <c r="F27" s="664">
        <v>4.0000000000000002E-4</v>
      </c>
      <c r="G27" s="662">
        <v>2.9999999999999997E-4</v>
      </c>
      <c r="H27" s="664">
        <v>4.0000000000000002E-4</v>
      </c>
      <c r="I27" s="664">
        <v>2.9999999999999997E-4</v>
      </c>
      <c r="J27" s="664">
        <v>2.9999999999999997E-4</v>
      </c>
      <c r="K27" s="664">
        <v>4.0000000000000002E-4</v>
      </c>
      <c r="L27" s="664">
        <v>2.0000000000000001E-4</v>
      </c>
      <c r="M27" s="664">
        <v>2.0000000000000001E-4</v>
      </c>
      <c r="N27" s="664">
        <v>4.0000000000000002E-4</v>
      </c>
      <c r="O27" s="664">
        <v>2.9999999999999997E-4</v>
      </c>
      <c r="P27" s="664">
        <v>2.9999999999999997E-4</v>
      </c>
      <c r="Q27" s="664">
        <v>4.0000000000000002E-4</v>
      </c>
      <c r="R27" s="664">
        <v>4.0000000000000002E-4</v>
      </c>
      <c r="S27" s="664">
        <v>1E-4</v>
      </c>
      <c r="T27" s="664">
        <v>1.5E-3</v>
      </c>
      <c r="U27" s="662">
        <v>4.0000000000000002E-4</v>
      </c>
      <c r="V27" s="664">
        <v>4.0000000000000002E-4</v>
      </c>
      <c r="W27" s="664">
        <v>4.0000000000000002E-4</v>
      </c>
      <c r="X27" s="664">
        <v>1E-4</v>
      </c>
      <c r="Y27" s="664">
        <v>1E-4</v>
      </c>
      <c r="Z27" s="664">
        <v>1E-4</v>
      </c>
      <c r="AA27" s="664">
        <v>1E-4</v>
      </c>
      <c r="AB27" s="664">
        <v>2.9999999999999997E-4</v>
      </c>
    </row>
    <row r="28" spans="1:28" ht="24" customHeight="1">
      <c r="A28" s="803" t="s">
        <v>617</v>
      </c>
      <c r="B28" s="802"/>
      <c r="C28" s="802"/>
      <c r="D28" s="802"/>
      <c r="E28" s="802"/>
      <c r="F28" s="802"/>
      <c r="G28" s="802"/>
      <c r="H28" s="802"/>
      <c r="I28" s="802"/>
      <c r="J28" s="802"/>
      <c r="K28" s="802"/>
      <c r="L28" s="802"/>
      <c r="M28" s="802"/>
      <c r="N28" s="802"/>
      <c r="O28" s="802"/>
      <c r="P28" s="802"/>
      <c r="Q28" s="802"/>
      <c r="R28" s="802"/>
      <c r="S28" s="802"/>
      <c r="T28" s="802"/>
      <c r="U28" s="802"/>
      <c r="V28" s="802"/>
      <c r="W28" s="802"/>
      <c r="X28" s="802"/>
      <c r="Y28" s="802"/>
      <c r="Z28" s="802"/>
      <c r="AA28" s="802"/>
      <c r="AB28" s="802"/>
    </row>
    <row r="29" spans="1:28" ht="12.75">
      <c r="A29" s="728" t="s">
        <v>884</v>
      </c>
      <c r="B29" s="670" t="s">
        <v>293</v>
      </c>
      <c r="C29" s="670" t="s">
        <v>293</v>
      </c>
      <c r="D29" s="670" t="s">
        <v>293</v>
      </c>
      <c r="E29" s="662" t="s">
        <v>942</v>
      </c>
      <c r="F29" s="670" t="s">
        <v>293</v>
      </c>
      <c r="G29" s="662" t="s">
        <v>942</v>
      </c>
      <c r="H29" s="670" t="s">
        <v>293</v>
      </c>
      <c r="I29" s="670" t="s">
        <v>293</v>
      </c>
      <c r="J29" s="667" t="s">
        <v>293</v>
      </c>
      <c r="K29" s="662" t="s">
        <v>942</v>
      </c>
      <c r="L29" s="662" t="s">
        <v>942</v>
      </c>
      <c r="M29" s="662" t="s">
        <v>942</v>
      </c>
      <c r="N29" s="662" t="s">
        <v>942</v>
      </c>
      <c r="O29" s="662" t="s">
        <v>942</v>
      </c>
      <c r="P29" s="662" t="s">
        <v>942</v>
      </c>
      <c r="Q29" s="662" t="s">
        <v>942</v>
      </c>
      <c r="R29" s="662" t="s">
        <v>942</v>
      </c>
      <c r="S29" s="662" t="s">
        <v>942</v>
      </c>
      <c r="T29" s="662" t="s">
        <v>942</v>
      </c>
      <c r="U29" s="662" t="s">
        <v>942</v>
      </c>
      <c r="V29" s="667" t="s">
        <v>293</v>
      </c>
      <c r="W29" s="662" t="s">
        <v>942</v>
      </c>
      <c r="X29" s="667" t="s">
        <v>293</v>
      </c>
      <c r="Y29" s="662" t="s">
        <v>942</v>
      </c>
      <c r="Z29" s="667" t="s">
        <v>293</v>
      </c>
      <c r="AA29" s="667" t="s">
        <v>293</v>
      </c>
      <c r="AB29" s="662" t="s">
        <v>942</v>
      </c>
    </row>
    <row r="30" spans="1:28" ht="12.75">
      <c r="A30" s="661" t="s">
        <v>618</v>
      </c>
      <c r="B30" s="662">
        <f>90*0.153392</f>
        <v>13.80528</v>
      </c>
      <c r="C30" s="662">
        <f>90*0.15</f>
        <v>13.5</v>
      </c>
      <c r="D30" s="662">
        <f>90*0.15</f>
        <v>13.5</v>
      </c>
      <c r="E30" s="662">
        <f>90*0.15</f>
        <v>13.5</v>
      </c>
      <c r="F30" s="662">
        <f>90*0.2</f>
        <v>18</v>
      </c>
      <c r="G30" s="662">
        <f>90*0.2</f>
        <v>18</v>
      </c>
      <c r="H30" s="662">
        <f>90*0.151153</f>
        <v>13.603770000000001</v>
      </c>
      <c r="I30" s="662">
        <f>90*0.153392</f>
        <v>13.80528</v>
      </c>
      <c r="J30" s="662">
        <f>90*0.153392</f>
        <v>13.80528</v>
      </c>
      <c r="K30" s="662">
        <f>90*0.2</f>
        <v>18</v>
      </c>
      <c r="L30" s="662">
        <f>90*0.151153</f>
        <v>13.603770000000001</v>
      </c>
      <c r="M30" s="662">
        <f>90*0.151153</f>
        <v>13.603770000000001</v>
      </c>
      <c r="N30" s="662">
        <f>90*0.151153</f>
        <v>13.603770000000001</v>
      </c>
      <c r="O30" s="662">
        <f>90*0.153392</f>
        <v>13.80528</v>
      </c>
      <c r="P30" s="662">
        <f>90*0.153392</f>
        <v>13.80528</v>
      </c>
      <c r="Q30" s="662">
        <f>90*0.151153</f>
        <v>13.603770000000001</v>
      </c>
      <c r="R30" s="662">
        <f>90*0.246</f>
        <v>22.14</v>
      </c>
      <c r="S30" s="662">
        <f>90*0.153392</f>
        <v>13.80528</v>
      </c>
      <c r="T30" s="662">
        <f>90*0.1278</f>
        <v>11.501999999999999</v>
      </c>
      <c r="U30" s="662">
        <f>90*0.25</f>
        <v>22.5</v>
      </c>
      <c r="V30" s="662">
        <f>90*0.2</f>
        <v>18</v>
      </c>
      <c r="W30" s="662">
        <f>90*0.2</f>
        <v>18</v>
      </c>
      <c r="X30" s="662">
        <f>90*0.25</f>
        <v>22.5</v>
      </c>
      <c r="Y30" s="662">
        <f>90*0.25</f>
        <v>22.5</v>
      </c>
      <c r="Z30" s="662">
        <f>90*0.15</f>
        <v>13.5</v>
      </c>
      <c r="AA30" s="662">
        <f>90*0.15</f>
        <v>13.5</v>
      </c>
      <c r="AB30" s="662">
        <f>90*0.153392</f>
        <v>13.80528</v>
      </c>
    </row>
    <row r="31" spans="1:28" ht="12.75">
      <c r="A31" s="712" t="s">
        <v>619</v>
      </c>
      <c r="B31" s="670" t="s">
        <v>293</v>
      </c>
      <c r="C31" s="670" t="s">
        <v>293</v>
      </c>
      <c r="D31" s="670" t="s">
        <v>293</v>
      </c>
      <c r="E31" s="670" t="s">
        <v>293</v>
      </c>
      <c r="F31" s="670" t="s">
        <v>293</v>
      </c>
      <c r="G31" s="670" t="s">
        <v>293</v>
      </c>
      <c r="H31" s="670" t="s">
        <v>293</v>
      </c>
      <c r="I31" s="670" t="s">
        <v>293</v>
      </c>
      <c r="J31" s="670" t="s">
        <v>293</v>
      </c>
      <c r="K31" s="670" t="s">
        <v>293</v>
      </c>
      <c r="L31" s="670" t="s">
        <v>293</v>
      </c>
      <c r="M31" s="670" t="s">
        <v>293</v>
      </c>
      <c r="N31" s="670" t="s">
        <v>293</v>
      </c>
      <c r="O31" s="670" t="s">
        <v>293</v>
      </c>
      <c r="P31" s="670" t="s">
        <v>293</v>
      </c>
      <c r="Q31" s="670" t="s">
        <v>293</v>
      </c>
      <c r="R31" s="670" t="s">
        <v>293</v>
      </c>
      <c r="S31" s="670" t="s">
        <v>293</v>
      </c>
      <c r="T31" s="831">
        <v>2.4500000000000002</v>
      </c>
      <c r="U31" s="670" t="s">
        <v>293</v>
      </c>
      <c r="V31" s="667" t="s">
        <v>293</v>
      </c>
      <c r="W31" s="667" t="s">
        <v>293</v>
      </c>
      <c r="X31" s="667" t="s">
        <v>293</v>
      </c>
      <c r="Y31" s="667" t="s">
        <v>293</v>
      </c>
      <c r="Z31" s="667" t="s">
        <v>293</v>
      </c>
      <c r="AA31" s="667" t="s">
        <v>293</v>
      </c>
      <c r="AB31" s="667" t="s">
        <v>293</v>
      </c>
    </row>
    <row r="32" spans="1:28" ht="12.75">
      <c r="A32" s="661" t="s">
        <v>621</v>
      </c>
      <c r="B32" s="831">
        <v>2.75</v>
      </c>
      <c r="C32" s="831">
        <v>1.8</v>
      </c>
      <c r="D32" s="831">
        <v>1.8</v>
      </c>
      <c r="E32" s="831">
        <v>1.5</v>
      </c>
      <c r="F32" s="831">
        <v>1.6</v>
      </c>
      <c r="G32" s="662">
        <v>1.65</v>
      </c>
      <c r="H32" s="662">
        <v>1.8</v>
      </c>
      <c r="I32" s="662">
        <v>2.75</v>
      </c>
      <c r="J32" s="662">
        <v>2.5</v>
      </c>
      <c r="K32" s="662">
        <v>3.25</v>
      </c>
      <c r="L32" s="662">
        <v>1.8</v>
      </c>
      <c r="M32" s="662">
        <v>1.8</v>
      </c>
      <c r="N32" s="662">
        <v>4</v>
      </c>
      <c r="O32" s="662">
        <v>2.5</v>
      </c>
      <c r="P32" s="662">
        <v>2.75</v>
      </c>
      <c r="Q32" s="662">
        <v>1.8</v>
      </c>
      <c r="R32" s="812">
        <v>1.05</v>
      </c>
      <c r="S32" s="662">
        <v>1.85</v>
      </c>
      <c r="T32" s="831">
        <v>2.5</v>
      </c>
      <c r="U32" s="662">
        <v>1.6</v>
      </c>
      <c r="V32" s="831">
        <v>1.6</v>
      </c>
      <c r="W32" s="831">
        <v>1.6</v>
      </c>
      <c r="X32" s="831">
        <v>1.9</v>
      </c>
      <c r="Y32" s="831">
        <v>1.9</v>
      </c>
      <c r="Z32" s="831">
        <v>1.8</v>
      </c>
      <c r="AA32" s="831">
        <v>1.8</v>
      </c>
      <c r="AB32" s="662">
        <v>2.75</v>
      </c>
    </row>
    <row r="33" spans="1:28" ht="12.75">
      <c r="A33" s="728" t="s">
        <v>631</v>
      </c>
      <c r="B33" s="831">
        <v>6</v>
      </c>
      <c r="C33" s="831">
        <v>4</v>
      </c>
      <c r="D33" s="831">
        <v>4</v>
      </c>
      <c r="E33" s="831">
        <v>4</v>
      </c>
      <c r="F33" s="831">
        <v>4</v>
      </c>
      <c r="G33" s="662">
        <v>3</v>
      </c>
      <c r="H33" s="662">
        <v>6</v>
      </c>
      <c r="I33" s="662">
        <v>6</v>
      </c>
      <c r="J33" s="662">
        <v>4</v>
      </c>
      <c r="K33" s="662">
        <v>6</v>
      </c>
      <c r="L33" s="662">
        <v>6</v>
      </c>
      <c r="M33" s="662">
        <v>6</v>
      </c>
      <c r="N33" s="662">
        <v>4</v>
      </c>
      <c r="O33" s="662">
        <v>4</v>
      </c>
      <c r="P33" s="662">
        <v>6</v>
      </c>
      <c r="Q33" s="662">
        <v>6</v>
      </c>
      <c r="R33" s="812">
        <v>2.75</v>
      </c>
      <c r="S33" s="662">
        <v>6</v>
      </c>
      <c r="T33" s="831">
        <v>2.4500000000000002</v>
      </c>
      <c r="U33" s="662">
        <v>5</v>
      </c>
      <c r="V33" s="831">
        <v>4</v>
      </c>
      <c r="W33" s="831">
        <v>4</v>
      </c>
      <c r="X33" s="831">
        <v>4</v>
      </c>
      <c r="Y33" s="831">
        <v>4</v>
      </c>
      <c r="Z33" s="831">
        <v>4</v>
      </c>
      <c r="AA33" s="831">
        <v>4</v>
      </c>
      <c r="AB33" s="662">
        <v>6</v>
      </c>
    </row>
    <row r="34" spans="1:28" ht="12.75">
      <c r="A34" s="661" t="s">
        <v>626</v>
      </c>
      <c r="B34" s="670" t="s">
        <v>293</v>
      </c>
      <c r="C34" s="670" t="s">
        <v>293</v>
      </c>
      <c r="D34" s="670" t="s">
        <v>293</v>
      </c>
      <c r="E34" s="670" t="s">
        <v>293</v>
      </c>
      <c r="F34" s="670" t="s">
        <v>293</v>
      </c>
      <c r="G34" s="670" t="s">
        <v>293</v>
      </c>
      <c r="H34" s="670" t="s">
        <v>293</v>
      </c>
      <c r="I34" s="670" t="s">
        <v>293</v>
      </c>
      <c r="J34" s="670" t="s">
        <v>293</v>
      </c>
      <c r="K34" s="670" t="s">
        <v>293</v>
      </c>
      <c r="L34" s="670" t="s">
        <v>293</v>
      </c>
      <c r="M34" s="670" t="s">
        <v>293</v>
      </c>
      <c r="N34" s="670" t="s">
        <v>293</v>
      </c>
      <c r="O34" s="670" t="s">
        <v>293</v>
      </c>
      <c r="P34" s="670" t="s">
        <v>293</v>
      </c>
      <c r="Q34" s="670" t="s">
        <v>293</v>
      </c>
      <c r="R34" s="812">
        <v>0.3</v>
      </c>
      <c r="S34" s="670" t="s">
        <v>293</v>
      </c>
      <c r="T34" s="670" t="s">
        <v>293</v>
      </c>
      <c r="U34" s="662">
        <v>0.5</v>
      </c>
      <c r="V34" s="667" t="s">
        <v>293</v>
      </c>
      <c r="W34" s="667" t="s">
        <v>293</v>
      </c>
      <c r="X34" s="662">
        <v>0.4</v>
      </c>
      <c r="Y34" s="662">
        <v>0.4</v>
      </c>
      <c r="Z34" s="667" t="s">
        <v>293</v>
      </c>
      <c r="AA34" s="667" t="s">
        <v>293</v>
      </c>
      <c r="AB34" s="667" t="s">
        <v>293</v>
      </c>
    </row>
    <row r="35" spans="1:28" ht="12.75">
      <c r="A35" s="661" t="s">
        <v>756</v>
      </c>
      <c r="B35" s="670" t="s">
        <v>293</v>
      </c>
      <c r="C35" s="670" t="s">
        <v>293</v>
      </c>
      <c r="D35" s="670" t="s">
        <v>293</v>
      </c>
      <c r="E35" s="670" t="s">
        <v>293</v>
      </c>
      <c r="F35" s="670" t="s">
        <v>293</v>
      </c>
      <c r="G35" s="670" t="s">
        <v>293</v>
      </c>
      <c r="H35" s="670" t="s">
        <v>293</v>
      </c>
      <c r="I35" s="670" t="s">
        <v>293</v>
      </c>
      <c r="J35" s="670" t="s">
        <v>293</v>
      </c>
      <c r="K35" s="670" t="s">
        <v>293</v>
      </c>
      <c r="L35" s="670" t="s">
        <v>293</v>
      </c>
      <c r="M35" s="670" t="s">
        <v>293</v>
      </c>
      <c r="N35" s="670" t="s">
        <v>293</v>
      </c>
      <c r="O35" s="670" t="s">
        <v>293</v>
      </c>
      <c r="P35" s="670" t="s">
        <v>293</v>
      </c>
      <c r="Q35" s="670" t="s">
        <v>293</v>
      </c>
      <c r="R35" s="670" t="s">
        <v>293</v>
      </c>
      <c r="S35" s="670" t="s">
        <v>293</v>
      </c>
      <c r="T35" s="831" t="s">
        <v>1053</v>
      </c>
      <c r="U35" s="670" t="s">
        <v>293</v>
      </c>
      <c r="V35" s="667" t="s">
        <v>293</v>
      </c>
      <c r="W35" s="667" t="s">
        <v>293</v>
      </c>
      <c r="X35" s="670" t="s">
        <v>293</v>
      </c>
      <c r="Y35" s="670" t="s">
        <v>293</v>
      </c>
      <c r="Z35" s="667" t="s">
        <v>293</v>
      </c>
      <c r="AA35" s="667" t="s">
        <v>293</v>
      </c>
      <c r="AB35" s="667" t="s">
        <v>293</v>
      </c>
    </row>
    <row r="36" spans="1:28" ht="12.75">
      <c r="A36" s="661" t="s">
        <v>756</v>
      </c>
      <c r="B36" s="670" t="s">
        <v>293</v>
      </c>
      <c r="C36" s="670" t="s">
        <v>293</v>
      </c>
      <c r="D36" s="670" t="s">
        <v>293</v>
      </c>
      <c r="E36" s="670" t="s">
        <v>293</v>
      </c>
      <c r="F36" s="670" t="s">
        <v>293</v>
      </c>
      <c r="G36" s="670" t="s">
        <v>293</v>
      </c>
      <c r="H36" s="670" t="s">
        <v>293</v>
      </c>
      <c r="I36" s="670" t="s">
        <v>293</v>
      </c>
      <c r="J36" s="670" t="s">
        <v>293</v>
      </c>
      <c r="K36" s="670" t="s">
        <v>293</v>
      </c>
      <c r="L36" s="670" t="s">
        <v>293</v>
      </c>
      <c r="M36" s="670" t="s">
        <v>293</v>
      </c>
      <c r="N36" s="670" t="s">
        <v>293</v>
      </c>
      <c r="O36" s="670" t="s">
        <v>293</v>
      </c>
      <c r="P36" s="670" t="s">
        <v>293</v>
      </c>
      <c r="Q36" s="670" t="s">
        <v>293</v>
      </c>
      <c r="R36" s="670" t="s">
        <v>293</v>
      </c>
      <c r="S36" s="670" t="s">
        <v>293</v>
      </c>
      <c r="T36" s="831" t="s">
        <v>1052</v>
      </c>
      <c r="U36" s="667" t="s">
        <v>293</v>
      </c>
      <c r="V36" s="667" t="s">
        <v>293</v>
      </c>
      <c r="W36" s="667" t="s">
        <v>293</v>
      </c>
      <c r="X36" s="667" t="s">
        <v>293</v>
      </c>
      <c r="Y36" s="667" t="s">
        <v>293</v>
      </c>
      <c r="Z36" s="667" t="s">
        <v>293</v>
      </c>
      <c r="AA36" s="667" t="s">
        <v>293</v>
      </c>
      <c r="AB36" s="667" t="s">
        <v>293</v>
      </c>
    </row>
    <row r="37" spans="1:28" ht="12.75">
      <c r="A37" s="661" t="s">
        <v>756</v>
      </c>
      <c r="B37" s="670" t="s">
        <v>293</v>
      </c>
      <c r="C37" s="670" t="s">
        <v>293</v>
      </c>
      <c r="D37" s="670" t="s">
        <v>293</v>
      </c>
      <c r="E37" s="670" t="s">
        <v>293</v>
      </c>
      <c r="F37" s="670" t="s">
        <v>293</v>
      </c>
      <c r="G37" s="670" t="s">
        <v>293</v>
      </c>
      <c r="H37" s="670" t="s">
        <v>293</v>
      </c>
      <c r="I37" s="670" t="s">
        <v>293</v>
      </c>
      <c r="J37" s="670" t="s">
        <v>293</v>
      </c>
      <c r="K37" s="670" t="s">
        <v>293</v>
      </c>
      <c r="L37" s="670" t="s">
        <v>293</v>
      </c>
      <c r="M37" s="670" t="s">
        <v>293</v>
      </c>
      <c r="N37" s="670" t="s">
        <v>293</v>
      </c>
      <c r="O37" s="670" t="s">
        <v>293</v>
      </c>
      <c r="P37" s="670" t="s">
        <v>293</v>
      </c>
      <c r="Q37" s="670" t="s">
        <v>293</v>
      </c>
      <c r="R37" s="670" t="s">
        <v>293</v>
      </c>
      <c r="S37" s="670" t="s">
        <v>293</v>
      </c>
      <c r="T37" s="831" t="s">
        <v>1051</v>
      </c>
      <c r="U37" s="670" t="s">
        <v>293</v>
      </c>
      <c r="V37" s="667" t="s">
        <v>293</v>
      </c>
      <c r="W37" s="667" t="s">
        <v>293</v>
      </c>
      <c r="X37" s="670" t="s">
        <v>293</v>
      </c>
      <c r="Y37" s="670" t="s">
        <v>293</v>
      </c>
      <c r="Z37" s="667" t="s">
        <v>293</v>
      </c>
      <c r="AA37" s="667" t="s">
        <v>293</v>
      </c>
      <c r="AB37" s="667" t="s">
        <v>293</v>
      </c>
    </row>
    <row r="38" spans="1:28" ht="12.75">
      <c r="A38" s="661" t="s">
        <v>628</v>
      </c>
      <c r="B38" s="831">
        <v>2</v>
      </c>
      <c r="C38" s="670" t="s">
        <v>293</v>
      </c>
      <c r="D38" s="670" t="s">
        <v>293</v>
      </c>
      <c r="E38" s="670" t="s">
        <v>293</v>
      </c>
      <c r="F38" s="670" t="s">
        <v>293</v>
      </c>
      <c r="G38" s="670" t="s">
        <v>293</v>
      </c>
      <c r="H38" s="831">
        <v>2</v>
      </c>
      <c r="I38" s="831">
        <v>2</v>
      </c>
      <c r="J38" s="831">
        <v>2</v>
      </c>
      <c r="K38" s="831">
        <v>2</v>
      </c>
      <c r="L38" s="831">
        <v>2</v>
      </c>
      <c r="M38" s="831">
        <v>2</v>
      </c>
      <c r="N38" s="831">
        <v>2</v>
      </c>
      <c r="O38" s="670" t="s">
        <v>293</v>
      </c>
      <c r="P38" s="670" t="s">
        <v>293</v>
      </c>
      <c r="Q38" s="670" t="s">
        <v>293</v>
      </c>
      <c r="R38" s="812">
        <v>0.31</v>
      </c>
      <c r="S38" s="831">
        <v>2</v>
      </c>
      <c r="T38" s="831">
        <v>25</v>
      </c>
      <c r="U38" s="662">
        <v>0.51</v>
      </c>
      <c r="V38" s="667" t="s">
        <v>293</v>
      </c>
      <c r="W38" s="667" t="s">
        <v>293</v>
      </c>
      <c r="X38" s="662">
        <v>0.41</v>
      </c>
      <c r="Y38" s="662">
        <v>0.41</v>
      </c>
      <c r="Z38" s="667" t="s">
        <v>293</v>
      </c>
      <c r="AA38" s="667" t="s">
        <v>293</v>
      </c>
      <c r="AB38" s="667" t="s">
        <v>293</v>
      </c>
    </row>
    <row r="39" spans="1:28" ht="12.75">
      <c r="A39" s="728" t="s">
        <v>686</v>
      </c>
      <c r="B39" s="670" t="s">
        <v>324</v>
      </c>
      <c r="C39" s="670" t="s">
        <v>324</v>
      </c>
      <c r="D39" s="670" t="s">
        <v>324</v>
      </c>
      <c r="E39" s="670" t="s">
        <v>324</v>
      </c>
      <c r="F39" s="670" t="s">
        <v>324</v>
      </c>
      <c r="G39" s="670" t="s">
        <v>324</v>
      </c>
      <c r="H39" s="670" t="s">
        <v>324</v>
      </c>
      <c r="I39" s="670" t="s">
        <v>324</v>
      </c>
      <c r="J39" s="670" t="s">
        <v>324</v>
      </c>
      <c r="K39" s="670" t="s">
        <v>324</v>
      </c>
      <c r="L39" s="670" t="s">
        <v>324</v>
      </c>
      <c r="M39" s="815" t="s">
        <v>328</v>
      </c>
      <c r="N39" s="670" t="s">
        <v>324</v>
      </c>
      <c r="O39" s="815" t="s">
        <v>328</v>
      </c>
      <c r="P39" s="670" t="s">
        <v>324</v>
      </c>
      <c r="Q39" s="670" t="s">
        <v>324</v>
      </c>
      <c r="R39" s="815" t="s">
        <v>328</v>
      </c>
      <c r="S39" s="815" t="s">
        <v>328</v>
      </c>
      <c r="T39" s="832" t="s">
        <v>328</v>
      </c>
      <c r="U39" s="670" t="s">
        <v>328</v>
      </c>
      <c r="V39" s="670" t="s">
        <v>324</v>
      </c>
      <c r="W39" s="670" t="s">
        <v>324</v>
      </c>
      <c r="X39" s="670" t="s">
        <v>324</v>
      </c>
      <c r="Y39" s="670" t="s">
        <v>324</v>
      </c>
      <c r="Z39" s="670" t="s">
        <v>324</v>
      </c>
      <c r="AA39" s="670" t="s">
        <v>324</v>
      </c>
      <c r="AB39" s="670" t="s">
        <v>328</v>
      </c>
    </row>
    <row r="40" spans="1:28" ht="12.75">
      <c r="A40" s="728" t="s">
        <v>1050</v>
      </c>
      <c r="B40" s="670" t="s">
        <v>293</v>
      </c>
      <c r="C40" s="349" t="s">
        <v>293</v>
      </c>
      <c r="D40" s="349" t="s">
        <v>293</v>
      </c>
      <c r="E40" s="349" t="s">
        <v>293</v>
      </c>
      <c r="F40" s="349" t="s">
        <v>293</v>
      </c>
      <c r="G40" s="349" t="s">
        <v>293</v>
      </c>
      <c r="H40" s="670" t="s">
        <v>293</v>
      </c>
      <c r="I40" s="670" t="s">
        <v>293</v>
      </c>
      <c r="J40" s="670" t="s">
        <v>293</v>
      </c>
      <c r="K40" s="670" t="s">
        <v>293</v>
      </c>
      <c r="L40" s="670" t="s">
        <v>293</v>
      </c>
      <c r="M40" s="812">
        <v>10</v>
      </c>
      <c r="N40" s="670" t="s">
        <v>293</v>
      </c>
      <c r="O40" s="664">
        <v>0.5</v>
      </c>
      <c r="P40" s="664">
        <v>0.5</v>
      </c>
      <c r="Q40" s="664">
        <v>0.5</v>
      </c>
      <c r="R40" s="812">
        <v>5</v>
      </c>
      <c r="S40" s="664">
        <v>0.5</v>
      </c>
      <c r="T40" s="831">
        <v>-2.5</v>
      </c>
      <c r="U40" s="831">
        <v>1.25</v>
      </c>
      <c r="V40" s="349" t="s">
        <v>293</v>
      </c>
      <c r="W40" s="349" t="s">
        <v>293</v>
      </c>
      <c r="X40" s="349" t="s">
        <v>293</v>
      </c>
      <c r="Y40" s="349" t="s">
        <v>293</v>
      </c>
      <c r="Z40" s="349" t="s">
        <v>293</v>
      </c>
      <c r="AA40" s="349" t="s">
        <v>293</v>
      </c>
      <c r="AB40" s="664">
        <v>0.5</v>
      </c>
    </row>
    <row r="41" spans="1:28" ht="12.75">
      <c r="A41" s="728" t="s">
        <v>1049</v>
      </c>
      <c r="B41" s="670" t="s">
        <v>293</v>
      </c>
      <c r="C41" s="349" t="s">
        <v>293</v>
      </c>
      <c r="D41" s="349" t="s">
        <v>293</v>
      </c>
      <c r="E41" s="349" t="s">
        <v>293</v>
      </c>
      <c r="F41" s="349" t="s">
        <v>293</v>
      </c>
      <c r="G41" s="349" t="s">
        <v>293</v>
      </c>
      <c r="H41" s="670" t="s">
        <v>293</v>
      </c>
      <c r="I41" s="670" t="s">
        <v>293</v>
      </c>
      <c r="J41" s="670" t="s">
        <v>293</v>
      </c>
      <c r="K41" s="670" t="s">
        <v>293</v>
      </c>
      <c r="L41" s="670" t="s">
        <v>293</v>
      </c>
      <c r="M41" s="812">
        <v>-35</v>
      </c>
      <c r="N41" s="670" t="s">
        <v>293</v>
      </c>
      <c r="O41" s="664">
        <v>-30</v>
      </c>
      <c r="P41" s="664">
        <v>-30</v>
      </c>
      <c r="Q41" s="664">
        <v>-30</v>
      </c>
      <c r="R41" s="812">
        <v>-65</v>
      </c>
      <c r="S41" s="664">
        <v>-30</v>
      </c>
      <c r="T41" s="831">
        <v>35</v>
      </c>
      <c r="U41" s="831">
        <v>-60</v>
      </c>
      <c r="V41" s="349" t="s">
        <v>293</v>
      </c>
      <c r="W41" s="349" t="s">
        <v>293</v>
      </c>
      <c r="X41" s="349" t="s">
        <v>293</v>
      </c>
      <c r="Y41" s="349" t="s">
        <v>293</v>
      </c>
      <c r="Z41" s="349" t="s">
        <v>293</v>
      </c>
      <c r="AA41" s="349" t="s">
        <v>293</v>
      </c>
      <c r="AB41" s="664">
        <v>-30</v>
      </c>
    </row>
    <row r="42" spans="1:28" ht="12.75">
      <c r="A42" s="728" t="s">
        <v>689</v>
      </c>
      <c r="B42" s="670" t="s">
        <v>293</v>
      </c>
      <c r="C42" s="349" t="s">
        <v>293</v>
      </c>
      <c r="D42" s="349" t="s">
        <v>293</v>
      </c>
      <c r="E42" s="349" t="s">
        <v>293</v>
      </c>
      <c r="F42" s="349" t="s">
        <v>293</v>
      </c>
      <c r="G42" s="349" t="s">
        <v>293</v>
      </c>
      <c r="H42" s="670" t="s">
        <v>293</v>
      </c>
      <c r="I42" s="670" t="s">
        <v>293</v>
      </c>
      <c r="J42" s="670" t="s">
        <v>293</v>
      </c>
      <c r="K42" s="670" t="s">
        <v>293</v>
      </c>
      <c r="L42" s="670" t="s">
        <v>293</v>
      </c>
      <c r="M42" s="812">
        <v>0.65</v>
      </c>
      <c r="N42" s="670" t="s">
        <v>293</v>
      </c>
      <c r="O42" s="664">
        <v>0.65</v>
      </c>
      <c r="P42" s="664">
        <v>0.65</v>
      </c>
      <c r="Q42" s="664">
        <v>0.65</v>
      </c>
      <c r="R42" s="812">
        <v>1.25</v>
      </c>
      <c r="S42" s="664">
        <v>0.65</v>
      </c>
      <c r="T42" s="831">
        <v>1.45</v>
      </c>
      <c r="U42" s="831">
        <v>0.75</v>
      </c>
      <c r="V42" s="349" t="s">
        <v>293</v>
      </c>
      <c r="W42" s="349" t="s">
        <v>293</v>
      </c>
      <c r="X42" s="349" t="s">
        <v>293</v>
      </c>
      <c r="Y42" s="349" t="s">
        <v>293</v>
      </c>
      <c r="Z42" s="349" t="s">
        <v>293</v>
      </c>
      <c r="AA42" s="349" t="s">
        <v>293</v>
      </c>
      <c r="AB42" s="664">
        <v>0.65</v>
      </c>
    </row>
    <row r="43" spans="1:28" ht="112.5" customHeight="1">
      <c r="A43" s="722" t="s">
        <v>635</v>
      </c>
      <c r="B43" s="776"/>
      <c r="C43" s="776"/>
      <c r="D43" s="776"/>
      <c r="E43" s="776"/>
      <c r="F43" s="776"/>
      <c r="G43" s="711"/>
      <c r="H43" s="776" t="s">
        <v>737</v>
      </c>
      <c r="I43" s="776"/>
      <c r="J43" s="776"/>
      <c r="K43" s="776"/>
      <c r="L43" s="776"/>
      <c r="M43" s="776"/>
      <c r="N43" s="815"/>
      <c r="O43" s="776"/>
      <c r="P43" s="776"/>
      <c r="Q43" s="776" t="s">
        <v>737</v>
      </c>
      <c r="R43" s="776"/>
      <c r="S43" s="815"/>
      <c r="T43" s="776"/>
      <c r="U43" s="711"/>
      <c r="V43" s="776"/>
      <c r="W43" s="776"/>
      <c r="X43" s="776"/>
      <c r="Y43" s="776"/>
      <c r="Z43" s="776"/>
      <c r="AA43" s="776"/>
      <c r="AB43" s="776"/>
    </row>
    <row r="44" spans="1:28" ht="12.75">
      <c r="A44" s="728"/>
      <c r="B44" s="661"/>
      <c r="C44" s="787"/>
      <c r="D44" s="661"/>
      <c r="E44" s="661"/>
      <c r="F44" s="661"/>
      <c r="G44" s="711"/>
      <c r="H44" s="661"/>
      <c r="I44" s="661"/>
      <c r="J44" s="661"/>
      <c r="K44" s="661"/>
      <c r="L44" s="661"/>
      <c r="M44" s="661"/>
      <c r="N44" s="661"/>
      <c r="O44" s="661"/>
      <c r="P44" s="661"/>
      <c r="Q44" s="661"/>
      <c r="R44" s="661"/>
      <c r="S44" s="661"/>
      <c r="T44" s="661"/>
      <c r="U44" s="711"/>
      <c r="V44" s="661"/>
      <c r="W44" s="661"/>
      <c r="X44" s="661"/>
      <c r="Y44" s="661"/>
      <c r="Z44" s="661"/>
      <c r="AA44" s="661"/>
      <c r="AB44" s="661"/>
    </row>
    <row r="45" spans="1:28" ht="12.75">
      <c r="A45" s="728"/>
      <c r="B45" s="661"/>
      <c r="C45" s="787"/>
      <c r="D45" s="661"/>
      <c r="E45" s="661"/>
      <c r="F45" s="661"/>
      <c r="G45" s="711"/>
      <c r="H45" s="661"/>
      <c r="I45" s="661"/>
      <c r="J45" s="661"/>
      <c r="K45" s="661"/>
      <c r="L45" s="661"/>
      <c r="M45" s="661"/>
      <c r="N45" s="661"/>
      <c r="O45" s="661"/>
      <c r="P45" s="661"/>
      <c r="Q45" s="661"/>
      <c r="R45" s="661"/>
      <c r="S45" s="661"/>
      <c r="T45" s="661"/>
      <c r="U45" s="711"/>
      <c r="V45" s="661"/>
      <c r="W45" s="661"/>
      <c r="X45" s="661"/>
      <c r="Y45" s="661"/>
      <c r="Z45" s="661"/>
      <c r="AA45" s="661"/>
      <c r="AB45" s="661"/>
    </row>
    <row r="46" spans="1:28" ht="12.75">
      <c r="A46" s="728"/>
      <c r="B46" s="661"/>
      <c r="C46" s="787"/>
      <c r="D46" s="661"/>
      <c r="E46" s="661"/>
      <c r="F46" s="661"/>
      <c r="G46" s="711"/>
      <c r="H46" s="661"/>
      <c r="I46" s="661"/>
      <c r="J46" s="661"/>
      <c r="K46" s="661"/>
      <c r="L46" s="661"/>
      <c r="M46" s="661"/>
      <c r="N46" s="661"/>
      <c r="O46" s="661"/>
      <c r="P46" s="661"/>
      <c r="Q46" s="661"/>
      <c r="R46" s="661"/>
      <c r="S46" s="661"/>
      <c r="T46" s="661"/>
      <c r="U46" s="711"/>
      <c r="V46" s="661"/>
      <c r="W46" s="661"/>
      <c r="X46" s="661"/>
      <c r="Y46" s="661"/>
      <c r="Z46" s="661"/>
      <c r="AA46" s="661"/>
      <c r="AB46" s="661"/>
    </row>
    <row r="47" spans="1:28" ht="12.75">
      <c r="A47" s="787"/>
      <c r="B47" s="787"/>
      <c r="C47" s="787"/>
      <c r="D47" s="787"/>
      <c r="E47" s="787"/>
      <c r="F47" s="787"/>
      <c r="G47" s="711"/>
      <c r="H47" s="787"/>
      <c r="I47" s="787"/>
      <c r="J47" s="787"/>
      <c r="K47" s="787"/>
      <c r="L47" s="787"/>
      <c r="M47" s="787"/>
      <c r="N47" s="787"/>
      <c r="O47" s="787"/>
      <c r="P47" s="787"/>
      <c r="Q47" s="787"/>
      <c r="R47" s="787"/>
      <c r="S47" s="787"/>
      <c r="T47" s="787"/>
      <c r="U47" s="711"/>
      <c r="V47" s="787"/>
      <c r="W47" s="787"/>
      <c r="X47" s="787"/>
      <c r="Y47" s="787"/>
      <c r="Z47" s="787"/>
      <c r="AA47" s="787"/>
      <c r="AB47" s="787"/>
    </row>
    <row r="48" spans="1:28" ht="12.75">
      <c r="A48" s="787"/>
      <c r="B48" s="787"/>
      <c r="C48" s="787"/>
      <c r="D48" s="787"/>
      <c r="E48" s="787"/>
      <c r="F48" s="787"/>
      <c r="G48" s="711"/>
      <c r="H48" s="787"/>
      <c r="I48" s="787"/>
      <c r="J48" s="787"/>
      <c r="K48" s="787"/>
      <c r="L48" s="787"/>
      <c r="M48" s="787"/>
      <c r="N48" s="787"/>
      <c r="O48" s="787"/>
      <c r="P48" s="787"/>
      <c r="Q48" s="787"/>
      <c r="R48" s="787"/>
      <c r="S48" s="787"/>
      <c r="T48" s="787"/>
      <c r="U48" s="711"/>
      <c r="V48" s="787"/>
      <c r="W48" s="787"/>
      <c r="X48" s="787"/>
      <c r="Y48" s="787"/>
      <c r="Z48" s="787"/>
      <c r="AA48" s="787"/>
      <c r="AB48" s="787"/>
    </row>
    <row r="49" spans="1:28" ht="12.75">
      <c r="A49" s="787"/>
      <c r="B49" s="787"/>
      <c r="C49" s="787"/>
      <c r="D49" s="787"/>
      <c r="E49" s="787"/>
      <c r="F49" s="787"/>
      <c r="G49" s="711"/>
      <c r="H49" s="787"/>
      <c r="I49" s="787"/>
      <c r="J49" s="787"/>
      <c r="K49" s="787"/>
      <c r="L49" s="787"/>
      <c r="M49" s="787"/>
      <c r="N49" s="787"/>
      <c r="O49" s="787"/>
      <c r="P49" s="787"/>
      <c r="Q49" s="787"/>
      <c r="R49" s="787"/>
      <c r="S49" s="787"/>
      <c r="T49" s="787"/>
      <c r="U49" s="711"/>
      <c r="V49" s="787"/>
      <c r="W49" s="787"/>
      <c r="X49" s="787"/>
      <c r="Y49" s="787"/>
      <c r="Z49" s="787"/>
      <c r="AA49" s="787"/>
      <c r="AB49" s="787"/>
    </row>
    <row r="50" spans="1:28" ht="12.75">
      <c r="A50" s="787"/>
      <c r="B50" s="787"/>
      <c r="C50" s="787"/>
      <c r="D50" s="787"/>
      <c r="E50" s="787"/>
      <c r="F50" s="787"/>
      <c r="G50" s="711"/>
      <c r="H50" s="787"/>
      <c r="I50" s="787"/>
      <c r="J50" s="787"/>
      <c r="K50" s="787"/>
      <c r="L50" s="787"/>
      <c r="M50" s="787"/>
      <c r="N50" s="787"/>
      <c r="O50" s="787"/>
      <c r="P50" s="787"/>
      <c r="Q50" s="787"/>
      <c r="R50" s="787"/>
      <c r="S50" s="787"/>
      <c r="T50" s="787"/>
      <c r="U50" s="711"/>
      <c r="V50" s="787"/>
      <c r="W50" s="787"/>
      <c r="X50" s="787"/>
      <c r="Y50" s="787"/>
      <c r="Z50" s="787"/>
      <c r="AA50" s="787"/>
      <c r="AB50" s="787"/>
    </row>
    <row r="51" spans="1:28" ht="12.75">
      <c r="A51" s="787"/>
      <c r="B51" s="787"/>
      <c r="C51" s="787"/>
      <c r="D51" s="787"/>
      <c r="E51" s="787"/>
      <c r="F51" s="787"/>
      <c r="G51" s="711"/>
      <c r="H51" s="787"/>
      <c r="I51" s="787"/>
      <c r="J51" s="787"/>
      <c r="K51" s="787"/>
      <c r="L51" s="787"/>
      <c r="M51" s="787"/>
      <c r="N51" s="787"/>
      <c r="O51" s="787"/>
      <c r="P51" s="787"/>
      <c r="Q51" s="787"/>
      <c r="R51" s="787"/>
      <c r="S51" s="787"/>
      <c r="T51" s="787"/>
      <c r="U51" s="711"/>
      <c r="V51" s="787"/>
      <c r="W51" s="787"/>
      <c r="X51" s="787"/>
      <c r="Y51" s="787"/>
      <c r="Z51" s="787"/>
      <c r="AA51" s="787"/>
      <c r="AB51" s="787"/>
    </row>
    <row r="52" spans="1:28" ht="12.75">
      <c r="A52" s="787"/>
      <c r="B52" s="787"/>
      <c r="C52" s="787"/>
      <c r="D52" s="787"/>
      <c r="E52" s="787"/>
      <c r="F52" s="787"/>
      <c r="G52" s="711"/>
      <c r="H52" s="787"/>
      <c r="I52" s="787"/>
      <c r="J52" s="787"/>
      <c r="K52" s="787"/>
      <c r="L52" s="787"/>
      <c r="M52" s="787"/>
      <c r="N52" s="787"/>
      <c r="O52" s="787"/>
      <c r="P52" s="787"/>
      <c r="Q52" s="787"/>
      <c r="R52" s="787"/>
      <c r="S52" s="787"/>
      <c r="T52" s="787"/>
      <c r="U52" s="711"/>
      <c r="V52" s="787"/>
      <c r="W52" s="787"/>
      <c r="X52" s="787"/>
      <c r="Y52" s="787"/>
      <c r="Z52" s="787"/>
      <c r="AA52" s="787"/>
      <c r="AB52" s="787"/>
    </row>
    <row r="53" spans="1:28" ht="12.75">
      <c r="A53" s="787"/>
      <c r="B53" s="787"/>
      <c r="C53" s="787"/>
      <c r="D53" s="787"/>
      <c r="E53" s="787"/>
      <c r="F53" s="787"/>
      <c r="G53" s="711"/>
      <c r="H53" s="787"/>
      <c r="I53" s="787"/>
      <c r="J53" s="787"/>
      <c r="K53" s="787"/>
      <c r="L53" s="787"/>
      <c r="M53" s="787"/>
      <c r="N53" s="787"/>
      <c r="O53" s="787"/>
      <c r="P53" s="787"/>
      <c r="Q53" s="787"/>
      <c r="R53" s="787"/>
      <c r="S53" s="787"/>
      <c r="T53" s="787"/>
      <c r="U53" s="711"/>
      <c r="V53" s="787"/>
      <c r="W53" s="787"/>
      <c r="X53" s="787"/>
      <c r="Y53" s="787"/>
      <c r="Z53" s="787"/>
      <c r="AA53" s="787"/>
      <c r="AB53" s="787"/>
    </row>
    <row r="54" spans="1:28" ht="12.75">
      <c r="A54" s="787"/>
      <c r="B54" s="787"/>
      <c r="C54" s="787"/>
      <c r="D54" s="787"/>
      <c r="E54" s="787"/>
      <c r="F54" s="787"/>
      <c r="G54" s="711"/>
      <c r="H54" s="787"/>
      <c r="I54" s="787"/>
      <c r="J54" s="787"/>
      <c r="K54" s="787"/>
      <c r="L54" s="787"/>
      <c r="M54" s="787"/>
      <c r="N54" s="787"/>
      <c r="O54" s="787"/>
      <c r="P54" s="787"/>
      <c r="Q54" s="787"/>
      <c r="R54" s="787"/>
      <c r="S54" s="787"/>
      <c r="T54" s="787"/>
      <c r="U54" s="711"/>
      <c r="V54" s="787"/>
      <c r="W54" s="787"/>
      <c r="X54" s="787"/>
      <c r="Y54" s="787"/>
      <c r="Z54" s="787"/>
      <c r="AA54" s="787"/>
      <c r="AB54" s="787"/>
    </row>
    <row r="55" spans="1:28" ht="12.75">
      <c r="A55" s="787"/>
      <c r="B55" s="787"/>
      <c r="C55" s="787"/>
      <c r="D55" s="787"/>
      <c r="E55" s="787"/>
      <c r="F55" s="787"/>
      <c r="G55" s="711"/>
      <c r="H55" s="787"/>
      <c r="I55" s="787"/>
      <c r="J55" s="787"/>
      <c r="K55" s="787"/>
      <c r="L55" s="787"/>
      <c r="M55" s="787"/>
      <c r="N55" s="787"/>
      <c r="O55" s="787"/>
      <c r="P55" s="787"/>
      <c r="Q55" s="787"/>
      <c r="R55" s="787"/>
      <c r="S55" s="787"/>
      <c r="T55" s="787"/>
      <c r="U55" s="711"/>
      <c r="V55" s="787"/>
      <c r="W55" s="787"/>
      <c r="X55" s="787"/>
      <c r="Y55" s="787"/>
      <c r="Z55" s="787"/>
      <c r="AA55" s="787"/>
      <c r="AB55" s="787"/>
    </row>
    <row r="56" spans="1:28" ht="12.75">
      <c r="A56" s="787"/>
      <c r="B56" s="787"/>
      <c r="C56" s="787"/>
      <c r="D56" s="787"/>
      <c r="E56" s="787"/>
      <c r="F56" s="787"/>
      <c r="G56" s="711"/>
      <c r="H56" s="787"/>
      <c r="I56" s="787"/>
      <c r="J56" s="787"/>
      <c r="K56" s="787"/>
      <c r="L56" s="787"/>
      <c r="M56" s="787"/>
      <c r="N56" s="787"/>
      <c r="O56" s="787"/>
      <c r="P56" s="787"/>
      <c r="Q56" s="787"/>
      <c r="R56" s="787"/>
      <c r="S56" s="787"/>
      <c r="T56" s="787"/>
      <c r="U56" s="711"/>
      <c r="V56" s="787"/>
      <c r="W56" s="787"/>
      <c r="X56" s="787"/>
      <c r="Y56" s="787"/>
      <c r="Z56" s="787"/>
      <c r="AA56" s="787"/>
      <c r="AB56" s="787"/>
    </row>
    <row r="57" spans="1:28" ht="12.75">
      <c r="A57" s="787"/>
      <c r="B57" s="787"/>
      <c r="C57" s="787"/>
      <c r="D57" s="787"/>
      <c r="E57" s="787"/>
      <c r="F57" s="787"/>
      <c r="G57" s="711"/>
      <c r="H57" s="787"/>
      <c r="I57" s="787"/>
      <c r="J57" s="787"/>
      <c r="K57" s="787"/>
      <c r="L57" s="787"/>
      <c r="M57" s="787"/>
      <c r="N57" s="787"/>
      <c r="O57" s="787"/>
      <c r="P57" s="787"/>
      <c r="Q57" s="787"/>
      <c r="R57" s="787"/>
      <c r="S57" s="787"/>
      <c r="T57" s="787"/>
      <c r="U57" s="711"/>
      <c r="V57" s="787"/>
      <c r="W57" s="787"/>
      <c r="X57" s="787"/>
      <c r="Y57" s="787"/>
      <c r="Z57" s="787"/>
      <c r="AA57" s="787"/>
      <c r="AB57" s="787"/>
    </row>
    <row r="58" spans="1:28" ht="12.75">
      <c r="A58" s="787"/>
      <c r="B58" s="787"/>
      <c r="C58" s="787"/>
      <c r="D58" s="787"/>
      <c r="E58" s="787"/>
      <c r="F58" s="787"/>
      <c r="G58" s="711"/>
      <c r="H58" s="787"/>
      <c r="I58" s="787"/>
      <c r="J58" s="787"/>
      <c r="K58" s="787"/>
      <c r="L58" s="787"/>
      <c r="M58" s="787"/>
      <c r="N58" s="787"/>
      <c r="O58" s="787"/>
      <c r="P58" s="787"/>
      <c r="Q58" s="787"/>
      <c r="R58" s="787"/>
      <c r="S58" s="787"/>
      <c r="T58" s="787"/>
      <c r="U58" s="711"/>
      <c r="V58" s="787"/>
      <c r="W58" s="787"/>
      <c r="X58" s="787"/>
      <c r="Y58" s="787"/>
      <c r="Z58" s="787"/>
      <c r="AA58" s="787"/>
      <c r="AB58" s="787"/>
    </row>
    <row r="59" spans="1:28" ht="12.75">
      <c r="A59" s="787"/>
      <c r="B59" s="787"/>
      <c r="C59" s="787"/>
      <c r="D59" s="787"/>
      <c r="E59" s="787"/>
      <c r="F59" s="787"/>
      <c r="G59" s="711"/>
      <c r="H59" s="787"/>
      <c r="I59" s="787"/>
      <c r="J59" s="787"/>
      <c r="K59" s="787"/>
      <c r="L59" s="787"/>
      <c r="M59" s="787"/>
      <c r="N59" s="787"/>
      <c r="O59" s="787"/>
      <c r="P59" s="787"/>
      <c r="Q59" s="787"/>
      <c r="R59" s="787"/>
      <c r="S59" s="787"/>
      <c r="T59" s="787"/>
      <c r="U59" s="711"/>
      <c r="V59" s="787"/>
      <c r="W59" s="787"/>
      <c r="X59" s="787"/>
      <c r="Y59" s="787"/>
      <c r="Z59" s="787"/>
      <c r="AA59" s="787"/>
      <c r="AB59" s="787"/>
    </row>
    <row r="60" spans="1:28" ht="12.75">
      <c r="A60" s="787"/>
      <c r="B60" s="787"/>
      <c r="C60" s="787"/>
      <c r="D60" s="787"/>
      <c r="E60" s="787"/>
      <c r="F60" s="787"/>
      <c r="G60" s="711"/>
      <c r="H60" s="787"/>
      <c r="I60" s="787"/>
      <c r="J60" s="787"/>
      <c r="K60" s="787"/>
      <c r="L60" s="787"/>
      <c r="M60" s="787"/>
      <c r="N60" s="787"/>
      <c r="O60" s="787"/>
      <c r="P60" s="787"/>
      <c r="Q60" s="787"/>
      <c r="R60" s="787"/>
      <c r="S60" s="787"/>
      <c r="T60" s="787"/>
      <c r="U60" s="711"/>
      <c r="V60" s="787"/>
      <c r="W60" s="787"/>
      <c r="X60" s="787"/>
      <c r="Y60" s="787"/>
      <c r="Z60" s="787"/>
      <c r="AA60" s="787"/>
      <c r="AB60" s="787"/>
    </row>
    <row r="61" spans="1:28" ht="12.75">
      <c r="A61" s="787"/>
      <c r="B61" s="787"/>
      <c r="C61" s="787"/>
      <c r="D61" s="787"/>
      <c r="E61" s="787"/>
      <c r="F61" s="787"/>
      <c r="G61" s="711"/>
      <c r="H61" s="787"/>
      <c r="I61" s="787"/>
      <c r="J61" s="787"/>
      <c r="K61" s="787"/>
      <c r="L61" s="787"/>
      <c r="M61" s="787"/>
      <c r="N61" s="787"/>
      <c r="O61" s="787"/>
      <c r="P61" s="787"/>
      <c r="Q61" s="787"/>
      <c r="R61" s="787"/>
      <c r="S61" s="787"/>
      <c r="T61" s="787"/>
      <c r="U61" s="711"/>
      <c r="V61" s="787"/>
      <c r="W61" s="787"/>
      <c r="X61" s="787"/>
      <c r="Y61" s="787"/>
      <c r="Z61" s="787"/>
      <c r="AA61" s="787"/>
      <c r="AB61" s="787"/>
    </row>
    <row r="62" spans="1:28" ht="12.75">
      <c r="A62" s="787"/>
      <c r="B62" s="787"/>
      <c r="C62" s="787"/>
      <c r="D62" s="787"/>
      <c r="E62" s="787"/>
      <c r="F62" s="787"/>
      <c r="G62" s="711"/>
      <c r="H62" s="787"/>
      <c r="I62" s="787"/>
      <c r="J62" s="787"/>
      <c r="K62" s="787"/>
      <c r="L62" s="787"/>
      <c r="M62" s="787"/>
      <c r="N62" s="787"/>
      <c r="O62" s="787"/>
      <c r="P62" s="787"/>
      <c r="Q62" s="787"/>
      <c r="R62" s="787"/>
      <c r="S62" s="787"/>
      <c r="T62" s="787"/>
      <c r="U62" s="711"/>
      <c r="V62" s="787"/>
      <c r="W62" s="787"/>
      <c r="X62" s="787"/>
      <c r="Y62" s="787"/>
      <c r="Z62" s="787"/>
      <c r="AA62" s="787"/>
      <c r="AB62" s="787"/>
    </row>
    <row r="63" spans="1:28" ht="12.75">
      <c r="A63" s="787"/>
      <c r="B63" s="787"/>
      <c r="C63" s="787"/>
      <c r="D63" s="787"/>
      <c r="E63" s="787"/>
      <c r="F63" s="787"/>
      <c r="G63" s="711"/>
      <c r="H63" s="787"/>
      <c r="I63" s="787"/>
      <c r="J63" s="787"/>
      <c r="K63" s="787"/>
      <c r="L63" s="787"/>
      <c r="M63" s="787"/>
      <c r="N63" s="787"/>
      <c r="O63" s="787"/>
      <c r="P63" s="787"/>
      <c r="Q63" s="787"/>
      <c r="R63" s="787"/>
      <c r="S63" s="787"/>
      <c r="T63" s="787"/>
      <c r="U63" s="711"/>
      <c r="V63" s="787"/>
      <c r="W63" s="787"/>
      <c r="X63" s="787"/>
      <c r="Y63" s="787"/>
      <c r="Z63" s="787"/>
      <c r="AA63" s="787"/>
      <c r="AB63" s="787"/>
    </row>
    <row r="64" spans="1:28" ht="12.75">
      <c r="A64" s="787"/>
      <c r="B64" s="787"/>
      <c r="C64" s="787"/>
      <c r="D64" s="787"/>
      <c r="E64" s="787"/>
      <c r="F64" s="787"/>
      <c r="G64" s="711"/>
      <c r="H64" s="787"/>
      <c r="I64" s="787"/>
      <c r="J64" s="787"/>
      <c r="K64" s="787"/>
      <c r="L64" s="787"/>
      <c r="M64" s="787"/>
      <c r="N64" s="787"/>
      <c r="O64" s="787"/>
      <c r="P64" s="787"/>
      <c r="Q64" s="787"/>
      <c r="R64" s="787"/>
      <c r="S64" s="787"/>
      <c r="T64" s="787"/>
      <c r="U64" s="711"/>
      <c r="V64" s="787"/>
      <c r="W64" s="787"/>
      <c r="X64" s="787"/>
      <c r="Y64" s="787"/>
      <c r="Z64" s="787"/>
      <c r="AA64" s="787"/>
      <c r="AB64" s="787"/>
    </row>
    <row r="65" spans="1:28" ht="12.75">
      <c r="A65" s="787"/>
      <c r="B65" s="787"/>
      <c r="C65" s="787"/>
      <c r="D65" s="787"/>
      <c r="E65" s="787"/>
      <c r="F65" s="787"/>
      <c r="G65" s="711"/>
      <c r="H65" s="787"/>
      <c r="I65" s="787"/>
      <c r="J65" s="787"/>
      <c r="K65" s="787"/>
      <c r="L65" s="787"/>
      <c r="M65" s="787"/>
      <c r="N65" s="787"/>
      <c r="O65" s="787"/>
      <c r="P65" s="787"/>
      <c r="Q65" s="787"/>
      <c r="R65" s="787"/>
      <c r="S65" s="787"/>
      <c r="T65" s="787"/>
      <c r="U65" s="711"/>
      <c r="V65" s="787"/>
      <c r="W65" s="787"/>
      <c r="X65" s="787"/>
      <c r="Y65" s="787"/>
      <c r="Z65" s="787"/>
      <c r="AA65" s="787"/>
      <c r="AB65" s="787"/>
    </row>
    <row r="66" spans="1:28" ht="12.75">
      <c r="A66" s="787"/>
      <c r="B66" s="787"/>
      <c r="C66" s="787"/>
      <c r="D66" s="787"/>
      <c r="E66" s="787"/>
      <c r="F66" s="787"/>
      <c r="G66" s="711"/>
      <c r="H66" s="787"/>
      <c r="I66" s="787"/>
      <c r="J66" s="787"/>
      <c r="K66" s="787"/>
      <c r="L66" s="787"/>
      <c r="M66" s="787"/>
      <c r="N66" s="787"/>
      <c r="O66" s="787"/>
      <c r="P66" s="787"/>
      <c r="Q66" s="787"/>
      <c r="R66" s="787"/>
      <c r="S66" s="787"/>
      <c r="T66" s="787"/>
      <c r="U66" s="711"/>
      <c r="V66" s="787"/>
      <c r="W66" s="787"/>
      <c r="X66" s="787"/>
      <c r="Y66" s="787"/>
      <c r="Z66" s="787"/>
      <c r="AA66" s="787"/>
      <c r="AB66" s="787"/>
    </row>
    <row r="67" spans="1:28" ht="12.75">
      <c r="A67" s="787"/>
      <c r="B67" s="787"/>
      <c r="C67" s="787"/>
      <c r="D67" s="787"/>
      <c r="E67" s="787"/>
      <c r="F67" s="787"/>
      <c r="G67" s="711"/>
      <c r="H67" s="787"/>
      <c r="I67" s="787"/>
      <c r="J67" s="787"/>
      <c r="K67" s="787"/>
      <c r="L67" s="787"/>
      <c r="M67" s="787"/>
      <c r="N67" s="787"/>
      <c r="O67" s="787"/>
      <c r="P67" s="787"/>
      <c r="Q67" s="787"/>
      <c r="R67" s="787"/>
      <c r="S67" s="787"/>
      <c r="T67" s="787"/>
      <c r="U67" s="711"/>
      <c r="V67" s="787"/>
      <c r="W67" s="787"/>
      <c r="X67" s="787"/>
      <c r="Y67" s="787"/>
      <c r="Z67" s="787"/>
      <c r="AA67" s="787"/>
      <c r="AB67" s="787"/>
    </row>
    <row r="68" spans="1:28" ht="12.75">
      <c r="A68" s="787"/>
      <c r="B68" s="787"/>
      <c r="C68" s="787"/>
      <c r="D68" s="787"/>
      <c r="E68" s="787"/>
      <c r="F68" s="787"/>
      <c r="G68" s="711"/>
      <c r="H68" s="787"/>
      <c r="I68" s="787"/>
      <c r="J68" s="787"/>
      <c r="K68" s="787"/>
      <c r="L68" s="787"/>
      <c r="M68" s="787"/>
      <c r="N68" s="787"/>
      <c r="O68" s="787"/>
      <c r="P68" s="787"/>
      <c r="Q68" s="787"/>
      <c r="R68" s="787"/>
      <c r="S68" s="787"/>
      <c r="T68" s="787"/>
      <c r="U68" s="711"/>
      <c r="V68" s="787"/>
      <c r="W68" s="787"/>
      <c r="X68" s="787"/>
      <c r="Y68" s="787"/>
      <c r="Z68" s="787"/>
      <c r="AA68" s="787"/>
      <c r="AB68" s="787"/>
    </row>
    <row r="69" spans="1:28" ht="12.75">
      <c r="A69" s="787"/>
      <c r="B69" s="787"/>
      <c r="C69" s="787"/>
      <c r="D69" s="787"/>
      <c r="E69" s="787"/>
      <c r="F69" s="787"/>
      <c r="G69" s="711"/>
      <c r="H69" s="787"/>
      <c r="I69" s="787"/>
      <c r="J69" s="787"/>
      <c r="K69" s="787"/>
      <c r="L69" s="787"/>
      <c r="M69" s="787"/>
      <c r="N69" s="787"/>
      <c r="O69" s="787"/>
      <c r="P69" s="787"/>
      <c r="Q69" s="787"/>
      <c r="R69" s="787"/>
      <c r="S69" s="787"/>
      <c r="T69" s="787"/>
      <c r="U69" s="711"/>
      <c r="V69" s="787"/>
      <c r="W69" s="787"/>
      <c r="X69" s="787"/>
      <c r="Y69" s="787"/>
      <c r="Z69" s="787"/>
      <c r="AA69" s="787"/>
      <c r="AB69" s="787"/>
    </row>
    <row r="70" spans="1:28" ht="12.75">
      <c r="A70" s="787"/>
      <c r="B70" s="787"/>
      <c r="C70" s="787"/>
      <c r="D70" s="787"/>
      <c r="E70" s="787"/>
      <c r="F70" s="787"/>
      <c r="G70" s="711"/>
      <c r="H70" s="787"/>
      <c r="I70" s="787"/>
      <c r="J70" s="787"/>
      <c r="K70" s="787"/>
      <c r="L70" s="787"/>
      <c r="M70" s="787"/>
      <c r="N70" s="787"/>
      <c r="O70" s="787"/>
      <c r="P70" s="787"/>
      <c r="Q70" s="787"/>
      <c r="R70" s="787"/>
      <c r="S70" s="787"/>
      <c r="T70" s="787"/>
      <c r="U70" s="711"/>
      <c r="V70" s="787"/>
      <c r="W70" s="787"/>
      <c r="X70" s="787"/>
      <c r="Y70" s="787"/>
      <c r="Z70" s="787"/>
      <c r="AA70" s="787"/>
      <c r="AB70" s="787"/>
    </row>
    <row r="71" spans="1:28" ht="12.75">
      <c r="A71" s="787"/>
      <c r="B71" s="787"/>
      <c r="C71" s="787"/>
      <c r="D71" s="787"/>
      <c r="E71" s="787"/>
      <c r="F71" s="787"/>
      <c r="G71" s="711"/>
      <c r="H71" s="787"/>
      <c r="I71" s="787"/>
      <c r="J71" s="787"/>
      <c r="K71" s="787"/>
      <c r="L71" s="787"/>
      <c r="M71" s="787"/>
      <c r="N71" s="787"/>
      <c r="O71" s="787"/>
      <c r="P71" s="787"/>
      <c r="Q71" s="787"/>
      <c r="R71" s="787"/>
      <c r="S71" s="787"/>
      <c r="T71" s="787"/>
      <c r="U71" s="711"/>
      <c r="V71" s="787"/>
      <c r="W71" s="787"/>
      <c r="X71" s="787"/>
      <c r="Y71" s="787"/>
      <c r="Z71" s="787"/>
      <c r="AA71" s="787"/>
      <c r="AB71" s="787"/>
    </row>
    <row r="72" spans="1:28" ht="12.75">
      <c r="A72" s="787"/>
      <c r="B72" s="787"/>
      <c r="C72" s="787"/>
      <c r="D72" s="787"/>
      <c r="E72" s="787"/>
      <c r="F72" s="787"/>
      <c r="G72" s="711"/>
      <c r="H72" s="787"/>
      <c r="I72" s="787"/>
      <c r="J72" s="787"/>
      <c r="K72" s="787"/>
      <c r="L72" s="787"/>
      <c r="M72" s="787"/>
      <c r="N72" s="787"/>
      <c r="O72" s="787"/>
      <c r="P72" s="787"/>
      <c r="Q72" s="787"/>
      <c r="R72" s="787"/>
      <c r="S72" s="787"/>
      <c r="T72" s="787"/>
      <c r="U72" s="711"/>
      <c r="V72" s="787"/>
      <c r="W72" s="787"/>
      <c r="X72" s="787"/>
      <c r="Y72" s="787"/>
      <c r="Z72" s="787"/>
      <c r="AA72" s="787"/>
      <c r="AB72" s="787"/>
    </row>
    <row r="73" spans="1:28" ht="12.75">
      <c r="A73" s="787"/>
      <c r="B73" s="787"/>
      <c r="C73" s="787"/>
      <c r="D73" s="787"/>
      <c r="E73" s="787"/>
      <c r="F73" s="787"/>
      <c r="G73" s="711"/>
      <c r="H73" s="787"/>
      <c r="I73" s="787"/>
      <c r="J73" s="787"/>
      <c r="K73" s="787"/>
      <c r="L73" s="787"/>
      <c r="M73" s="787"/>
      <c r="N73" s="787"/>
      <c r="O73" s="787"/>
      <c r="P73" s="787"/>
      <c r="Q73" s="787"/>
      <c r="R73" s="787"/>
      <c r="S73" s="787"/>
      <c r="T73" s="787"/>
      <c r="U73" s="711"/>
      <c r="V73" s="787"/>
      <c r="W73" s="787"/>
      <c r="X73" s="787"/>
      <c r="Y73" s="787"/>
      <c r="Z73" s="787"/>
      <c r="AA73" s="787"/>
      <c r="AB73" s="787"/>
    </row>
    <row r="74" spans="1:28" ht="12.75">
      <c r="A74" s="787"/>
      <c r="B74" s="787"/>
      <c r="C74" s="787"/>
      <c r="D74" s="787"/>
      <c r="E74" s="787"/>
      <c r="F74" s="787"/>
      <c r="G74" s="711"/>
      <c r="H74" s="787"/>
      <c r="I74" s="787"/>
      <c r="J74" s="787"/>
      <c r="K74" s="787"/>
      <c r="L74" s="787"/>
      <c r="M74" s="787"/>
      <c r="N74" s="787"/>
      <c r="O74" s="787"/>
      <c r="P74" s="787"/>
      <c r="Q74" s="787"/>
      <c r="R74" s="787"/>
      <c r="S74" s="787"/>
      <c r="T74" s="787"/>
      <c r="U74" s="711"/>
      <c r="V74" s="787"/>
      <c r="W74" s="787"/>
      <c r="X74" s="787"/>
      <c r="Y74" s="787"/>
      <c r="Z74" s="787"/>
      <c r="AA74" s="787"/>
      <c r="AB74" s="787"/>
    </row>
    <row r="75" spans="1:28" ht="12.75">
      <c r="A75" s="787"/>
      <c r="B75" s="787"/>
      <c r="C75" s="787"/>
      <c r="D75" s="787"/>
      <c r="E75" s="787"/>
      <c r="F75" s="787"/>
      <c r="G75" s="711"/>
      <c r="H75" s="787"/>
      <c r="I75" s="787"/>
      <c r="J75" s="787"/>
      <c r="K75" s="787"/>
      <c r="L75" s="787"/>
      <c r="M75" s="787"/>
      <c r="N75" s="787"/>
      <c r="O75" s="787"/>
      <c r="P75" s="787"/>
      <c r="Q75" s="787"/>
      <c r="R75" s="787"/>
      <c r="S75" s="787"/>
      <c r="T75" s="787"/>
      <c r="U75" s="711"/>
      <c r="V75" s="787"/>
      <c r="W75" s="787"/>
      <c r="X75" s="787"/>
      <c r="Y75" s="787"/>
      <c r="Z75" s="787"/>
      <c r="AA75" s="787"/>
      <c r="AB75" s="787"/>
    </row>
    <row r="76" spans="1:28" ht="12.75">
      <c r="A76" s="787"/>
      <c r="B76" s="787"/>
      <c r="C76" s="787"/>
      <c r="D76" s="787"/>
      <c r="E76" s="787"/>
      <c r="F76" s="787"/>
      <c r="G76" s="711"/>
      <c r="H76" s="787"/>
      <c r="I76" s="787"/>
      <c r="J76" s="787"/>
      <c r="K76" s="787"/>
      <c r="L76" s="787"/>
      <c r="M76" s="787"/>
      <c r="N76" s="787"/>
      <c r="O76" s="787"/>
      <c r="P76" s="787"/>
      <c r="Q76" s="787"/>
      <c r="R76" s="787"/>
      <c r="S76" s="787"/>
      <c r="T76" s="787"/>
      <c r="U76" s="711"/>
      <c r="V76" s="787"/>
      <c r="W76" s="787"/>
      <c r="X76" s="787"/>
      <c r="Y76" s="787"/>
      <c r="Z76" s="787"/>
      <c r="AA76" s="787"/>
      <c r="AB76" s="787"/>
    </row>
    <row r="77" spans="1:28" ht="12.75">
      <c r="A77" s="787"/>
      <c r="B77" s="787"/>
      <c r="C77" s="787"/>
      <c r="D77" s="787"/>
      <c r="E77" s="787"/>
      <c r="F77" s="787"/>
      <c r="G77" s="711"/>
      <c r="H77" s="787"/>
      <c r="I77" s="787"/>
      <c r="J77" s="787"/>
      <c r="K77" s="787"/>
      <c r="L77" s="787"/>
      <c r="M77" s="787"/>
      <c r="N77" s="787"/>
      <c r="O77" s="787"/>
      <c r="P77" s="787"/>
      <c r="Q77" s="787"/>
      <c r="R77" s="787"/>
      <c r="S77" s="787"/>
      <c r="T77" s="787"/>
      <c r="U77" s="711"/>
      <c r="V77" s="787"/>
      <c r="W77" s="787"/>
      <c r="X77" s="787"/>
      <c r="Y77" s="787"/>
      <c r="Z77" s="787"/>
      <c r="AA77" s="787"/>
      <c r="AB77" s="787"/>
    </row>
    <row r="78" spans="1:28" ht="12.75">
      <c r="A78" s="787"/>
      <c r="B78" s="787"/>
      <c r="C78" s="787"/>
      <c r="D78" s="787"/>
      <c r="E78" s="787"/>
      <c r="F78" s="787"/>
      <c r="G78" s="711"/>
      <c r="H78" s="787"/>
      <c r="I78" s="787"/>
      <c r="J78" s="787"/>
      <c r="K78" s="787"/>
      <c r="L78" s="787"/>
      <c r="M78" s="787"/>
      <c r="N78" s="787"/>
      <c r="O78" s="787"/>
      <c r="P78" s="787"/>
      <c r="Q78" s="787"/>
      <c r="R78" s="787"/>
      <c r="S78" s="787"/>
      <c r="T78" s="787"/>
      <c r="U78" s="711"/>
      <c r="V78" s="787"/>
      <c r="W78" s="787"/>
      <c r="X78" s="787"/>
      <c r="Y78" s="787"/>
      <c r="Z78" s="787"/>
      <c r="AA78" s="787"/>
      <c r="AB78" s="787"/>
    </row>
    <row r="79" spans="1:28" ht="12.75">
      <c r="A79" s="787"/>
      <c r="B79" s="787"/>
      <c r="C79" s="787"/>
      <c r="D79" s="787"/>
      <c r="E79" s="787"/>
      <c r="F79" s="787"/>
      <c r="G79" s="711"/>
      <c r="H79" s="787"/>
      <c r="I79" s="787"/>
      <c r="J79" s="787"/>
      <c r="K79" s="787"/>
      <c r="L79" s="787"/>
      <c r="M79" s="787"/>
      <c r="N79" s="787"/>
      <c r="O79" s="787"/>
      <c r="P79" s="787"/>
      <c r="Q79" s="787"/>
      <c r="R79" s="787"/>
      <c r="S79" s="787"/>
      <c r="T79" s="787"/>
      <c r="U79" s="711"/>
      <c r="V79" s="787"/>
      <c r="W79" s="787"/>
      <c r="X79" s="787"/>
      <c r="Y79" s="787"/>
      <c r="Z79" s="787"/>
      <c r="AA79" s="787"/>
      <c r="AB79" s="787"/>
    </row>
    <row r="80" spans="1:28" ht="12.75">
      <c r="A80" s="787"/>
      <c r="B80" s="787"/>
      <c r="C80" s="787"/>
      <c r="D80" s="787"/>
      <c r="E80" s="787"/>
      <c r="F80" s="787"/>
      <c r="G80" s="711"/>
      <c r="H80" s="787"/>
      <c r="I80" s="787"/>
      <c r="J80" s="787"/>
      <c r="K80" s="787"/>
      <c r="L80" s="787"/>
      <c r="M80" s="787"/>
      <c r="N80" s="787"/>
      <c r="O80" s="787"/>
      <c r="P80" s="787"/>
      <c r="Q80" s="787"/>
      <c r="R80" s="787"/>
      <c r="S80" s="787"/>
      <c r="T80" s="787"/>
      <c r="U80" s="711"/>
      <c r="V80" s="787"/>
      <c r="W80" s="787"/>
      <c r="X80" s="787"/>
      <c r="Y80" s="787"/>
      <c r="Z80" s="787"/>
      <c r="AA80" s="787"/>
      <c r="AB80" s="787"/>
    </row>
    <row r="81" spans="1:28" ht="12.75">
      <c r="A81" s="787"/>
      <c r="B81" s="787"/>
      <c r="C81" s="787"/>
      <c r="D81" s="787"/>
      <c r="E81" s="787"/>
      <c r="F81" s="787"/>
      <c r="G81" s="711"/>
      <c r="H81" s="787"/>
      <c r="I81" s="787"/>
      <c r="J81" s="787"/>
      <c r="K81" s="787"/>
      <c r="L81" s="787"/>
      <c r="M81" s="787"/>
      <c r="N81" s="787"/>
      <c r="O81" s="787"/>
      <c r="P81" s="787"/>
      <c r="Q81" s="787"/>
      <c r="R81" s="787"/>
      <c r="S81" s="787"/>
      <c r="T81" s="787"/>
      <c r="U81" s="711"/>
      <c r="V81" s="787"/>
      <c r="W81" s="787"/>
      <c r="X81" s="787"/>
      <c r="Y81" s="787"/>
      <c r="Z81" s="787"/>
      <c r="AA81" s="787"/>
      <c r="AB81" s="787"/>
    </row>
    <row r="82" spans="1:28" ht="12.75">
      <c r="A82" s="787"/>
      <c r="B82" s="787"/>
      <c r="C82" s="787"/>
      <c r="D82" s="787"/>
      <c r="E82" s="787"/>
      <c r="F82" s="787"/>
      <c r="G82" s="711"/>
      <c r="H82" s="787"/>
      <c r="I82" s="787"/>
      <c r="J82" s="787"/>
      <c r="K82" s="787"/>
      <c r="L82" s="787"/>
      <c r="M82" s="787"/>
      <c r="N82" s="787"/>
      <c r="O82" s="787"/>
      <c r="P82" s="787"/>
      <c r="Q82" s="787"/>
      <c r="R82" s="787"/>
      <c r="S82" s="787"/>
      <c r="T82" s="787"/>
      <c r="U82" s="711"/>
      <c r="V82" s="787"/>
      <c r="W82" s="787"/>
      <c r="X82" s="787"/>
      <c r="Y82" s="787"/>
      <c r="Z82" s="787"/>
      <c r="AA82" s="787"/>
      <c r="AB82" s="787"/>
    </row>
  </sheetData>
  <conditionalFormatting sqref="A1:AB1 A3:AB5 A7:AB11 A13:AB27 A29:AB82">
    <cfRule type="expression" dxfId="38" priority="1">
      <formula>ISODD(COLUMN())</formula>
    </cfRule>
    <cfRule type="expression" dxfId="37" priority="2">
      <formula>ISEVEN(COLUMN())</formula>
    </cfRule>
  </conditionalFormatting>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94B8C-1281-42FD-AF12-9441EC3B7F58}">
  <sheetPr>
    <tabColor rgb="FFBF9000"/>
    <outlinePr summaryBelow="0" summaryRight="0"/>
  </sheetPr>
  <dimension ref="A1:J85"/>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2" customWidth="1"/>
    <col min="2" max="6" width="16.7109375" customWidth="1"/>
    <col min="7" max="9" width="17.5703125" customWidth="1"/>
    <col min="10" max="10" width="16.7109375" customWidth="1"/>
  </cols>
  <sheetData>
    <row r="1" spans="1:10" ht="35.25" customHeight="1">
      <c r="A1" s="811" t="s">
        <v>551</v>
      </c>
      <c r="B1" s="655" t="s">
        <v>1120</v>
      </c>
      <c r="C1" s="655" t="s">
        <v>1119</v>
      </c>
      <c r="D1" s="655" t="s">
        <v>1118</v>
      </c>
      <c r="E1" s="655" t="s">
        <v>1117</v>
      </c>
      <c r="F1" s="653" t="s">
        <v>1116</v>
      </c>
      <c r="G1" s="814" t="s">
        <v>1115</v>
      </c>
      <c r="H1" s="814" t="s">
        <v>1114</v>
      </c>
      <c r="I1" s="814" t="s">
        <v>1113</v>
      </c>
      <c r="J1" s="653" t="s">
        <v>794</v>
      </c>
    </row>
    <row r="2" spans="1:10" ht="53.25" customHeight="1">
      <c r="A2" s="810" t="s">
        <v>562</v>
      </c>
      <c r="B2" s="659"/>
      <c r="C2" s="659"/>
      <c r="D2" s="659"/>
      <c r="E2" s="659"/>
      <c r="F2" s="660"/>
      <c r="G2" s="660"/>
      <c r="H2" s="660"/>
      <c r="I2" s="660"/>
      <c r="J2" s="819"/>
    </row>
    <row r="3" spans="1:10" ht="15.75" customHeight="1">
      <c r="A3" s="728" t="s">
        <v>563</v>
      </c>
      <c r="B3" s="664">
        <v>10.6</v>
      </c>
      <c r="C3" s="664">
        <v>90</v>
      </c>
      <c r="D3" s="663">
        <v>10.1</v>
      </c>
      <c r="E3" s="663">
        <v>10.1</v>
      </c>
      <c r="F3" s="711">
        <v>10.77</v>
      </c>
      <c r="G3" s="711">
        <v>86.3</v>
      </c>
      <c r="H3" s="711">
        <v>86.3</v>
      </c>
      <c r="I3" s="711">
        <v>86.3</v>
      </c>
      <c r="J3" s="711">
        <v>18.7</v>
      </c>
    </row>
    <row r="4" spans="1:10" ht="15.75" customHeight="1">
      <c r="A4" s="728" t="s">
        <v>564</v>
      </c>
      <c r="B4" s="664">
        <v>7.69</v>
      </c>
      <c r="C4" s="664">
        <v>57.35</v>
      </c>
      <c r="D4" s="666">
        <v>7.4450000000000003</v>
      </c>
      <c r="E4" s="666">
        <v>7.4450000000000003</v>
      </c>
      <c r="F4" s="662">
        <v>7.6849999999999996</v>
      </c>
      <c r="G4" s="662">
        <v>53.65</v>
      </c>
      <c r="H4" s="662">
        <v>53.65</v>
      </c>
      <c r="I4" s="662">
        <v>53.65</v>
      </c>
      <c r="J4" s="662">
        <v>17.100000000000001</v>
      </c>
    </row>
    <row r="5" spans="1:10" ht="15.75" customHeight="1">
      <c r="A5" s="728" t="s">
        <v>565</v>
      </c>
      <c r="B5" s="664">
        <v>5.59</v>
      </c>
      <c r="C5" s="670" t="s">
        <v>293</v>
      </c>
      <c r="D5" s="666">
        <v>5.5</v>
      </c>
      <c r="E5" s="666">
        <v>5.5</v>
      </c>
      <c r="F5" s="662">
        <v>5.7</v>
      </c>
      <c r="G5" s="668" t="s">
        <v>293</v>
      </c>
      <c r="H5" s="668" t="s">
        <v>293</v>
      </c>
      <c r="I5" s="668" t="s">
        <v>293</v>
      </c>
      <c r="J5" s="662">
        <v>11.5</v>
      </c>
    </row>
    <row r="6" spans="1:10" ht="15.75" customHeight="1">
      <c r="A6" s="728" t="s">
        <v>566</v>
      </c>
      <c r="B6" s="664">
        <v>72.2</v>
      </c>
      <c r="C6" s="664">
        <v>127</v>
      </c>
      <c r="D6" s="663">
        <v>70</v>
      </c>
      <c r="E6" s="663">
        <v>70</v>
      </c>
      <c r="F6" s="711">
        <v>71</v>
      </c>
      <c r="G6" s="711">
        <v>127</v>
      </c>
      <c r="H6" s="711">
        <v>127</v>
      </c>
      <c r="I6" s="711">
        <v>127</v>
      </c>
      <c r="J6" s="711">
        <v>90</v>
      </c>
    </row>
    <row r="7" spans="1:10" ht="15.75" customHeight="1">
      <c r="A7" s="728" t="s">
        <v>567</v>
      </c>
      <c r="B7" s="664">
        <v>1.68</v>
      </c>
      <c r="C7" s="664">
        <v>3</v>
      </c>
      <c r="D7" s="663">
        <v>1.52</v>
      </c>
      <c r="E7" s="663">
        <v>1.52</v>
      </c>
      <c r="F7" s="711">
        <v>1.4950000000000001</v>
      </c>
      <c r="G7" s="711">
        <v>2.9</v>
      </c>
      <c r="H7" s="711">
        <v>2.9</v>
      </c>
      <c r="I7" s="711">
        <v>2.9</v>
      </c>
      <c r="J7" s="711">
        <v>1.86</v>
      </c>
    </row>
    <row r="8" spans="1:10" ht="20.25" customHeight="1">
      <c r="A8" s="809" t="s">
        <v>568</v>
      </c>
      <c r="B8" s="673"/>
      <c r="C8" s="673"/>
      <c r="D8" s="673"/>
      <c r="E8" s="673"/>
      <c r="F8" s="824"/>
      <c r="G8" s="824"/>
      <c r="H8" s="824"/>
      <c r="I8" s="824"/>
      <c r="J8" s="824"/>
    </row>
    <row r="9" spans="1:10" ht="15.75" customHeight="1">
      <c r="A9" s="728" t="s">
        <v>569</v>
      </c>
      <c r="B9" s="664">
        <v>2975</v>
      </c>
      <c r="C9" s="664">
        <v>12460.18</v>
      </c>
      <c r="D9" s="663">
        <v>4340</v>
      </c>
      <c r="E9" s="663">
        <v>4340</v>
      </c>
      <c r="F9" s="711">
        <v>2910</v>
      </c>
      <c r="G9" s="661">
        <v>12460</v>
      </c>
      <c r="H9" s="661">
        <v>12460</v>
      </c>
      <c r="I9" s="661">
        <v>12460</v>
      </c>
      <c r="J9" s="711">
        <v>0</v>
      </c>
    </row>
    <row r="10" spans="1:10" ht="16.5" customHeight="1">
      <c r="A10" s="728" t="s">
        <v>570</v>
      </c>
      <c r="B10" s="664">
        <v>1.9</v>
      </c>
      <c r="C10" s="664">
        <v>5</v>
      </c>
      <c r="D10" s="663">
        <v>1.4</v>
      </c>
      <c r="E10" s="663">
        <v>1.4</v>
      </c>
      <c r="F10" s="711">
        <v>2</v>
      </c>
      <c r="G10" s="661">
        <v>5</v>
      </c>
      <c r="H10" s="661">
        <v>5</v>
      </c>
      <c r="I10" s="661">
        <v>5</v>
      </c>
      <c r="J10" s="711">
        <v>0</v>
      </c>
    </row>
    <row r="11" spans="1:10" ht="15.75" customHeight="1">
      <c r="A11" s="728" t="str">
        <f>"Raw acceleration at ignition: [m/s"&amp;CHAR(178)&amp;"]"</f>
        <v>Raw acceleration at ignition: [m/s²]</v>
      </c>
      <c r="B11" s="679">
        <f t="shared" ref="B11:J11" si="0">B9/B3</f>
        <v>280.66037735849056</v>
      </c>
      <c r="C11" s="679">
        <f t="shared" si="0"/>
        <v>138.44644444444444</v>
      </c>
      <c r="D11" s="781">
        <f t="shared" si="0"/>
        <v>429.70297029702971</v>
      </c>
      <c r="E11" s="781">
        <f t="shared" si="0"/>
        <v>429.70297029702971</v>
      </c>
      <c r="F11" s="782">
        <f t="shared" si="0"/>
        <v>270.19498607242343</v>
      </c>
      <c r="G11" s="675">
        <f t="shared" si="0"/>
        <v>144.3800695249131</v>
      </c>
      <c r="H11" s="675">
        <f t="shared" si="0"/>
        <v>144.3800695249131</v>
      </c>
      <c r="I11" s="675">
        <f t="shared" si="0"/>
        <v>144.3800695249131</v>
      </c>
      <c r="J11" s="782">
        <f t="shared" si="0"/>
        <v>0</v>
      </c>
    </row>
    <row r="12" spans="1:10" ht="15.75" customHeight="1">
      <c r="A12" s="728" t="s">
        <v>571</v>
      </c>
      <c r="B12" s="679">
        <f t="shared" ref="B12:J12" si="1">B10*B9/(9.81*(B3-B4))</f>
        <v>198.00610219601995</v>
      </c>
      <c r="C12" s="679">
        <f t="shared" si="1"/>
        <v>194.51008674774781</v>
      </c>
      <c r="D12" s="781">
        <f t="shared" si="1"/>
        <v>233.28361274766712</v>
      </c>
      <c r="E12" s="781">
        <f t="shared" si="1"/>
        <v>233.28361274766712</v>
      </c>
      <c r="F12" s="782">
        <f t="shared" si="1"/>
        <v>192.30864546315158</v>
      </c>
      <c r="G12" s="678">
        <f t="shared" si="1"/>
        <v>194.50727685129249</v>
      </c>
      <c r="H12" s="678">
        <f t="shared" si="1"/>
        <v>194.50727685129249</v>
      </c>
      <c r="I12" s="678">
        <f t="shared" si="1"/>
        <v>194.50727685129249</v>
      </c>
      <c r="J12" s="781">
        <f t="shared" si="1"/>
        <v>0</v>
      </c>
    </row>
    <row r="13" spans="1:10" ht="15.75" customHeight="1">
      <c r="A13" s="661" t="s">
        <v>572</v>
      </c>
      <c r="B13" s="679">
        <f t="shared" ref="B13:J13" si="2">B12*9.81*LN(B3/B4)</f>
        <v>623.39347508132312</v>
      </c>
      <c r="C13" s="679">
        <f t="shared" si="2"/>
        <v>859.87993506809937</v>
      </c>
      <c r="D13" s="678">
        <f t="shared" si="2"/>
        <v>697.97965945518001</v>
      </c>
      <c r="E13" s="678">
        <f t="shared" si="2"/>
        <v>697.97965945518001</v>
      </c>
      <c r="F13" s="678">
        <f t="shared" si="2"/>
        <v>636.69878266270189</v>
      </c>
      <c r="G13" s="678">
        <f t="shared" si="2"/>
        <v>907.01955398130599</v>
      </c>
      <c r="H13" s="678">
        <f t="shared" si="2"/>
        <v>907.01955398130599</v>
      </c>
      <c r="I13" s="678">
        <f t="shared" si="2"/>
        <v>907.01955398130599</v>
      </c>
      <c r="J13" s="678">
        <f t="shared" si="2"/>
        <v>0</v>
      </c>
    </row>
    <row r="14" spans="1:10" ht="15.75" customHeight="1">
      <c r="A14" s="836" t="s">
        <v>573</v>
      </c>
      <c r="B14" s="808">
        <v>0.4</v>
      </c>
      <c r="C14" s="583" t="s">
        <v>293</v>
      </c>
      <c r="D14" s="807">
        <v>0.2</v>
      </c>
      <c r="E14" s="807">
        <v>0.2</v>
      </c>
      <c r="F14" s="807">
        <v>0.4</v>
      </c>
      <c r="G14" s="683" t="s">
        <v>293</v>
      </c>
      <c r="H14" s="683" t="s">
        <v>293</v>
      </c>
      <c r="I14" s="683" t="s">
        <v>293</v>
      </c>
      <c r="J14" s="683" t="s">
        <v>293</v>
      </c>
    </row>
    <row r="15" spans="1:10" ht="16.5" customHeight="1">
      <c r="A15" s="776" t="s">
        <v>574</v>
      </c>
      <c r="B15" s="664">
        <v>705</v>
      </c>
      <c r="C15" s="686" t="s">
        <v>293</v>
      </c>
      <c r="D15" s="687">
        <v>675</v>
      </c>
      <c r="E15" s="687">
        <v>675</v>
      </c>
      <c r="F15" s="711">
        <v>723</v>
      </c>
      <c r="G15" s="683" t="s">
        <v>293</v>
      </c>
      <c r="H15" s="683" t="s">
        <v>293</v>
      </c>
      <c r="I15" s="683" t="s">
        <v>293</v>
      </c>
      <c r="J15" s="711">
        <v>5925</v>
      </c>
    </row>
    <row r="16" spans="1:10" ht="18" customHeight="1">
      <c r="A16" s="776" t="s">
        <v>575</v>
      </c>
      <c r="B16" s="664">
        <v>6.6</v>
      </c>
      <c r="C16" s="686" t="s">
        <v>293</v>
      </c>
      <c r="D16" s="663">
        <v>5.6</v>
      </c>
      <c r="E16" s="663">
        <v>5.6</v>
      </c>
      <c r="F16" s="711">
        <v>6</v>
      </c>
      <c r="G16" s="683" t="s">
        <v>293</v>
      </c>
      <c r="H16" s="683" t="s">
        <v>293</v>
      </c>
      <c r="I16" s="683" t="s">
        <v>293</v>
      </c>
      <c r="J16" s="711">
        <v>2.2000000000000002</v>
      </c>
    </row>
    <row r="17" spans="1:10" ht="18" customHeight="1">
      <c r="A17" s="728" t="s">
        <v>576</v>
      </c>
      <c r="B17" s="806">
        <f>B16*B15/(9.81*(B4-B5))</f>
        <v>225.86282219309734</v>
      </c>
      <c r="C17" s="686" t="s">
        <v>293</v>
      </c>
      <c r="D17" s="777">
        <f>D16*D15/(9.81*(D4-D5))</f>
        <v>198.10853517605713</v>
      </c>
      <c r="E17" s="777">
        <f>E16*E15/(9.81*(E4-E5))</f>
        <v>198.10853517605713</v>
      </c>
      <c r="F17" s="777">
        <f>F16*F15/(9.81*(F4-F5))</f>
        <v>222.77170522034532</v>
      </c>
      <c r="G17" s="683" t="s">
        <v>293</v>
      </c>
      <c r="H17" s="683" t="s">
        <v>293</v>
      </c>
      <c r="I17" s="683" t="s">
        <v>293</v>
      </c>
      <c r="J17" s="777">
        <f>J16*J15/(9.81*(J4-J5))</f>
        <v>237.27610310179114</v>
      </c>
    </row>
    <row r="18" spans="1:10" ht="18" customHeight="1">
      <c r="A18" s="728" t="s">
        <v>577</v>
      </c>
      <c r="B18" s="806">
        <f>B17*9.81*LN(B4/B5)</f>
        <v>706.68322977099263</v>
      </c>
      <c r="C18" s="686" t="s">
        <v>293</v>
      </c>
      <c r="D18" s="777">
        <f>D17*9.81*LN(D4/D5)</f>
        <v>588.46451893713527</v>
      </c>
      <c r="E18" s="777">
        <f>E17*9.81*LN(E4/E5)</f>
        <v>588.46451893713527</v>
      </c>
      <c r="F18" s="777">
        <f>F17*9.81*LN(F4/F5)</f>
        <v>653.00384328812959</v>
      </c>
      <c r="G18" s="683" t="s">
        <v>293</v>
      </c>
      <c r="H18" s="683" t="s">
        <v>293</v>
      </c>
      <c r="I18" s="683" t="s">
        <v>293</v>
      </c>
      <c r="J18" s="777">
        <f>J17*9.81*LN(J4/J5)</f>
        <v>923.46324389235826</v>
      </c>
    </row>
    <row r="19" spans="1:10" ht="18" customHeight="1">
      <c r="A19" s="728" t="s">
        <v>578</v>
      </c>
      <c r="B19" s="679">
        <f t="shared" ref="B19:J19" si="3">IF(ISNUMBER(B18),B13+B18,B13)</f>
        <v>1330.0767048523157</v>
      </c>
      <c r="C19" s="679">
        <f t="shared" si="3"/>
        <v>859.87993506809937</v>
      </c>
      <c r="D19" s="692">
        <f t="shared" si="3"/>
        <v>1286.4441783923153</v>
      </c>
      <c r="E19" s="692">
        <f t="shared" si="3"/>
        <v>1286.4441783923153</v>
      </c>
      <c r="F19" s="692">
        <f t="shared" si="3"/>
        <v>1289.7026259508316</v>
      </c>
      <c r="G19" s="692">
        <f t="shared" si="3"/>
        <v>907.01955398130599</v>
      </c>
      <c r="H19" s="692">
        <f t="shared" si="3"/>
        <v>907.01955398130599</v>
      </c>
      <c r="I19" s="692">
        <f t="shared" si="3"/>
        <v>907.01955398130599</v>
      </c>
      <c r="J19" s="692">
        <f t="shared" si="3"/>
        <v>923.46324389235826</v>
      </c>
    </row>
    <row r="20" spans="1:10" ht="20.25" customHeight="1">
      <c r="A20" s="805" t="s">
        <v>579</v>
      </c>
      <c r="B20" s="697"/>
      <c r="C20" s="697"/>
      <c r="D20" s="697"/>
      <c r="E20" s="697"/>
      <c r="F20" s="697"/>
      <c r="G20" s="697"/>
      <c r="H20" s="697"/>
      <c r="I20" s="697"/>
      <c r="J20" s="697"/>
    </row>
    <row r="21" spans="1:10" ht="15.75" customHeight="1">
      <c r="A21" s="728" t="s">
        <v>580</v>
      </c>
      <c r="B21" s="664">
        <f>1.325*0.4</f>
        <v>0.53</v>
      </c>
      <c r="C21" s="664">
        <f>1.6*3.628739</f>
        <v>5.8059824000000004</v>
      </c>
      <c r="D21" s="728">
        <f>1.2*0.45</f>
        <v>0.54</v>
      </c>
      <c r="E21" s="728">
        <f>1.2*0.45</f>
        <v>0.54</v>
      </c>
      <c r="F21" s="711">
        <f>1.54*0.6</f>
        <v>0.92399999999999993</v>
      </c>
      <c r="G21" s="661">
        <f>1.44*2.99</f>
        <v>4.3056000000000001</v>
      </c>
      <c r="H21" s="661">
        <f>1.44*2.99</f>
        <v>4.3056000000000001</v>
      </c>
      <c r="I21" s="661">
        <f>1.44*2.99</f>
        <v>4.3056000000000001</v>
      </c>
      <c r="J21" s="711">
        <f>1.6*1.11</f>
        <v>1.7760000000000002</v>
      </c>
    </row>
    <row r="22" spans="1:10" ht="15.75" customHeight="1">
      <c r="A22" s="775" t="s">
        <v>764</v>
      </c>
      <c r="B22" s="670" t="s">
        <v>763</v>
      </c>
      <c r="C22" s="670" t="s">
        <v>763</v>
      </c>
      <c r="D22" s="670" t="s">
        <v>763</v>
      </c>
      <c r="E22" s="670" t="s">
        <v>763</v>
      </c>
      <c r="F22" s="670" t="s">
        <v>763</v>
      </c>
      <c r="G22" s="670" t="s">
        <v>763</v>
      </c>
      <c r="H22" s="670" t="s">
        <v>763</v>
      </c>
      <c r="I22" s="670" t="s">
        <v>763</v>
      </c>
      <c r="J22" s="670" t="s">
        <v>763</v>
      </c>
    </row>
    <row r="23" spans="1:10" ht="15.75" customHeight="1">
      <c r="A23" s="776" t="s">
        <v>762</v>
      </c>
      <c r="B23" s="664">
        <v>28</v>
      </c>
      <c r="C23" s="664">
        <v>48.059823999999999</v>
      </c>
      <c r="D23" s="664">
        <v>28</v>
      </c>
      <c r="E23" s="664">
        <v>28</v>
      </c>
      <c r="F23" s="664">
        <v>28</v>
      </c>
      <c r="G23" s="662">
        <v>38.264000000000003</v>
      </c>
      <c r="H23" s="662">
        <v>38.264000000000003</v>
      </c>
      <c r="I23" s="662">
        <v>38.264000000000003</v>
      </c>
      <c r="J23" s="662">
        <v>28</v>
      </c>
    </row>
    <row r="24" spans="1:10" ht="15.75" customHeight="1">
      <c r="A24" s="728" t="s">
        <v>581</v>
      </c>
      <c r="B24" s="670" t="s">
        <v>324</v>
      </c>
      <c r="C24" s="670" t="s">
        <v>328</v>
      </c>
      <c r="D24" s="670" t="s">
        <v>324</v>
      </c>
      <c r="E24" s="670" t="s">
        <v>328</v>
      </c>
      <c r="F24" s="670" t="s">
        <v>324</v>
      </c>
      <c r="G24" s="668" t="s">
        <v>328</v>
      </c>
      <c r="H24" s="668" t="s">
        <v>328</v>
      </c>
      <c r="I24" s="668" t="s">
        <v>328</v>
      </c>
      <c r="J24" s="668" t="s">
        <v>328</v>
      </c>
    </row>
    <row r="25" spans="1:10" ht="15.75" customHeight="1">
      <c r="A25" s="728" t="s">
        <v>582</v>
      </c>
      <c r="B25" s="670" t="s">
        <v>293</v>
      </c>
      <c r="C25" s="664">
        <v>5</v>
      </c>
      <c r="D25" s="668" t="s">
        <v>293</v>
      </c>
      <c r="E25" s="728">
        <v>0.5</v>
      </c>
      <c r="F25" s="668" t="s">
        <v>293</v>
      </c>
      <c r="G25" s="711">
        <v>5</v>
      </c>
      <c r="H25" s="711">
        <v>5</v>
      </c>
      <c r="I25" s="711">
        <v>5</v>
      </c>
      <c r="J25" s="711">
        <v>1.5</v>
      </c>
    </row>
    <row r="26" spans="1:10" ht="15.75" customHeight="1">
      <c r="A26" s="776" t="s">
        <v>931</v>
      </c>
      <c r="B26" s="670" t="s">
        <v>293</v>
      </c>
      <c r="C26" s="670" t="s">
        <v>293</v>
      </c>
      <c r="D26" s="668" t="s">
        <v>293</v>
      </c>
      <c r="E26" s="668" t="s">
        <v>293</v>
      </c>
      <c r="F26" s="668" t="s">
        <v>293</v>
      </c>
      <c r="G26" s="668" t="s">
        <v>293</v>
      </c>
      <c r="H26" s="668" t="s">
        <v>293</v>
      </c>
      <c r="I26" s="668" t="s">
        <v>293</v>
      </c>
      <c r="J26" s="668" t="s">
        <v>293</v>
      </c>
    </row>
    <row r="27" spans="1:10" ht="15.75" customHeight="1">
      <c r="A27" s="775" t="s">
        <v>583</v>
      </c>
      <c r="B27" s="670" t="s">
        <v>293</v>
      </c>
      <c r="C27" s="670" t="s">
        <v>328</v>
      </c>
      <c r="D27" s="668" t="s">
        <v>293</v>
      </c>
      <c r="E27" s="670" t="s">
        <v>324</v>
      </c>
      <c r="F27" s="668" t="s">
        <v>293</v>
      </c>
      <c r="G27" s="668" t="s">
        <v>328</v>
      </c>
      <c r="H27" s="668" t="s">
        <v>328</v>
      </c>
      <c r="I27" s="668" t="s">
        <v>328</v>
      </c>
      <c r="J27" s="670" t="s">
        <v>324</v>
      </c>
    </row>
    <row r="28" spans="1:10" ht="15.75" customHeight="1">
      <c r="A28" s="775" t="s">
        <v>930</v>
      </c>
      <c r="B28" s="670" t="s">
        <v>293</v>
      </c>
      <c r="C28" s="664">
        <v>25</v>
      </c>
      <c r="D28" s="668" t="s">
        <v>293</v>
      </c>
      <c r="E28" s="668" t="s">
        <v>293</v>
      </c>
      <c r="F28" s="668" t="s">
        <v>293</v>
      </c>
      <c r="G28" s="664">
        <v>25</v>
      </c>
      <c r="H28" s="664">
        <v>25</v>
      </c>
      <c r="I28" s="664">
        <v>25</v>
      </c>
      <c r="J28" s="668" t="s">
        <v>293</v>
      </c>
    </row>
    <row r="29" spans="1:10" ht="15.75" customHeight="1">
      <c r="A29" s="728" t="s">
        <v>584</v>
      </c>
      <c r="B29" s="670" t="s">
        <v>293</v>
      </c>
      <c r="C29" s="664">
        <v>1.8</v>
      </c>
      <c r="D29" s="668" t="s">
        <v>293</v>
      </c>
      <c r="E29" s="728">
        <v>0.7</v>
      </c>
      <c r="F29" s="668" t="s">
        <v>293</v>
      </c>
      <c r="G29" s="711">
        <v>1.8</v>
      </c>
      <c r="H29" s="711">
        <v>1.8</v>
      </c>
      <c r="I29" s="711">
        <v>1.8</v>
      </c>
      <c r="J29" s="711">
        <v>2</v>
      </c>
    </row>
    <row r="30" spans="1:10" ht="15.75" customHeight="1">
      <c r="A30" s="661" t="s">
        <v>761</v>
      </c>
      <c r="B30" s="664">
        <v>0.1</v>
      </c>
      <c r="C30" s="664">
        <v>0.1</v>
      </c>
      <c r="D30" s="664">
        <v>0.1</v>
      </c>
      <c r="E30" s="664">
        <v>0.1</v>
      </c>
      <c r="F30" s="664">
        <v>0.1</v>
      </c>
      <c r="G30" s="662">
        <v>0.3</v>
      </c>
      <c r="H30" s="662">
        <v>0.3</v>
      </c>
      <c r="I30" s="662">
        <v>0.3</v>
      </c>
      <c r="J30" s="662">
        <v>0.1</v>
      </c>
    </row>
    <row r="31" spans="1:10" ht="15.75" customHeight="1">
      <c r="A31" s="661" t="s">
        <v>760</v>
      </c>
      <c r="B31" s="664">
        <v>1</v>
      </c>
      <c r="C31" s="664">
        <v>1</v>
      </c>
      <c r="D31" s="664">
        <v>1</v>
      </c>
      <c r="E31" s="664">
        <v>1</v>
      </c>
      <c r="F31" s="664">
        <v>1</v>
      </c>
      <c r="G31" s="664">
        <v>1</v>
      </c>
      <c r="H31" s="664">
        <v>1</v>
      </c>
      <c r="I31" s="664">
        <v>1</v>
      </c>
      <c r="J31" s="662">
        <v>1</v>
      </c>
    </row>
    <row r="32" spans="1:10" ht="20.25" customHeight="1">
      <c r="A32" s="804" t="s">
        <v>585</v>
      </c>
      <c r="B32" s="702"/>
      <c r="C32" s="702"/>
      <c r="D32" s="702"/>
      <c r="E32" s="702"/>
      <c r="F32" s="702"/>
      <c r="G32" s="702"/>
      <c r="H32" s="702"/>
      <c r="I32" s="702"/>
      <c r="J32" s="702"/>
    </row>
    <row r="33" spans="1:10" ht="15.75" customHeight="1">
      <c r="A33" s="728" t="s">
        <v>586</v>
      </c>
      <c r="B33" s="670" t="s">
        <v>323</v>
      </c>
      <c r="C33" s="670" t="s">
        <v>323</v>
      </c>
      <c r="D33" s="668" t="s">
        <v>323</v>
      </c>
      <c r="E33" s="668" t="s">
        <v>323</v>
      </c>
      <c r="F33" s="668" t="s">
        <v>323</v>
      </c>
      <c r="G33" s="668" t="s">
        <v>323</v>
      </c>
      <c r="H33" s="668" t="s">
        <v>323</v>
      </c>
      <c r="I33" s="668" t="s">
        <v>323</v>
      </c>
      <c r="J33" s="668" t="s">
        <v>323</v>
      </c>
    </row>
    <row r="34" spans="1:10" ht="15.75" customHeight="1">
      <c r="A34" s="728" t="s">
        <v>587</v>
      </c>
      <c r="B34" s="664">
        <v>0.6</v>
      </c>
      <c r="C34" s="664">
        <v>0.4</v>
      </c>
      <c r="D34" s="728">
        <v>0.3</v>
      </c>
      <c r="E34" s="728">
        <v>0.3</v>
      </c>
      <c r="F34" s="711">
        <v>0.25</v>
      </c>
      <c r="G34" s="711">
        <v>0.4</v>
      </c>
      <c r="H34" s="711">
        <v>0.4</v>
      </c>
      <c r="I34" s="711">
        <v>0.4</v>
      </c>
      <c r="J34" s="711">
        <v>0.1</v>
      </c>
    </row>
    <row r="35" spans="1:10" ht="15.75" customHeight="1">
      <c r="A35" s="728" t="s">
        <v>588</v>
      </c>
      <c r="B35" s="664">
        <v>14</v>
      </c>
      <c r="C35" s="664">
        <v>60</v>
      </c>
      <c r="D35" s="728">
        <v>15</v>
      </c>
      <c r="E35" s="728">
        <v>15</v>
      </c>
      <c r="F35" s="711">
        <v>16</v>
      </c>
      <c r="G35" s="711">
        <v>60</v>
      </c>
      <c r="H35" s="711">
        <v>60</v>
      </c>
      <c r="I35" s="711">
        <v>60</v>
      </c>
      <c r="J35" s="711">
        <v>14</v>
      </c>
    </row>
    <row r="36" spans="1:10" ht="15.75" customHeight="1">
      <c r="A36" s="728" t="s">
        <v>589</v>
      </c>
      <c r="B36" s="664">
        <v>2</v>
      </c>
      <c r="C36" s="664">
        <v>1.2</v>
      </c>
      <c r="D36" s="728">
        <v>2</v>
      </c>
      <c r="E36" s="728">
        <v>2</v>
      </c>
      <c r="F36" s="711">
        <v>2</v>
      </c>
      <c r="G36" s="711">
        <v>1.2</v>
      </c>
      <c r="H36" s="711">
        <v>1.2</v>
      </c>
      <c r="I36" s="711">
        <v>1.2</v>
      </c>
      <c r="J36" s="711">
        <v>1.5</v>
      </c>
    </row>
    <row r="37" spans="1:10" ht="15.75" customHeight="1">
      <c r="A37" s="728" t="s">
        <v>590</v>
      </c>
      <c r="B37" s="664">
        <v>60</v>
      </c>
      <c r="C37" s="664">
        <v>60</v>
      </c>
      <c r="D37" s="728">
        <v>60</v>
      </c>
      <c r="E37" s="728">
        <v>60</v>
      </c>
      <c r="F37" s="711">
        <v>60</v>
      </c>
      <c r="G37" s="711">
        <v>20</v>
      </c>
      <c r="H37" s="711">
        <v>20</v>
      </c>
      <c r="I37" s="711">
        <v>20</v>
      </c>
      <c r="J37" s="711">
        <v>60</v>
      </c>
    </row>
    <row r="38" spans="1:10" ht="15.75" customHeight="1">
      <c r="A38" s="728" t="s">
        <v>591</v>
      </c>
      <c r="B38" s="664">
        <v>2</v>
      </c>
      <c r="C38" s="664">
        <v>3.6</v>
      </c>
      <c r="D38" s="728">
        <v>3</v>
      </c>
      <c r="E38" s="728">
        <v>3</v>
      </c>
      <c r="F38" s="711">
        <v>3</v>
      </c>
      <c r="G38" s="711">
        <v>3</v>
      </c>
      <c r="H38" s="711">
        <v>3</v>
      </c>
      <c r="I38" s="711">
        <v>3</v>
      </c>
      <c r="J38" s="711">
        <v>3</v>
      </c>
    </row>
    <row r="39" spans="1:10" ht="15.75" customHeight="1">
      <c r="A39" s="728" t="s">
        <v>592</v>
      </c>
      <c r="B39" s="664">
        <v>38</v>
      </c>
      <c r="C39" s="664">
        <v>45</v>
      </c>
      <c r="D39" s="728">
        <v>40</v>
      </c>
      <c r="E39" s="728">
        <v>40</v>
      </c>
      <c r="F39" s="711">
        <v>40</v>
      </c>
      <c r="G39" s="711">
        <v>40</v>
      </c>
      <c r="H39" s="711">
        <v>40</v>
      </c>
      <c r="I39" s="711">
        <v>40</v>
      </c>
      <c r="J39" s="711">
        <v>38</v>
      </c>
    </row>
    <row r="40" spans="1:10" ht="15.75" customHeight="1">
      <c r="A40" s="728" t="s">
        <v>593</v>
      </c>
      <c r="B40" s="664">
        <v>12</v>
      </c>
      <c r="C40" s="664">
        <v>20</v>
      </c>
      <c r="D40" s="728">
        <v>12</v>
      </c>
      <c r="E40" s="728">
        <v>12</v>
      </c>
      <c r="F40" s="711">
        <v>12</v>
      </c>
      <c r="G40" s="711">
        <v>22</v>
      </c>
      <c r="H40" s="711">
        <v>22</v>
      </c>
      <c r="I40" s="711">
        <v>12</v>
      </c>
      <c r="J40" s="711">
        <v>20</v>
      </c>
    </row>
    <row r="41" spans="1:10" ht="17.25" customHeight="1">
      <c r="A41" s="728" t="s">
        <v>594</v>
      </c>
      <c r="B41" s="670" t="s">
        <v>324</v>
      </c>
      <c r="C41" s="670" t="s">
        <v>328</v>
      </c>
      <c r="D41" s="668" t="s">
        <v>328</v>
      </c>
      <c r="E41" s="668" t="s">
        <v>328</v>
      </c>
      <c r="F41" s="668" t="s">
        <v>328</v>
      </c>
      <c r="G41" s="668" t="s">
        <v>324</v>
      </c>
      <c r="H41" s="668" t="s">
        <v>324</v>
      </c>
      <c r="I41" s="668" t="s">
        <v>324</v>
      </c>
      <c r="J41" s="668" t="s">
        <v>328</v>
      </c>
    </row>
    <row r="42" spans="1:10" ht="17.25" customHeight="1">
      <c r="A42" s="728" t="s">
        <v>595</v>
      </c>
      <c r="B42" s="670" t="s">
        <v>293</v>
      </c>
      <c r="C42" s="664">
        <v>40</v>
      </c>
      <c r="D42" s="662">
        <v>8</v>
      </c>
      <c r="E42" s="728">
        <v>8</v>
      </c>
      <c r="F42" s="711">
        <v>15</v>
      </c>
      <c r="G42" s="668" t="s">
        <v>293</v>
      </c>
      <c r="H42" s="668" t="s">
        <v>293</v>
      </c>
      <c r="I42" s="668" t="s">
        <v>293</v>
      </c>
      <c r="J42" s="711">
        <v>25</v>
      </c>
    </row>
    <row r="43" spans="1:10" ht="31.5" customHeight="1">
      <c r="A43" s="776" t="s">
        <v>596</v>
      </c>
      <c r="B43" s="664">
        <v>5</v>
      </c>
      <c r="C43" s="664">
        <v>10</v>
      </c>
      <c r="D43" s="728">
        <v>5</v>
      </c>
      <c r="E43" s="728">
        <v>5</v>
      </c>
      <c r="F43" s="711">
        <v>5</v>
      </c>
      <c r="G43" s="711">
        <v>10</v>
      </c>
      <c r="H43" s="711">
        <v>10</v>
      </c>
      <c r="I43" s="711">
        <v>5</v>
      </c>
      <c r="J43" s="711">
        <v>10</v>
      </c>
    </row>
    <row r="44" spans="1:10" ht="15.75" customHeight="1">
      <c r="A44" s="728" t="s">
        <v>597</v>
      </c>
      <c r="B44" s="664">
        <v>11</v>
      </c>
      <c r="C44" s="664">
        <v>11</v>
      </c>
      <c r="D44" s="728">
        <v>11</v>
      </c>
      <c r="E44" s="728">
        <v>11</v>
      </c>
      <c r="F44" s="711">
        <v>11</v>
      </c>
      <c r="G44" s="711">
        <v>12</v>
      </c>
      <c r="H44" s="711">
        <v>12</v>
      </c>
      <c r="I44" s="711">
        <v>11</v>
      </c>
      <c r="J44" s="711">
        <v>11</v>
      </c>
    </row>
    <row r="45" spans="1:10" ht="15.75" customHeight="1">
      <c r="A45" s="728" t="s">
        <v>598</v>
      </c>
      <c r="B45" s="664">
        <v>6</v>
      </c>
      <c r="C45" s="664">
        <v>3</v>
      </c>
      <c r="D45" s="728">
        <v>6</v>
      </c>
      <c r="E45" s="728">
        <v>6</v>
      </c>
      <c r="F45" s="711">
        <v>6</v>
      </c>
      <c r="G45" s="662">
        <v>3.6</v>
      </c>
      <c r="H45" s="662">
        <v>3.6</v>
      </c>
      <c r="I45" s="662">
        <v>6</v>
      </c>
      <c r="J45" s="711">
        <v>6</v>
      </c>
    </row>
    <row r="46" spans="1:10" ht="15.75" customHeight="1">
      <c r="A46" s="728" t="s">
        <v>1112</v>
      </c>
      <c r="B46" s="664">
        <v>11</v>
      </c>
      <c r="C46" s="664">
        <v>11</v>
      </c>
      <c r="D46" s="728">
        <v>11</v>
      </c>
      <c r="E46" s="728">
        <v>11</v>
      </c>
      <c r="F46" s="728">
        <v>11</v>
      </c>
      <c r="G46" s="728">
        <v>12</v>
      </c>
      <c r="H46" s="728">
        <v>12</v>
      </c>
      <c r="I46" s="728">
        <v>11</v>
      </c>
      <c r="J46" s="728">
        <v>11</v>
      </c>
    </row>
    <row r="47" spans="1:10" ht="15.75" customHeight="1">
      <c r="A47" s="728" t="s">
        <v>600</v>
      </c>
      <c r="B47" s="670" t="s">
        <v>293</v>
      </c>
      <c r="C47" s="664">
        <v>11</v>
      </c>
      <c r="D47" s="668" t="s">
        <v>293</v>
      </c>
      <c r="E47" s="668" t="s">
        <v>293</v>
      </c>
      <c r="F47" s="668" t="s">
        <v>293</v>
      </c>
      <c r="G47" s="662">
        <v>12</v>
      </c>
      <c r="H47" s="662">
        <v>12</v>
      </c>
      <c r="I47" s="668" t="s">
        <v>293</v>
      </c>
      <c r="J47" s="668" t="s">
        <v>293</v>
      </c>
    </row>
    <row r="48" spans="1:10" ht="15.75" customHeight="1">
      <c r="A48" s="728" t="s">
        <v>286</v>
      </c>
      <c r="B48" s="664">
        <v>1</v>
      </c>
      <c r="C48" s="670" t="s">
        <v>293</v>
      </c>
      <c r="D48" s="728">
        <v>1</v>
      </c>
      <c r="E48" s="728">
        <v>1</v>
      </c>
      <c r="F48" s="711">
        <v>1</v>
      </c>
      <c r="G48" s="668" t="s">
        <v>293</v>
      </c>
      <c r="H48" s="668" t="s">
        <v>293</v>
      </c>
      <c r="I48" s="728">
        <v>1</v>
      </c>
      <c r="J48" s="711">
        <v>1</v>
      </c>
    </row>
    <row r="49" spans="1:10" ht="15.75" customHeight="1">
      <c r="A49" s="705" t="s">
        <v>287</v>
      </c>
      <c r="B49" s="664">
        <v>6</v>
      </c>
      <c r="C49" s="664">
        <v>6</v>
      </c>
      <c r="D49" s="664">
        <v>6</v>
      </c>
      <c r="E49" s="664">
        <v>6</v>
      </c>
      <c r="F49" s="662">
        <v>6</v>
      </c>
      <c r="G49" s="662">
        <v>6</v>
      </c>
      <c r="H49" s="662">
        <v>6</v>
      </c>
      <c r="I49" s="664">
        <v>6</v>
      </c>
      <c r="J49" s="662">
        <v>6</v>
      </c>
    </row>
    <row r="50" spans="1:10" ht="15.75" customHeight="1">
      <c r="A50" s="728" t="s">
        <v>601</v>
      </c>
      <c r="B50" s="670" t="s">
        <v>328</v>
      </c>
      <c r="C50" s="670" t="s">
        <v>328</v>
      </c>
      <c r="D50" s="669" t="s">
        <v>328</v>
      </c>
      <c r="E50" s="669" t="s">
        <v>328</v>
      </c>
      <c r="F50" s="669" t="s">
        <v>328</v>
      </c>
      <c r="G50" s="668" t="s">
        <v>324</v>
      </c>
      <c r="H50" s="668" t="s">
        <v>324</v>
      </c>
      <c r="I50" s="669" t="s">
        <v>328</v>
      </c>
      <c r="J50" s="669" t="s">
        <v>328</v>
      </c>
    </row>
    <row r="51" spans="1:10" ht="29.25" customHeight="1">
      <c r="A51" s="728" t="s">
        <v>602</v>
      </c>
      <c r="B51" s="815" t="s">
        <v>367</v>
      </c>
      <c r="C51" s="815" t="s">
        <v>348</v>
      </c>
      <c r="D51" s="706" t="s">
        <v>367</v>
      </c>
      <c r="E51" s="706" t="s">
        <v>367</v>
      </c>
      <c r="F51" s="706" t="s">
        <v>367</v>
      </c>
      <c r="G51" s="668" t="s">
        <v>293</v>
      </c>
      <c r="H51" s="668" t="s">
        <v>293</v>
      </c>
      <c r="I51" s="706" t="s">
        <v>367</v>
      </c>
      <c r="J51" s="706" t="s">
        <v>367</v>
      </c>
    </row>
    <row r="52" spans="1:10" ht="15.75" customHeight="1">
      <c r="A52" s="728" t="s">
        <v>603</v>
      </c>
      <c r="B52" s="664">
        <v>1</v>
      </c>
      <c r="C52" s="670" t="s">
        <v>293</v>
      </c>
      <c r="D52" s="728">
        <v>1.25</v>
      </c>
      <c r="E52" s="728">
        <v>1.25</v>
      </c>
      <c r="F52" s="711">
        <v>1.25</v>
      </c>
      <c r="G52" s="668" t="s">
        <v>293</v>
      </c>
      <c r="H52" s="668" t="s">
        <v>293</v>
      </c>
      <c r="I52" s="662">
        <v>1.25</v>
      </c>
      <c r="J52" s="711">
        <v>1.5</v>
      </c>
    </row>
    <row r="53" spans="1:10" ht="15.75" customHeight="1">
      <c r="A53" s="661" t="s">
        <v>604</v>
      </c>
      <c r="B53" s="670" t="s">
        <v>293</v>
      </c>
      <c r="C53" s="664">
        <v>0.1</v>
      </c>
      <c r="D53" s="670" t="s">
        <v>293</v>
      </c>
      <c r="E53" s="670" t="s">
        <v>293</v>
      </c>
      <c r="F53" s="670" t="s">
        <v>293</v>
      </c>
      <c r="G53" s="670" t="s">
        <v>293</v>
      </c>
      <c r="H53" s="670" t="s">
        <v>293</v>
      </c>
      <c r="I53" s="670" t="s">
        <v>293</v>
      </c>
      <c r="J53" s="670" t="s">
        <v>293</v>
      </c>
    </row>
    <row r="54" spans="1:10" ht="15.75" customHeight="1">
      <c r="A54" s="661" t="s">
        <v>605</v>
      </c>
      <c r="B54" s="670" t="s">
        <v>293</v>
      </c>
      <c r="C54" s="664">
        <v>0.02</v>
      </c>
      <c r="D54" s="670" t="s">
        <v>293</v>
      </c>
      <c r="E54" s="670" t="s">
        <v>293</v>
      </c>
      <c r="F54" s="670" t="s">
        <v>293</v>
      </c>
      <c r="G54" s="670" t="s">
        <v>293</v>
      </c>
      <c r="H54" s="670" t="s">
        <v>293</v>
      </c>
      <c r="I54" s="670" t="s">
        <v>293</v>
      </c>
      <c r="J54" s="670" t="s">
        <v>293</v>
      </c>
    </row>
    <row r="55" spans="1:10" ht="15.75" customHeight="1">
      <c r="A55" s="835" t="s">
        <v>606</v>
      </c>
      <c r="B55" s="664">
        <v>5</v>
      </c>
      <c r="C55" s="664">
        <v>3</v>
      </c>
      <c r="D55" s="728">
        <v>3</v>
      </c>
      <c r="E55" s="728">
        <v>3</v>
      </c>
      <c r="F55" s="711">
        <v>3</v>
      </c>
      <c r="G55" s="711">
        <v>3</v>
      </c>
      <c r="H55" s="711">
        <v>3</v>
      </c>
      <c r="I55" s="711">
        <v>3</v>
      </c>
      <c r="J55" s="711">
        <v>5</v>
      </c>
    </row>
    <row r="56" spans="1:10" ht="15.75" customHeight="1">
      <c r="A56" s="728" t="s">
        <v>289</v>
      </c>
      <c r="B56" s="670" t="s">
        <v>324</v>
      </c>
      <c r="C56" s="670" t="s">
        <v>328</v>
      </c>
      <c r="D56" s="668" t="s">
        <v>324</v>
      </c>
      <c r="E56" s="668" t="s">
        <v>324</v>
      </c>
      <c r="F56" s="668" t="s">
        <v>324</v>
      </c>
      <c r="G56" s="668" t="s">
        <v>324</v>
      </c>
      <c r="H56" s="668" t="s">
        <v>324</v>
      </c>
      <c r="I56" s="668" t="s">
        <v>324</v>
      </c>
      <c r="J56" s="668" t="s">
        <v>324</v>
      </c>
    </row>
    <row r="57" spans="1:10" ht="15.75" customHeight="1">
      <c r="A57" s="728" t="s">
        <v>649</v>
      </c>
      <c r="B57" s="670" t="s">
        <v>324</v>
      </c>
      <c r="C57" s="670" t="s">
        <v>324</v>
      </c>
      <c r="D57" s="668" t="s">
        <v>324</v>
      </c>
      <c r="E57" s="668" t="s">
        <v>324</v>
      </c>
      <c r="F57" s="668" t="s">
        <v>324</v>
      </c>
      <c r="G57" s="668" t="s">
        <v>324</v>
      </c>
      <c r="H57" s="668" t="s">
        <v>324</v>
      </c>
      <c r="I57" s="668" t="s">
        <v>324</v>
      </c>
      <c r="J57" s="668" t="s">
        <v>324</v>
      </c>
    </row>
    <row r="58" spans="1:10" ht="25.5">
      <c r="A58" s="682" t="s">
        <v>607</v>
      </c>
      <c r="B58" s="664">
        <v>4</v>
      </c>
      <c r="C58" s="664">
        <v>4</v>
      </c>
      <c r="D58" s="728">
        <v>4</v>
      </c>
      <c r="E58" s="728">
        <v>4</v>
      </c>
      <c r="F58" s="728">
        <v>4</v>
      </c>
      <c r="G58" s="704">
        <v>4</v>
      </c>
      <c r="H58" s="704">
        <v>4</v>
      </c>
      <c r="I58" s="704">
        <v>4</v>
      </c>
      <c r="J58" s="704">
        <v>4</v>
      </c>
    </row>
    <row r="59" spans="1:10" ht="15.75" customHeight="1">
      <c r="A59" s="682" t="s">
        <v>608</v>
      </c>
      <c r="B59" s="664">
        <v>1800</v>
      </c>
      <c r="C59" s="664">
        <v>1800</v>
      </c>
      <c r="D59" s="728">
        <v>1800</v>
      </c>
      <c r="E59" s="728">
        <v>1800</v>
      </c>
      <c r="F59" s="728">
        <v>1800</v>
      </c>
      <c r="G59" s="704">
        <v>1800</v>
      </c>
      <c r="H59" s="704">
        <v>1800</v>
      </c>
      <c r="I59" s="704">
        <v>1800</v>
      </c>
      <c r="J59" s="704">
        <v>1800</v>
      </c>
    </row>
    <row r="60" spans="1:10" ht="15.75" customHeight="1">
      <c r="A60" s="661" t="s">
        <v>609</v>
      </c>
      <c r="B60" s="664">
        <v>5.1000000000000004E-3</v>
      </c>
      <c r="C60" s="664">
        <v>1.6000000000000001E-3</v>
      </c>
      <c r="D60" s="704">
        <v>5.5999999999999999E-3</v>
      </c>
      <c r="E60" s="704">
        <v>5.5999999999999999E-3</v>
      </c>
      <c r="F60" s="728">
        <v>3.5999999999999999E-3</v>
      </c>
      <c r="G60" s="704">
        <v>5.4999999999999997E-3</v>
      </c>
      <c r="H60" s="704">
        <v>5.4999999999999997E-3</v>
      </c>
      <c r="I60" s="704">
        <v>5.4999999999999997E-3</v>
      </c>
      <c r="J60" s="704">
        <v>1.6000000000000001E-3</v>
      </c>
    </row>
    <row r="61" spans="1:10" ht="15.75" customHeight="1">
      <c r="A61" s="661" t="s">
        <v>611</v>
      </c>
      <c r="B61" s="664">
        <v>7.1599999999999997E-2</v>
      </c>
      <c r="C61" s="664">
        <v>3.7600000000000001E-2</v>
      </c>
      <c r="D61" s="704">
        <v>8.4100000000000008E-3</v>
      </c>
      <c r="E61" s="704">
        <v>8.4100000000000008E-3</v>
      </c>
      <c r="F61" s="728">
        <v>0.11210000000000001</v>
      </c>
      <c r="G61" s="704">
        <v>6.3100000000000003E-2</v>
      </c>
      <c r="H61" s="704">
        <v>6.3100000000000003E-2</v>
      </c>
      <c r="I61" s="704">
        <v>6.3100000000000003E-2</v>
      </c>
      <c r="J61" s="704">
        <v>9.2600000000000002E-2</v>
      </c>
    </row>
    <row r="62" spans="1:10" ht="15.75" customHeight="1">
      <c r="A62" s="661" t="s">
        <v>613</v>
      </c>
      <c r="B62" s="664">
        <v>1</v>
      </c>
      <c r="C62" s="664">
        <v>1</v>
      </c>
      <c r="D62" s="704">
        <v>1</v>
      </c>
      <c r="E62" s="704">
        <v>1</v>
      </c>
      <c r="F62" s="728">
        <v>1</v>
      </c>
      <c r="G62" s="704">
        <v>1</v>
      </c>
      <c r="H62" s="704">
        <v>1</v>
      </c>
      <c r="I62" s="704">
        <v>1</v>
      </c>
      <c r="J62" s="704">
        <v>1</v>
      </c>
    </row>
    <row r="63" spans="1:10" ht="15.75" customHeight="1">
      <c r="A63" s="661" t="s">
        <v>615</v>
      </c>
      <c r="B63" s="664">
        <v>5.0000000000000001E-4</v>
      </c>
      <c r="C63" s="664">
        <v>5.9999999999999995E-4</v>
      </c>
      <c r="D63" s="704">
        <v>5.0000000000000001E-4</v>
      </c>
      <c r="E63" s="704">
        <v>5.0000000000000001E-4</v>
      </c>
      <c r="F63" s="728">
        <v>8.0000000000000004E-4</v>
      </c>
      <c r="G63" s="704">
        <v>1.8E-3</v>
      </c>
      <c r="H63" s="704">
        <v>1.8E-3</v>
      </c>
      <c r="I63" s="704">
        <v>1.8E-3</v>
      </c>
      <c r="J63" s="704">
        <v>4.0000000000000002E-4</v>
      </c>
    </row>
    <row r="64" spans="1:10" ht="24" customHeight="1">
      <c r="A64" s="803" t="s">
        <v>617</v>
      </c>
      <c r="B64" s="709"/>
      <c r="C64" s="709"/>
      <c r="D64" s="709"/>
      <c r="E64" s="709"/>
      <c r="F64" s="709"/>
      <c r="G64" s="709"/>
      <c r="H64" s="709"/>
      <c r="I64" s="709"/>
      <c r="J64" s="709"/>
    </row>
    <row r="65" spans="1:10" ht="15.75" customHeight="1">
      <c r="A65" s="661" t="s">
        <v>618</v>
      </c>
      <c r="B65" s="664">
        <f>90*0.0465</f>
        <v>4.1849999999999996</v>
      </c>
      <c r="C65" s="664">
        <f>90*0.249156</f>
        <v>22.424039999999998</v>
      </c>
      <c r="D65" s="728">
        <f>90*0.0465</f>
        <v>4.1849999999999996</v>
      </c>
      <c r="E65" s="728">
        <f>90*0.0465</f>
        <v>4.1849999999999996</v>
      </c>
      <c r="F65" s="711">
        <f>90*0.05</f>
        <v>4.5</v>
      </c>
      <c r="G65" s="711">
        <f>0.11*90</f>
        <v>9.9</v>
      </c>
      <c r="H65" s="711">
        <f>0.11*90</f>
        <v>9.9</v>
      </c>
      <c r="I65" s="711">
        <f>0.11*90</f>
        <v>9.9</v>
      </c>
      <c r="J65" s="711">
        <f>90*0.04</f>
        <v>3.6</v>
      </c>
    </row>
    <row r="66" spans="1:10" ht="15.75" customHeight="1">
      <c r="A66" s="728" t="s">
        <v>619</v>
      </c>
      <c r="B66" s="664">
        <v>14.16</v>
      </c>
      <c r="C66" s="664">
        <v>39.444800000000001</v>
      </c>
      <c r="D66" s="670" t="s">
        <v>293</v>
      </c>
      <c r="E66" s="670" t="s">
        <v>293</v>
      </c>
      <c r="F66" s="668" t="s">
        <v>293</v>
      </c>
      <c r="G66" s="662">
        <v>19.8</v>
      </c>
      <c r="H66" s="662">
        <v>19.8</v>
      </c>
      <c r="I66" s="662">
        <v>19.8</v>
      </c>
      <c r="J66" s="668" t="s">
        <v>293</v>
      </c>
    </row>
    <row r="67" spans="1:10" ht="15.75" customHeight="1">
      <c r="A67" s="661" t="s">
        <v>621</v>
      </c>
      <c r="B67" s="664">
        <v>1.05</v>
      </c>
      <c r="C67" s="664">
        <v>1.4</v>
      </c>
      <c r="D67" s="728">
        <v>1.05</v>
      </c>
      <c r="E67" s="728">
        <v>1.05</v>
      </c>
      <c r="F67" s="711">
        <v>1.05</v>
      </c>
      <c r="G67" s="662">
        <v>1.4</v>
      </c>
      <c r="H67" s="662">
        <v>1.4</v>
      </c>
      <c r="I67" s="662">
        <v>1.4</v>
      </c>
      <c r="J67" s="711">
        <v>1.05</v>
      </c>
    </row>
    <row r="68" spans="1:10" ht="15.75" customHeight="1">
      <c r="A68" s="728" t="s">
        <v>622</v>
      </c>
      <c r="B68" s="664">
        <v>30</v>
      </c>
      <c r="C68" s="670" t="s">
        <v>293</v>
      </c>
      <c r="D68" s="728">
        <v>30</v>
      </c>
      <c r="E68" s="728">
        <v>30</v>
      </c>
      <c r="F68" s="711">
        <v>30</v>
      </c>
      <c r="G68" s="668" t="s">
        <v>293</v>
      </c>
      <c r="H68" s="668" t="s">
        <v>293</v>
      </c>
      <c r="I68" s="668" t="s">
        <v>293</v>
      </c>
      <c r="J68" s="711">
        <v>35</v>
      </c>
    </row>
    <row r="69" spans="1:10" ht="15.75" customHeight="1">
      <c r="A69" s="728" t="s">
        <v>623</v>
      </c>
      <c r="B69" s="664">
        <v>590</v>
      </c>
      <c r="C69" s="664">
        <v>745</v>
      </c>
      <c r="D69" s="728">
        <v>670</v>
      </c>
      <c r="E69" s="728">
        <v>670</v>
      </c>
      <c r="F69" s="711">
        <v>600</v>
      </c>
      <c r="G69" s="711">
        <v>720</v>
      </c>
      <c r="H69" s="711">
        <v>720</v>
      </c>
      <c r="I69" s="711">
        <v>720</v>
      </c>
      <c r="J69" s="662">
        <v>850</v>
      </c>
    </row>
    <row r="70" spans="1:10" ht="15.75" customHeight="1">
      <c r="A70" s="728" t="s">
        <v>624</v>
      </c>
      <c r="B70" s="664">
        <v>1.7</v>
      </c>
      <c r="C70" s="664">
        <v>2</v>
      </c>
      <c r="D70" s="728">
        <v>2</v>
      </c>
      <c r="E70" s="728">
        <v>2</v>
      </c>
      <c r="F70" s="711">
        <v>1.76</v>
      </c>
      <c r="G70" s="662">
        <v>2</v>
      </c>
      <c r="H70" s="662">
        <v>2</v>
      </c>
      <c r="I70" s="662">
        <v>2</v>
      </c>
      <c r="J70" s="711">
        <v>2.5</v>
      </c>
    </row>
    <row r="71" spans="1:10" ht="15.75" customHeight="1">
      <c r="A71" s="728" t="s">
        <v>625</v>
      </c>
      <c r="B71" s="664">
        <v>5.2</v>
      </c>
      <c r="C71" s="664">
        <v>6</v>
      </c>
      <c r="D71" s="728">
        <v>5</v>
      </c>
      <c r="E71" s="728">
        <v>5</v>
      </c>
      <c r="F71" s="711">
        <v>5</v>
      </c>
      <c r="G71" s="711">
        <v>6</v>
      </c>
      <c r="H71" s="711">
        <v>6</v>
      </c>
      <c r="I71" s="711">
        <v>6</v>
      </c>
      <c r="J71" s="711">
        <v>6</v>
      </c>
    </row>
    <row r="72" spans="1:10" ht="15.75" customHeight="1">
      <c r="A72" s="661" t="s">
        <v>629</v>
      </c>
      <c r="B72" s="664">
        <v>30</v>
      </c>
      <c r="C72" s="664">
        <v>30</v>
      </c>
      <c r="D72" s="728">
        <v>30</v>
      </c>
      <c r="E72" s="728">
        <v>30</v>
      </c>
      <c r="F72" s="711">
        <v>30</v>
      </c>
      <c r="G72" s="711">
        <v>30</v>
      </c>
      <c r="H72" s="711">
        <v>30</v>
      </c>
      <c r="I72" s="711">
        <v>30</v>
      </c>
      <c r="J72" s="711">
        <v>30</v>
      </c>
    </row>
    <row r="73" spans="1:10" ht="15.75" customHeight="1">
      <c r="A73" s="728" t="s">
        <v>759</v>
      </c>
      <c r="B73" s="664">
        <v>8</v>
      </c>
      <c r="C73" s="664">
        <v>10</v>
      </c>
      <c r="D73" s="728">
        <v>10</v>
      </c>
      <c r="E73" s="728">
        <v>10</v>
      </c>
      <c r="F73" s="711">
        <v>10</v>
      </c>
      <c r="G73" s="711">
        <v>10</v>
      </c>
      <c r="H73" s="711">
        <v>10</v>
      </c>
      <c r="I73" s="711">
        <v>10</v>
      </c>
      <c r="J73" s="711">
        <v>10</v>
      </c>
    </row>
    <row r="74" spans="1:10" ht="15.75" customHeight="1">
      <c r="A74" s="728" t="s">
        <v>631</v>
      </c>
      <c r="B74" s="664">
        <v>10.199999999999999</v>
      </c>
      <c r="C74" s="664">
        <v>35</v>
      </c>
      <c r="D74" s="728">
        <v>13</v>
      </c>
      <c r="E74" s="728">
        <v>13</v>
      </c>
      <c r="F74" s="711">
        <v>12</v>
      </c>
      <c r="G74" s="662">
        <v>16.5</v>
      </c>
      <c r="H74" s="662">
        <v>16.5</v>
      </c>
      <c r="I74" s="662">
        <v>16.5</v>
      </c>
      <c r="J74" s="711">
        <v>16</v>
      </c>
    </row>
    <row r="75" spans="1:10" ht="15.75" customHeight="1">
      <c r="A75" s="728" t="s">
        <v>632</v>
      </c>
      <c r="B75" s="664">
        <v>10.199999999999999</v>
      </c>
      <c r="C75" s="664">
        <v>35</v>
      </c>
      <c r="D75" s="728">
        <v>13</v>
      </c>
      <c r="E75" s="728">
        <v>13</v>
      </c>
      <c r="F75" s="711">
        <v>12</v>
      </c>
      <c r="G75" s="662">
        <v>16.5</v>
      </c>
      <c r="H75" s="662">
        <v>16.5</v>
      </c>
      <c r="I75" s="662">
        <v>16.5</v>
      </c>
      <c r="J75" s="711">
        <v>16</v>
      </c>
    </row>
    <row r="76" spans="1:10" ht="98.25" customHeight="1">
      <c r="A76" s="722" t="s">
        <v>635</v>
      </c>
      <c r="B76" s="783"/>
      <c r="C76" s="783"/>
      <c r="D76" s="834"/>
      <c r="E76" s="834"/>
      <c r="F76" s="834"/>
      <c r="G76" s="773"/>
      <c r="H76" s="773"/>
      <c r="I76" s="773"/>
      <c r="J76" s="773"/>
    </row>
    <row r="77" spans="1:10" ht="12.75">
      <c r="A77" s="728"/>
      <c r="B77" s="728"/>
      <c r="C77" s="728"/>
      <c r="D77" s="728"/>
      <c r="E77" s="728"/>
      <c r="F77" s="711"/>
      <c r="G77" s="711"/>
      <c r="H77" s="711"/>
      <c r="I77" s="711"/>
      <c r="J77" s="711"/>
    </row>
    <row r="78" spans="1:10" ht="12.75">
      <c r="A78" s="728"/>
      <c r="B78" s="728"/>
      <c r="C78" s="728"/>
      <c r="D78" s="728"/>
      <c r="E78" s="728"/>
      <c r="F78" s="711"/>
      <c r="G78" s="711"/>
      <c r="H78" s="711"/>
      <c r="I78" s="711"/>
      <c r="J78" s="711"/>
    </row>
    <row r="79" spans="1:10" ht="12.75">
      <c r="A79" s="728"/>
      <c r="B79" s="728"/>
      <c r="C79" s="728"/>
      <c r="D79" s="728"/>
      <c r="E79" s="728"/>
      <c r="F79" s="711"/>
      <c r="G79" s="711"/>
      <c r="H79" s="711"/>
      <c r="I79" s="711"/>
      <c r="J79" s="711"/>
    </row>
    <row r="80" spans="1:10" ht="12.75">
      <c r="A80" s="728"/>
      <c r="B80" s="728"/>
      <c r="C80" s="728"/>
      <c r="D80" s="728"/>
      <c r="E80" s="728"/>
      <c r="F80" s="663"/>
      <c r="G80" s="663"/>
      <c r="H80" s="663"/>
      <c r="I80" s="663"/>
      <c r="J80" s="663"/>
    </row>
    <row r="81" spans="1:10" ht="12.75">
      <c r="A81" s="728"/>
      <c r="B81" s="728"/>
      <c r="C81" s="728"/>
      <c r="D81" s="728"/>
      <c r="E81" s="728"/>
      <c r="F81" s="663"/>
      <c r="G81" s="663"/>
      <c r="H81" s="663"/>
      <c r="I81" s="663"/>
      <c r="J81" s="663"/>
    </row>
    <row r="82" spans="1:10" ht="12.75">
      <c r="A82" s="728"/>
      <c r="B82" s="728"/>
      <c r="C82" s="728"/>
      <c r="D82" s="728"/>
      <c r="E82" s="728"/>
      <c r="F82" s="663"/>
      <c r="G82" s="663"/>
      <c r="H82" s="663"/>
      <c r="I82" s="663"/>
      <c r="J82" s="663"/>
    </row>
    <row r="83" spans="1:10" ht="12.75">
      <c r="A83" s="728"/>
      <c r="B83" s="728"/>
      <c r="C83" s="728"/>
      <c r="D83" s="728"/>
      <c r="E83" s="728"/>
      <c r="F83" s="663"/>
      <c r="G83" s="663"/>
      <c r="H83" s="663"/>
      <c r="I83" s="663"/>
      <c r="J83" s="663"/>
    </row>
    <row r="84" spans="1:10" ht="12.75">
      <c r="A84" s="728"/>
      <c r="B84" s="728"/>
      <c r="C84" s="728"/>
      <c r="D84" s="728"/>
      <c r="E84" s="728"/>
      <c r="F84" s="663"/>
      <c r="G84" s="663"/>
      <c r="H84" s="663"/>
      <c r="I84" s="663"/>
      <c r="J84" s="663"/>
    </row>
    <row r="85" spans="1:10" ht="12.75">
      <c r="A85" s="728"/>
      <c r="B85" s="728"/>
      <c r="C85" s="728"/>
      <c r="D85" s="728"/>
      <c r="E85" s="728"/>
      <c r="F85" s="663"/>
      <c r="G85" s="663"/>
      <c r="H85" s="663"/>
      <c r="I85" s="663"/>
      <c r="J85" s="663"/>
    </row>
  </sheetData>
  <conditionalFormatting sqref="A1:J1 A3:J7 A9:J19 A21:J31 A33:J63 A65:J85">
    <cfRule type="expression" dxfId="36" priority="1">
      <formula>ISODD(COLUMN())</formula>
    </cfRule>
    <cfRule type="expression" dxfId="35" priority="2">
      <formula>ISEVEN(COLUMN())</formula>
    </cfRule>
  </conditionalFormatting>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03037-0D80-47F3-AF26-9E45D22E7ADB}">
  <sheetPr>
    <tabColor rgb="FFBF9000"/>
    <outlinePr summaryBelow="0" summaryRight="0"/>
  </sheetPr>
  <dimension ref="A1:D116"/>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2" customWidth="1"/>
    <col min="2" max="4" width="16.7109375" customWidth="1"/>
  </cols>
  <sheetData>
    <row r="1" spans="1:4" ht="35.25" customHeight="1">
      <c r="A1" s="811" t="s">
        <v>551</v>
      </c>
      <c r="B1" s="653" t="s">
        <v>1123</v>
      </c>
      <c r="C1" s="655" t="s">
        <v>1122</v>
      </c>
      <c r="D1" s="655" t="s">
        <v>1121</v>
      </c>
    </row>
    <row r="2" spans="1:4" ht="53.25" customHeight="1">
      <c r="A2" s="810" t="s">
        <v>562</v>
      </c>
      <c r="B2" s="660"/>
      <c r="C2" s="660"/>
      <c r="D2" s="660"/>
    </row>
    <row r="3" spans="1:4" ht="15.75" customHeight="1">
      <c r="A3" s="728" t="s">
        <v>563</v>
      </c>
      <c r="B3" s="711">
        <v>39.200000000000003</v>
      </c>
      <c r="C3" s="728">
        <v>105</v>
      </c>
      <c r="D3" s="728">
        <v>11.5</v>
      </c>
    </row>
    <row r="4" spans="1:4" ht="15.75" customHeight="1">
      <c r="A4" s="728" t="s">
        <v>564</v>
      </c>
      <c r="B4" s="662">
        <v>28.12</v>
      </c>
      <c r="C4" s="664">
        <v>61</v>
      </c>
      <c r="D4" s="664">
        <v>7.8</v>
      </c>
    </row>
    <row r="5" spans="1:4" ht="15.75" customHeight="1">
      <c r="A5" s="728" t="s">
        <v>565</v>
      </c>
      <c r="B5" s="662">
        <v>23.55</v>
      </c>
      <c r="C5" s="668" t="s">
        <v>293</v>
      </c>
      <c r="D5" s="664">
        <v>6.5</v>
      </c>
    </row>
    <row r="6" spans="1:4" ht="15.75" customHeight="1">
      <c r="A6" s="728" t="s">
        <v>566</v>
      </c>
      <c r="B6" s="711">
        <v>120</v>
      </c>
      <c r="C6" s="728">
        <v>160</v>
      </c>
      <c r="D6" s="728">
        <v>80</v>
      </c>
    </row>
    <row r="7" spans="1:4" ht="15.75" customHeight="1">
      <c r="A7" s="728" t="s">
        <v>567</v>
      </c>
      <c r="B7" s="711">
        <v>2.19</v>
      </c>
      <c r="C7" s="728">
        <v>2.71</v>
      </c>
      <c r="D7" s="728">
        <v>1.43</v>
      </c>
    </row>
    <row r="8" spans="1:4" ht="20.25" customHeight="1">
      <c r="A8" s="809" t="s">
        <v>568</v>
      </c>
      <c r="B8" s="824"/>
      <c r="C8" s="824"/>
      <c r="D8" s="824"/>
    </row>
    <row r="9" spans="1:4" ht="15.75" customHeight="1">
      <c r="A9" s="728" t="s">
        <v>569</v>
      </c>
      <c r="B9" s="711">
        <v>12400</v>
      </c>
      <c r="C9" s="728">
        <v>17700</v>
      </c>
      <c r="D9" s="728">
        <v>3410</v>
      </c>
    </row>
    <row r="10" spans="1:4" ht="16.5" customHeight="1">
      <c r="A10" s="728" t="s">
        <v>570</v>
      </c>
      <c r="B10" s="711">
        <v>2.1</v>
      </c>
      <c r="C10" s="728">
        <v>5.5</v>
      </c>
      <c r="D10" s="728">
        <v>2</v>
      </c>
    </row>
    <row r="11" spans="1:4" ht="15.75" customHeight="1">
      <c r="A11" s="728" t="str">
        <f>"Raw acceleration at ignition: [m/s"&amp;CHAR(178)&amp;"]"</f>
        <v>Raw acceleration at ignition: [m/s²]</v>
      </c>
      <c r="B11" s="781">
        <f>B9/B3</f>
        <v>316.32653061224488</v>
      </c>
      <c r="C11" s="781">
        <f>C9/C3</f>
        <v>168.57142857142858</v>
      </c>
      <c r="D11" s="781">
        <f>D9/D3</f>
        <v>296.52173913043481</v>
      </c>
    </row>
    <row r="12" spans="1:4" ht="15.75" customHeight="1">
      <c r="A12" s="728" t="s">
        <v>571</v>
      </c>
      <c r="B12" s="781">
        <f>B10*B9/(9.81*(B3-B4))</f>
        <v>239.56987822784524</v>
      </c>
      <c r="C12" s="781">
        <f>C10*C9/(9.81*(C3-C4))</f>
        <v>225.53516819571863</v>
      </c>
      <c r="D12" s="782">
        <f>D10*D9/(9.81*(D3-D4))</f>
        <v>187.89431633468328</v>
      </c>
    </row>
    <row r="13" spans="1:4" ht="15.75" customHeight="1">
      <c r="A13" s="661" t="s">
        <v>572</v>
      </c>
      <c r="B13" s="675">
        <f>B12*9.81*LN(B3/B4)</f>
        <v>780.71981077589589</v>
      </c>
      <c r="C13" s="675">
        <f>C12*9.81*LN(C3/C4)</f>
        <v>1201.5788502400692</v>
      </c>
      <c r="D13" s="678">
        <f>D12*9.81*LN(D3/D4)</f>
        <v>715.58997767955407</v>
      </c>
    </row>
    <row r="14" spans="1:4" ht="16.5" customHeight="1">
      <c r="A14" s="836" t="s">
        <v>573</v>
      </c>
      <c r="B14" s="683" t="s">
        <v>293</v>
      </c>
      <c r="C14" s="683" t="s">
        <v>293</v>
      </c>
      <c r="D14" s="728">
        <v>0.4</v>
      </c>
    </row>
    <row r="15" spans="1:4" ht="16.5" customHeight="1">
      <c r="A15" s="776" t="s">
        <v>574</v>
      </c>
      <c r="B15" s="711">
        <v>2755</v>
      </c>
      <c r="C15" s="683" t="s">
        <v>293</v>
      </c>
      <c r="D15" s="728">
        <v>770</v>
      </c>
    </row>
    <row r="16" spans="1:4" ht="18" customHeight="1">
      <c r="A16" s="776" t="s">
        <v>575</v>
      </c>
      <c r="B16" s="711">
        <v>3.9</v>
      </c>
      <c r="C16" s="683" t="s">
        <v>293</v>
      </c>
      <c r="D16" s="728">
        <v>6</v>
      </c>
    </row>
    <row r="17" spans="1:4" ht="18" customHeight="1">
      <c r="A17" s="728" t="s">
        <v>576</v>
      </c>
      <c r="B17" s="806">
        <f>B16*B15/(9.81*(B4-B5))</f>
        <v>239.66300631026704</v>
      </c>
      <c r="C17" s="683" t="s">
        <v>293</v>
      </c>
      <c r="D17" s="777">
        <f>D16*D15/(9.81*(D4-D5))</f>
        <v>362.26770171724303</v>
      </c>
    </row>
    <row r="18" spans="1:4" ht="18" customHeight="1">
      <c r="A18" s="728" t="s">
        <v>577</v>
      </c>
      <c r="B18" s="806">
        <f>B17*9.81*LN(B4/B5)</f>
        <v>416.97887216734387</v>
      </c>
      <c r="C18" s="683" t="s">
        <v>293</v>
      </c>
      <c r="D18" s="777">
        <f>D17*9.81*LN(D4/D5)</f>
        <v>647.94276337543874</v>
      </c>
    </row>
    <row r="19" spans="1:4" ht="18" customHeight="1">
      <c r="A19" s="728" t="s">
        <v>578</v>
      </c>
      <c r="B19" s="694">
        <f>IF(ISNUMBER(B18),B13+B18,B13)</f>
        <v>1197.6986829432399</v>
      </c>
      <c r="C19" s="692">
        <f>IF(ISNUMBER(C18),C13+C18,C13)</f>
        <v>1201.5788502400692</v>
      </c>
      <c r="D19" s="692">
        <f>IF(ISNUMBER(D18),D13+D18,D13)</f>
        <v>1363.5327410549928</v>
      </c>
    </row>
    <row r="20" spans="1:4" ht="20.25" customHeight="1">
      <c r="A20" s="805" t="s">
        <v>579</v>
      </c>
      <c r="B20" s="697"/>
      <c r="C20" s="697"/>
      <c r="D20" s="697"/>
    </row>
    <row r="21" spans="1:4" ht="15.75" customHeight="1">
      <c r="A21" s="728" t="s">
        <v>580</v>
      </c>
      <c r="B21" s="711">
        <f>1.1*1.54</f>
        <v>1.6940000000000002</v>
      </c>
      <c r="C21" s="728">
        <f>1.44*3.75</f>
        <v>5.3999999999999995</v>
      </c>
      <c r="D21" s="728">
        <f>1.44*0.45</f>
        <v>0.64800000000000002</v>
      </c>
    </row>
    <row r="22" spans="1:4" ht="15.75" customHeight="1">
      <c r="A22" s="775" t="s">
        <v>764</v>
      </c>
      <c r="B22" s="668" t="s">
        <v>763</v>
      </c>
      <c r="C22" s="668" t="s">
        <v>763</v>
      </c>
      <c r="D22" s="668" t="s">
        <v>763</v>
      </c>
    </row>
    <row r="23" spans="1:4" ht="15.75" customHeight="1">
      <c r="A23" s="776" t="s">
        <v>762</v>
      </c>
      <c r="B23" s="662">
        <v>28</v>
      </c>
      <c r="C23" s="664">
        <v>44</v>
      </c>
      <c r="D23" s="664">
        <v>28</v>
      </c>
    </row>
    <row r="24" spans="1:4" ht="15.75" customHeight="1">
      <c r="A24" s="728" t="s">
        <v>581</v>
      </c>
      <c r="B24" s="668" t="s">
        <v>328</v>
      </c>
      <c r="C24" s="670" t="s">
        <v>328</v>
      </c>
      <c r="D24" s="670" t="s">
        <v>328</v>
      </c>
    </row>
    <row r="25" spans="1:4" ht="15.75" customHeight="1">
      <c r="A25" s="728" t="s">
        <v>582</v>
      </c>
      <c r="B25" s="711">
        <v>4</v>
      </c>
      <c r="C25" s="728">
        <v>7</v>
      </c>
      <c r="D25" s="728">
        <v>0.5</v>
      </c>
    </row>
    <row r="26" spans="1:4" ht="15.75" customHeight="1">
      <c r="A26" s="776" t="s">
        <v>931</v>
      </c>
      <c r="B26" s="668" t="s">
        <v>293</v>
      </c>
      <c r="C26" s="668" t="s">
        <v>293</v>
      </c>
      <c r="D26" s="668" t="s">
        <v>293</v>
      </c>
    </row>
    <row r="27" spans="1:4" ht="15.75" customHeight="1">
      <c r="A27" s="775" t="s">
        <v>583</v>
      </c>
      <c r="B27" s="668" t="s">
        <v>328</v>
      </c>
      <c r="C27" s="668" t="s">
        <v>328</v>
      </c>
      <c r="D27" s="670" t="s">
        <v>324</v>
      </c>
    </row>
    <row r="28" spans="1:4" ht="15.75" customHeight="1">
      <c r="A28" s="775" t="s">
        <v>930</v>
      </c>
      <c r="B28" s="662">
        <v>25</v>
      </c>
      <c r="C28" s="662">
        <v>25</v>
      </c>
      <c r="D28" s="668" t="s">
        <v>293</v>
      </c>
    </row>
    <row r="29" spans="1:4" ht="15.75" customHeight="1">
      <c r="A29" s="728" t="s">
        <v>584</v>
      </c>
      <c r="B29" s="711">
        <v>1.3</v>
      </c>
      <c r="C29" s="728">
        <v>1.5</v>
      </c>
      <c r="D29" s="728">
        <v>0.7</v>
      </c>
    </row>
    <row r="30" spans="1:4" ht="15.75" customHeight="1">
      <c r="A30" s="661" t="s">
        <v>761</v>
      </c>
      <c r="B30" s="711">
        <v>0.3</v>
      </c>
      <c r="C30" s="728">
        <v>0.1</v>
      </c>
      <c r="D30" s="728">
        <v>0.1</v>
      </c>
    </row>
    <row r="31" spans="1:4" ht="15.75" customHeight="1">
      <c r="A31" s="661" t="s">
        <v>760</v>
      </c>
      <c r="B31" s="711">
        <v>1</v>
      </c>
      <c r="C31" s="728">
        <v>1</v>
      </c>
      <c r="D31" s="728">
        <v>1</v>
      </c>
    </row>
    <row r="32" spans="1:4" ht="20.25" customHeight="1">
      <c r="A32" s="804" t="s">
        <v>585</v>
      </c>
      <c r="B32" s="702"/>
      <c r="C32" s="702"/>
      <c r="D32" s="702"/>
    </row>
    <row r="33" spans="1:4" ht="15.75" customHeight="1">
      <c r="A33" s="728" t="s">
        <v>586</v>
      </c>
      <c r="B33" s="668" t="s">
        <v>323</v>
      </c>
      <c r="C33" s="670" t="s">
        <v>323</v>
      </c>
      <c r="D33" s="670" t="s">
        <v>323</v>
      </c>
    </row>
    <row r="34" spans="1:4" ht="15.75" customHeight="1">
      <c r="A34" s="728" t="s">
        <v>587</v>
      </c>
      <c r="B34" s="711">
        <v>0.35</v>
      </c>
      <c r="C34" s="728">
        <v>0.3</v>
      </c>
      <c r="D34" s="728">
        <v>0.5</v>
      </c>
    </row>
    <row r="35" spans="1:4" ht="15.75" customHeight="1">
      <c r="A35" s="728" t="s">
        <v>588</v>
      </c>
      <c r="B35" s="711">
        <v>16</v>
      </c>
      <c r="C35" s="728">
        <v>22.5</v>
      </c>
      <c r="D35" s="728">
        <v>10.5</v>
      </c>
    </row>
    <row r="36" spans="1:4" ht="15.75" customHeight="1">
      <c r="A36" s="728" t="s">
        <v>589</v>
      </c>
      <c r="B36" s="711">
        <v>1.2</v>
      </c>
      <c r="C36" s="728">
        <v>1.2</v>
      </c>
      <c r="D36" s="665">
        <v>2</v>
      </c>
    </row>
    <row r="37" spans="1:4" ht="15.75" customHeight="1">
      <c r="A37" s="728" t="s">
        <v>590</v>
      </c>
      <c r="B37" s="711">
        <v>20</v>
      </c>
      <c r="C37" s="728">
        <v>20</v>
      </c>
      <c r="D37" s="728">
        <v>60</v>
      </c>
    </row>
    <row r="38" spans="1:4" ht="15.75" customHeight="1">
      <c r="A38" s="728" t="s">
        <v>591</v>
      </c>
      <c r="B38" s="711">
        <v>1</v>
      </c>
      <c r="C38" s="728">
        <v>3</v>
      </c>
      <c r="D38" s="728">
        <v>3</v>
      </c>
    </row>
    <row r="39" spans="1:4" ht="15.75" customHeight="1">
      <c r="A39" s="728" t="s">
        <v>592</v>
      </c>
      <c r="B39" s="711">
        <v>40</v>
      </c>
      <c r="C39" s="728">
        <v>30</v>
      </c>
      <c r="D39" s="728">
        <v>40</v>
      </c>
    </row>
    <row r="40" spans="1:4" ht="15.75" customHeight="1">
      <c r="A40" s="728" t="s">
        <v>593</v>
      </c>
      <c r="B40" s="711">
        <v>20.399999999999999</v>
      </c>
      <c r="C40" s="728">
        <v>15</v>
      </c>
      <c r="D40" s="728">
        <v>12</v>
      </c>
    </row>
    <row r="41" spans="1:4" ht="17.25" customHeight="1">
      <c r="A41" s="728" t="s">
        <v>594</v>
      </c>
      <c r="B41" s="668" t="s">
        <v>328</v>
      </c>
      <c r="C41" s="668" t="s">
        <v>328</v>
      </c>
      <c r="D41" s="668" t="s">
        <v>328</v>
      </c>
    </row>
    <row r="42" spans="1:4" ht="17.25" customHeight="1">
      <c r="A42" s="728" t="s">
        <v>595</v>
      </c>
      <c r="B42" s="711">
        <v>40</v>
      </c>
      <c r="C42" s="711">
        <v>15</v>
      </c>
      <c r="D42" s="711">
        <v>15</v>
      </c>
    </row>
    <row r="43" spans="1:4" ht="31.5" customHeight="1">
      <c r="A43" s="776" t="s">
        <v>596</v>
      </c>
      <c r="B43" s="711">
        <v>10</v>
      </c>
      <c r="C43" s="664">
        <v>5</v>
      </c>
      <c r="D43" s="664">
        <v>5</v>
      </c>
    </row>
    <row r="44" spans="1:4" ht="15.75" customHeight="1">
      <c r="A44" s="728" t="s">
        <v>597</v>
      </c>
      <c r="B44" s="662">
        <v>11</v>
      </c>
      <c r="C44" s="662">
        <v>11</v>
      </c>
      <c r="D44" s="662">
        <v>11</v>
      </c>
    </row>
    <row r="45" spans="1:4" ht="15.75" customHeight="1">
      <c r="A45" s="728" t="s">
        <v>598</v>
      </c>
      <c r="B45" s="662">
        <v>3.2</v>
      </c>
      <c r="C45" s="664">
        <v>6</v>
      </c>
      <c r="D45" s="664">
        <v>6</v>
      </c>
    </row>
    <row r="46" spans="1:4" ht="15.75" customHeight="1">
      <c r="A46" s="728" t="s">
        <v>1112</v>
      </c>
      <c r="B46" s="664">
        <v>11</v>
      </c>
      <c r="C46" s="664">
        <v>11</v>
      </c>
      <c r="D46" s="664">
        <v>11</v>
      </c>
    </row>
    <row r="47" spans="1:4" ht="15.75" customHeight="1">
      <c r="A47" s="728" t="s">
        <v>600</v>
      </c>
      <c r="B47" s="662">
        <v>11</v>
      </c>
      <c r="C47" s="670" t="s">
        <v>293</v>
      </c>
      <c r="D47" s="670" t="s">
        <v>293</v>
      </c>
    </row>
    <row r="48" spans="1:4" ht="15.75" customHeight="1">
      <c r="A48" s="728" t="s">
        <v>286</v>
      </c>
      <c r="B48" s="668" t="s">
        <v>293</v>
      </c>
      <c r="C48" s="728">
        <v>1</v>
      </c>
      <c r="D48" s="728">
        <v>1</v>
      </c>
    </row>
    <row r="49" spans="1:4" ht="15.75" customHeight="1">
      <c r="A49" s="837" t="s">
        <v>287</v>
      </c>
      <c r="B49" s="662">
        <v>6</v>
      </c>
      <c r="C49" s="664">
        <v>6</v>
      </c>
      <c r="D49" s="664">
        <v>6</v>
      </c>
    </row>
    <row r="50" spans="1:4" ht="15.75" customHeight="1">
      <c r="A50" s="728" t="s">
        <v>601</v>
      </c>
      <c r="B50" s="669" t="s">
        <v>328</v>
      </c>
      <c r="C50" s="669" t="s">
        <v>328</v>
      </c>
      <c r="D50" s="669" t="s">
        <v>328</v>
      </c>
    </row>
    <row r="51" spans="1:4" ht="29.25" customHeight="1">
      <c r="A51" s="728" t="s">
        <v>602</v>
      </c>
      <c r="B51" s="668" t="s">
        <v>354</v>
      </c>
      <c r="C51" s="706" t="s">
        <v>367</v>
      </c>
      <c r="D51" s="706" t="s">
        <v>367</v>
      </c>
    </row>
    <row r="52" spans="1:4" ht="15.75" customHeight="1">
      <c r="A52" s="728" t="s">
        <v>603</v>
      </c>
      <c r="B52" s="711">
        <v>0.5</v>
      </c>
      <c r="C52" s="728">
        <v>0.5</v>
      </c>
      <c r="D52" s="728">
        <v>0.5</v>
      </c>
    </row>
    <row r="53" spans="1:4" ht="15.75" customHeight="1">
      <c r="A53" s="661" t="s">
        <v>604</v>
      </c>
      <c r="B53" s="670" t="s">
        <v>293</v>
      </c>
      <c r="C53" s="670" t="s">
        <v>293</v>
      </c>
      <c r="D53" s="670" t="s">
        <v>293</v>
      </c>
    </row>
    <row r="54" spans="1:4" ht="15.75" customHeight="1">
      <c r="A54" s="661" t="s">
        <v>605</v>
      </c>
      <c r="B54" s="670" t="s">
        <v>293</v>
      </c>
      <c r="C54" s="670" t="s">
        <v>293</v>
      </c>
      <c r="D54" s="670" t="s">
        <v>293</v>
      </c>
    </row>
    <row r="55" spans="1:4" ht="15.75" customHeight="1">
      <c r="A55" s="835" t="s">
        <v>606</v>
      </c>
      <c r="B55" s="711">
        <v>3</v>
      </c>
      <c r="C55" s="728">
        <v>3</v>
      </c>
      <c r="D55" s="728">
        <v>3</v>
      </c>
    </row>
    <row r="56" spans="1:4" ht="15.75" customHeight="1">
      <c r="A56" s="728" t="s">
        <v>289</v>
      </c>
      <c r="B56" s="668" t="s">
        <v>324</v>
      </c>
      <c r="C56" s="670" t="s">
        <v>324</v>
      </c>
      <c r="D56" s="670" t="s">
        <v>324</v>
      </c>
    </row>
    <row r="57" spans="1:4" ht="15.75" customHeight="1">
      <c r="A57" s="728" t="s">
        <v>649</v>
      </c>
      <c r="B57" s="668" t="s">
        <v>324</v>
      </c>
      <c r="C57" s="670" t="s">
        <v>324</v>
      </c>
      <c r="D57" s="670" t="s">
        <v>324</v>
      </c>
    </row>
    <row r="58" spans="1:4" ht="25.5">
      <c r="A58" s="682" t="s">
        <v>607</v>
      </c>
      <c r="B58" s="704">
        <v>4</v>
      </c>
      <c r="C58" s="728">
        <v>4</v>
      </c>
      <c r="D58" s="728">
        <v>4</v>
      </c>
    </row>
    <row r="59" spans="1:4" ht="15.75" customHeight="1">
      <c r="A59" s="682" t="s">
        <v>608</v>
      </c>
      <c r="B59" s="704">
        <v>1800</v>
      </c>
      <c r="C59" s="728">
        <v>1800</v>
      </c>
      <c r="D59" s="728">
        <v>1800</v>
      </c>
    </row>
    <row r="60" spans="1:4" ht="15.75" customHeight="1">
      <c r="A60" s="661" t="s">
        <v>609</v>
      </c>
      <c r="B60" s="704">
        <v>2.0999999999999999E-3</v>
      </c>
      <c r="C60" s="728">
        <v>2.0999999999999999E-3</v>
      </c>
      <c r="D60" s="728">
        <v>6.4999999999999997E-3</v>
      </c>
    </row>
    <row r="61" spans="1:4" ht="15.75" customHeight="1">
      <c r="A61" s="661" t="s">
        <v>611</v>
      </c>
      <c r="B61" s="704">
        <v>5.8599999999999999E-2</v>
      </c>
      <c r="C61" s="728">
        <v>5.2600000000000001E-2</v>
      </c>
      <c r="D61" s="728">
        <v>9.5600099999999993E-2</v>
      </c>
    </row>
    <row r="62" spans="1:4" ht="15.75" customHeight="1">
      <c r="A62" s="661" t="s">
        <v>613</v>
      </c>
      <c r="B62" s="704">
        <v>1</v>
      </c>
      <c r="C62" s="728">
        <v>1</v>
      </c>
      <c r="D62" s="728">
        <v>1</v>
      </c>
    </row>
    <row r="63" spans="1:4" ht="15.75" customHeight="1">
      <c r="A63" s="661" t="s">
        <v>615</v>
      </c>
      <c r="B63" s="704">
        <v>5.0000000000000001E-4</v>
      </c>
      <c r="C63" s="728">
        <v>6.9999999999999999E-4</v>
      </c>
      <c r="D63" s="728">
        <v>4.0000000000000002E-4</v>
      </c>
    </row>
    <row r="64" spans="1:4" ht="20.25" customHeight="1">
      <c r="A64" s="804" t="s">
        <v>585</v>
      </c>
      <c r="B64" s="702"/>
      <c r="C64" s="702"/>
      <c r="D64" s="702"/>
    </row>
    <row r="65" spans="1:4" ht="15.75" customHeight="1">
      <c r="A65" s="728" t="s">
        <v>586</v>
      </c>
      <c r="B65" s="668" t="s">
        <v>887</v>
      </c>
      <c r="C65" s="668" t="s">
        <v>887</v>
      </c>
      <c r="D65" s="668" t="s">
        <v>887</v>
      </c>
    </row>
    <row r="66" spans="1:4" ht="15.75" customHeight="1">
      <c r="A66" s="728" t="s">
        <v>587</v>
      </c>
      <c r="B66" s="711">
        <v>0.35</v>
      </c>
      <c r="C66" s="728">
        <v>0.3</v>
      </c>
      <c r="D66" s="728">
        <v>0.5</v>
      </c>
    </row>
    <row r="67" spans="1:4" ht="15.75" customHeight="1">
      <c r="A67" s="728" t="s">
        <v>588</v>
      </c>
      <c r="B67" s="711">
        <v>16</v>
      </c>
      <c r="C67" s="728">
        <v>22.5</v>
      </c>
      <c r="D67" s="728">
        <v>10.5</v>
      </c>
    </row>
    <row r="68" spans="1:4" ht="15.75" customHeight="1">
      <c r="A68" s="728" t="s">
        <v>589</v>
      </c>
      <c r="B68" s="711">
        <v>1.2</v>
      </c>
      <c r="C68" s="728">
        <v>1.2</v>
      </c>
      <c r="D68" s="665">
        <v>2</v>
      </c>
    </row>
    <row r="69" spans="1:4" ht="15.75" customHeight="1">
      <c r="A69" s="728" t="s">
        <v>590</v>
      </c>
      <c r="B69" s="711">
        <v>20</v>
      </c>
      <c r="C69" s="728">
        <v>20</v>
      </c>
      <c r="D69" s="728">
        <v>60</v>
      </c>
    </row>
    <row r="70" spans="1:4" ht="15.75" customHeight="1">
      <c r="A70" s="728" t="s">
        <v>591</v>
      </c>
      <c r="B70" s="711">
        <v>1</v>
      </c>
      <c r="C70" s="728">
        <v>3</v>
      </c>
      <c r="D70" s="728">
        <v>3</v>
      </c>
    </row>
    <row r="71" spans="1:4" ht="15.75" customHeight="1">
      <c r="A71" s="728" t="s">
        <v>592</v>
      </c>
      <c r="B71" s="711">
        <v>40</v>
      </c>
      <c r="C71" s="728">
        <v>30</v>
      </c>
      <c r="D71" s="728">
        <v>40</v>
      </c>
    </row>
    <row r="72" spans="1:4" ht="15.75" customHeight="1">
      <c r="A72" s="728" t="s">
        <v>593</v>
      </c>
      <c r="B72" s="711">
        <v>20.399999999999999</v>
      </c>
      <c r="C72" s="728">
        <v>15</v>
      </c>
      <c r="D72" s="728">
        <v>12</v>
      </c>
    </row>
    <row r="73" spans="1:4" ht="17.25" customHeight="1">
      <c r="A73" s="728" t="s">
        <v>594</v>
      </c>
      <c r="B73" s="668" t="s">
        <v>328</v>
      </c>
      <c r="C73" s="668" t="s">
        <v>328</v>
      </c>
      <c r="D73" s="668" t="s">
        <v>328</v>
      </c>
    </row>
    <row r="74" spans="1:4" ht="17.25" customHeight="1">
      <c r="A74" s="728" t="s">
        <v>595</v>
      </c>
      <c r="B74" s="711">
        <v>40</v>
      </c>
      <c r="C74" s="711">
        <v>15</v>
      </c>
      <c r="D74" s="711">
        <v>15</v>
      </c>
    </row>
    <row r="75" spans="1:4" ht="31.5" customHeight="1">
      <c r="A75" s="776" t="s">
        <v>596</v>
      </c>
      <c r="B75" s="711">
        <v>10</v>
      </c>
      <c r="C75" s="664">
        <v>10</v>
      </c>
      <c r="D75" s="664">
        <v>10</v>
      </c>
    </row>
    <row r="76" spans="1:4" ht="15.75" customHeight="1">
      <c r="A76" s="728" t="s">
        <v>598</v>
      </c>
      <c r="B76" s="662">
        <v>5.95</v>
      </c>
      <c r="C76" s="664">
        <v>8</v>
      </c>
      <c r="D76" s="664">
        <v>7</v>
      </c>
    </row>
    <row r="77" spans="1:4" ht="15.75" customHeight="1">
      <c r="A77" s="728" t="s">
        <v>1112</v>
      </c>
      <c r="B77" s="664">
        <v>11</v>
      </c>
      <c r="C77" s="664">
        <v>11</v>
      </c>
      <c r="D77" s="664">
        <v>11</v>
      </c>
    </row>
    <row r="78" spans="1:4" ht="15.75" customHeight="1">
      <c r="A78" s="728" t="s">
        <v>600</v>
      </c>
      <c r="B78" s="670" t="s">
        <v>293</v>
      </c>
      <c r="C78" s="670" t="s">
        <v>293</v>
      </c>
      <c r="D78" s="670" t="s">
        <v>293</v>
      </c>
    </row>
    <row r="79" spans="1:4" ht="15.75" customHeight="1">
      <c r="A79" s="728" t="s">
        <v>286</v>
      </c>
      <c r="B79" s="668" t="s">
        <v>293</v>
      </c>
      <c r="C79" s="670" t="s">
        <v>293</v>
      </c>
      <c r="D79" s="670" t="s">
        <v>293</v>
      </c>
    </row>
    <row r="80" spans="1:4" ht="15.75" customHeight="1">
      <c r="A80" s="837" t="s">
        <v>287</v>
      </c>
      <c r="B80" s="668" t="s">
        <v>293</v>
      </c>
      <c r="C80" s="668" t="s">
        <v>293</v>
      </c>
      <c r="D80" s="668" t="s">
        <v>293</v>
      </c>
    </row>
    <row r="81" spans="1:4" ht="15.75" customHeight="1">
      <c r="A81" s="728" t="s">
        <v>601</v>
      </c>
      <c r="B81" s="669" t="s">
        <v>328</v>
      </c>
      <c r="C81" s="669" t="s">
        <v>328</v>
      </c>
      <c r="D81" s="669" t="s">
        <v>328</v>
      </c>
    </row>
    <row r="82" spans="1:4" ht="29.25" customHeight="1">
      <c r="A82" s="728" t="s">
        <v>602</v>
      </c>
      <c r="B82" s="668" t="s">
        <v>354</v>
      </c>
      <c r="C82" s="668" t="s">
        <v>354</v>
      </c>
      <c r="D82" s="668" t="s">
        <v>354</v>
      </c>
    </row>
    <row r="83" spans="1:4" ht="15.75" customHeight="1">
      <c r="A83" s="728" t="s">
        <v>603</v>
      </c>
      <c r="B83" s="711">
        <v>0.5</v>
      </c>
      <c r="C83" s="728">
        <v>0.5</v>
      </c>
      <c r="D83" s="728">
        <v>0.5</v>
      </c>
    </row>
    <row r="84" spans="1:4" ht="15.75" customHeight="1">
      <c r="A84" s="661" t="s">
        <v>604</v>
      </c>
      <c r="B84" s="670" t="s">
        <v>293</v>
      </c>
      <c r="C84" s="670" t="s">
        <v>293</v>
      </c>
      <c r="D84" s="670" t="s">
        <v>293</v>
      </c>
    </row>
    <row r="85" spans="1:4" ht="15.75" customHeight="1">
      <c r="A85" s="661" t="s">
        <v>605</v>
      </c>
      <c r="B85" s="670" t="s">
        <v>293</v>
      </c>
      <c r="C85" s="670" t="s">
        <v>293</v>
      </c>
      <c r="D85" s="670" t="s">
        <v>293</v>
      </c>
    </row>
    <row r="86" spans="1:4" ht="15.75" customHeight="1">
      <c r="A86" s="835" t="s">
        <v>606</v>
      </c>
      <c r="B86" s="711">
        <v>3</v>
      </c>
      <c r="C86" s="728">
        <v>3</v>
      </c>
      <c r="D86" s="728">
        <v>3</v>
      </c>
    </row>
    <row r="87" spans="1:4" ht="15.75" customHeight="1">
      <c r="A87" s="728" t="s">
        <v>289</v>
      </c>
      <c r="B87" s="668" t="s">
        <v>324</v>
      </c>
      <c r="C87" s="670" t="s">
        <v>324</v>
      </c>
      <c r="D87" s="670" t="s">
        <v>324</v>
      </c>
    </row>
    <row r="88" spans="1:4" ht="15.75" customHeight="1">
      <c r="A88" s="728" t="s">
        <v>649</v>
      </c>
      <c r="B88" s="668" t="s">
        <v>324</v>
      </c>
      <c r="C88" s="670" t="s">
        <v>324</v>
      </c>
      <c r="D88" s="670" t="s">
        <v>324</v>
      </c>
    </row>
    <row r="89" spans="1:4" ht="25.5">
      <c r="A89" s="682" t="s">
        <v>607</v>
      </c>
      <c r="B89" s="704">
        <v>4</v>
      </c>
      <c r="C89" s="728">
        <v>4</v>
      </c>
      <c r="D89" s="728">
        <v>4</v>
      </c>
    </row>
    <row r="90" spans="1:4" ht="15.75" customHeight="1">
      <c r="A90" s="682" t="s">
        <v>608</v>
      </c>
      <c r="B90" s="704">
        <v>1800</v>
      </c>
      <c r="C90" s="728">
        <v>1800</v>
      </c>
      <c r="D90" s="728">
        <v>1800</v>
      </c>
    </row>
    <row r="91" spans="1:4" ht="15.75" customHeight="1">
      <c r="A91" s="661" t="s">
        <v>609</v>
      </c>
      <c r="B91" s="704">
        <v>2.0999999999999999E-3</v>
      </c>
      <c r="C91" s="728">
        <v>2.0999999999999999E-3</v>
      </c>
      <c r="D91" s="728">
        <v>6.4999999999999997E-3</v>
      </c>
    </row>
    <row r="92" spans="1:4" ht="15.75" customHeight="1">
      <c r="A92" s="661" t="s">
        <v>611</v>
      </c>
      <c r="B92" s="704">
        <v>5.8599999999999999E-2</v>
      </c>
      <c r="C92" s="728">
        <v>5.2600000000000001E-2</v>
      </c>
      <c r="D92" s="728">
        <v>9.5600099999999993E-2</v>
      </c>
    </row>
    <row r="93" spans="1:4" ht="15.75" customHeight="1">
      <c r="A93" s="661" t="s">
        <v>613</v>
      </c>
      <c r="B93" s="704">
        <v>1</v>
      </c>
      <c r="C93" s="728">
        <v>1</v>
      </c>
      <c r="D93" s="728">
        <v>1</v>
      </c>
    </row>
    <row r="94" spans="1:4" ht="15.75" customHeight="1">
      <c r="A94" s="661" t="s">
        <v>615</v>
      </c>
      <c r="B94" s="704">
        <v>5.0000000000000001E-4</v>
      </c>
      <c r="C94" s="728">
        <v>6.9999999999999999E-4</v>
      </c>
      <c r="D94" s="728">
        <v>4.0000000000000002E-4</v>
      </c>
    </row>
    <row r="95" spans="1:4" ht="24" customHeight="1">
      <c r="A95" s="803" t="s">
        <v>617</v>
      </c>
      <c r="B95" s="709"/>
      <c r="C95" s="709"/>
      <c r="D95" s="709"/>
    </row>
    <row r="96" spans="1:4" ht="15.75" customHeight="1">
      <c r="A96" s="661" t="s">
        <v>618</v>
      </c>
      <c r="B96" s="711">
        <f>0.125*90</f>
        <v>11.25</v>
      </c>
      <c r="C96" s="728">
        <f>90*0.135</f>
        <v>12.15</v>
      </c>
      <c r="D96" s="728">
        <f>90*0.05</f>
        <v>4.5</v>
      </c>
    </row>
    <row r="97" spans="1:4" ht="15.75" customHeight="1">
      <c r="A97" s="728" t="s">
        <v>619</v>
      </c>
      <c r="B97" s="668" t="s">
        <v>293</v>
      </c>
      <c r="C97" s="728">
        <v>43.468299999999999</v>
      </c>
      <c r="D97" s="618" t="s">
        <v>293</v>
      </c>
    </row>
    <row r="98" spans="1:4" ht="15.75" customHeight="1">
      <c r="A98" s="661" t="s">
        <v>621</v>
      </c>
      <c r="B98" s="662">
        <v>1.125</v>
      </c>
      <c r="C98" s="728">
        <v>1.2</v>
      </c>
      <c r="D98" s="728">
        <v>1.05</v>
      </c>
    </row>
    <row r="99" spans="1:4" ht="15.75" customHeight="1">
      <c r="A99" s="728" t="s">
        <v>622</v>
      </c>
      <c r="B99" s="668" t="s">
        <v>293</v>
      </c>
      <c r="C99" s="728">
        <v>5</v>
      </c>
      <c r="D99" s="728">
        <v>25</v>
      </c>
    </row>
    <row r="100" spans="1:4" ht="15.75" customHeight="1">
      <c r="A100" s="728" t="s">
        <v>623</v>
      </c>
      <c r="B100" s="711">
        <v>700</v>
      </c>
      <c r="C100" s="728">
        <v>955</v>
      </c>
      <c r="D100" s="728">
        <v>648</v>
      </c>
    </row>
    <row r="101" spans="1:4" ht="15.75" customHeight="1">
      <c r="A101" s="728" t="s">
        <v>624</v>
      </c>
      <c r="B101" s="668" t="s">
        <v>293</v>
      </c>
      <c r="C101" s="728">
        <v>2.8</v>
      </c>
      <c r="D101" s="728">
        <v>1.9</v>
      </c>
    </row>
    <row r="102" spans="1:4" ht="15.75" customHeight="1">
      <c r="A102" s="728" t="s">
        <v>625</v>
      </c>
      <c r="B102" s="711">
        <v>5</v>
      </c>
      <c r="C102" s="728">
        <v>10</v>
      </c>
      <c r="D102" s="728">
        <v>5</v>
      </c>
    </row>
    <row r="103" spans="1:4" ht="15.75" customHeight="1">
      <c r="A103" s="661" t="s">
        <v>629</v>
      </c>
      <c r="B103" s="711">
        <v>30</v>
      </c>
      <c r="C103" s="728">
        <v>30</v>
      </c>
      <c r="D103" s="728">
        <v>30</v>
      </c>
    </row>
    <row r="104" spans="1:4" ht="15.75" customHeight="1">
      <c r="A104" s="728" t="s">
        <v>759</v>
      </c>
      <c r="B104" s="711">
        <v>10</v>
      </c>
      <c r="C104" s="728">
        <v>10</v>
      </c>
      <c r="D104" s="728">
        <v>10</v>
      </c>
    </row>
    <row r="105" spans="1:4" ht="15.75" customHeight="1">
      <c r="A105" s="728" t="s">
        <v>631</v>
      </c>
      <c r="B105" s="662">
        <v>20</v>
      </c>
      <c r="C105" s="728">
        <v>35</v>
      </c>
      <c r="D105" s="728">
        <v>10</v>
      </c>
    </row>
    <row r="106" spans="1:4" ht="15.75" customHeight="1">
      <c r="A106" s="728" t="s">
        <v>632</v>
      </c>
      <c r="B106" s="711">
        <v>20</v>
      </c>
      <c r="C106" s="728">
        <v>35</v>
      </c>
      <c r="D106" s="728">
        <v>10</v>
      </c>
    </row>
    <row r="107" spans="1:4" ht="98.25" customHeight="1">
      <c r="A107" s="722" t="s">
        <v>635</v>
      </c>
      <c r="B107" s="773"/>
      <c r="C107" s="834"/>
      <c r="D107" s="834"/>
    </row>
    <row r="108" spans="1:4" ht="12.75">
      <c r="A108" s="728"/>
      <c r="B108" s="711"/>
      <c r="C108" s="728"/>
      <c r="D108" s="728"/>
    </row>
    <row r="109" spans="1:4" ht="12.75">
      <c r="A109" s="728"/>
      <c r="B109" s="711"/>
      <c r="C109" s="728"/>
      <c r="D109" s="728"/>
    </row>
    <row r="110" spans="1:4" ht="12.75">
      <c r="A110" s="728"/>
      <c r="B110" s="711"/>
      <c r="C110" s="728"/>
      <c r="D110" s="728"/>
    </row>
    <row r="111" spans="1:4" ht="12.75">
      <c r="A111" s="728"/>
      <c r="B111" s="663"/>
      <c r="C111" s="661"/>
      <c r="D111" s="661"/>
    </row>
    <row r="112" spans="1:4" ht="12.75">
      <c r="A112" s="728"/>
      <c r="B112" s="663"/>
      <c r="C112" s="661"/>
      <c r="D112" s="661"/>
    </row>
    <row r="113" spans="1:4" ht="12.75">
      <c r="A113" s="728"/>
      <c r="B113" s="663"/>
      <c r="C113" s="661"/>
      <c r="D113" s="661"/>
    </row>
    <row r="114" spans="1:4" ht="12.75">
      <c r="A114" s="728"/>
      <c r="B114" s="663"/>
      <c r="C114" s="661"/>
      <c r="D114" s="661"/>
    </row>
    <row r="115" spans="1:4" ht="12.75">
      <c r="A115" s="728"/>
      <c r="B115" s="663"/>
      <c r="C115" s="661"/>
      <c r="D115" s="661"/>
    </row>
    <row r="116" spans="1:4" ht="12.75">
      <c r="A116" s="728"/>
      <c r="B116" s="663"/>
      <c r="C116" s="661"/>
      <c r="D116" s="661"/>
    </row>
  </sheetData>
  <conditionalFormatting sqref="A1:D1 A3:D7 A9:D19 A21:D31 A33:D63 A65:D94 A96:D116">
    <cfRule type="expression" dxfId="34" priority="1">
      <formula>ISODD(COLUMN())</formula>
    </cfRule>
    <cfRule type="expression" dxfId="33" priority="2">
      <formula>ISEVEN(COLUMN())</formula>
    </cfRule>
  </conditionalFormatting>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7F2FB-695F-4ABE-8688-39B75812D70F}">
  <sheetPr>
    <tabColor rgb="FFBF9000"/>
    <outlinePr summaryBelow="0" summaryRight="0"/>
  </sheetPr>
  <dimension ref="A1:H71"/>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8" width="16.7109375" customWidth="1"/>
  </cols>
  <sheetData>
    <row r="1" spans="1:8" ht="35.25" customHeight="1">
      <c r="A1" s="811" t="s">
        <v>551</v>
      </c>
      <c r="B1" s="653" t="s">
        <v>989</v>
      </c>
      <c r="C1" s="653" t="s">
        <v>1136</v>
      </c>
      <c r="D1" s="653" t="s">
        <v>1135</v>
      </c>
      <c r="E1" s="653" t="s">
        <v>1134</v>
      </c>
      <c r="F1" s="655" t="s">
        <v>1133</v>
      </c>
      <c r="G1" s="653" t="s">
        <v>1132</v>
      </c>
      <c r="H1" s="653" t="s">
        <v>1131</v>
      </c>
    </row>
    <row r="2" spans="1:8" ht="84" customHeight="1">
      <c r="A2" s="810" t="s">
        <v>562</v>
      </c>
      <c r="B2" s="819"/>
      <c r="C2" s="660"/>
      <c r="D2" s="660"/>
      <c r="E2" s="660"/>
      <c r="F2" s="660"/>
      <c r="G2" s="660"/>
      <c r="H2" s="660"/>
    </row>
    <row r="3" spans="1:8" ht="15.75" customHeight="1">
      <c r="A3" s="776" t="s">
        <v>563</v>
      </c>
      <c r="B3" s="788">
        <v>28</v>
      </c>
      <c r="C3" s="788">
        <v>17</v>
      </c>
      <c r="D3" s="788">
        <v>51</v>
      </c>
      <c r="E3" s="788">
        <v>16.5</v>
      </c>
      <c r="F3" s="776">
        <v>16.5</v>
      </c>
      <c r="G3" s="788">
        <v>14</v>
      </c>
      <c r="H3" s="788">
        <v>0.9</v>
      </c>
    </row>
    <row r="4" spans="1:8" ht="15.75" customHeight="1">
      <c r="A4" s="728" t="s">
        <v>564</v>
      </c>
      <c r="B4" s="780">
        <v>25</v>
      </c>
      <c r="C4" s="780">
        <v>12.5</v>
      </c>
      <c r="D4" s="780">
        <v>32</v>
      </c>
      <c r="E4" s="780">
        <v>13.05</v>
      </c>
      <c r="F4" s="812">
        <v>12.85</v>
      </c>
      <c r="G4" s="780">
        <v>13</v>
      </c>
      <c r="H4" s="815" t="s">
        <v>293</v>
      </c>
    </row>
    <row r="5" spans="1:8" ht="15.75" customHeight="1">
      <c r="A5" s="728" t="s">
        <v>565</v>
      </c>
      <c r="B5" s="780">
        <v>17.45</v>
      </c>
      <c r="C5" s="780">
        <v>11</v>
      </c>
      <c r="D5" s="790" t="s">
        <v>293</v>
      </c>
      <c r="E5" s="780">
        <v>11.5</v>
      </c>
      <c r="F5" s="812">
        <v>11.3</v>
      </c>
      <c r="G5" s="780">
        <v>7.5</v>
      </c>
      <c r="H5" s="815" t="s">
        <v>293</v>
      </c>
    </row>
    <row r="6" spans="1:8" ht="15.75" customHeight="1">
      <c r="A6" s="776" t="s">
        <v>566</v>
      </c>
      <c r="B6" s="788">
        <v>152</v>
      </c>
      <c r="C6" s="788">
        <v>105</v>
      </c>
      <c r="D6" s="788">
        <v>152</v>
      </c>
      <c r="E6" s="788">
        <v>105</v>
      </c>
      <c r="F6" s="776">
        <v>105</v>
      </c>
      <c r="G6" s="788">
        <v>130</v>
      </c>
      <c r="H6" s="788">
        <v>22</v>
      </c>
    </row>
    <row r="7" spans="1:8" ht="15.75" customHeight="1">
      <c r="A7" s="776" t="s">
        <v>567</v>
      </c>
      <c r="B7" s="788">
        <v>1.1499999999999999</v>
      </c>
      <c r="C7" s="788">
        <v>2.0499999999999998</v>
      </c>
      <c r="D7" s="788">
        <v>2.0499999999999998</v>
      </c>
      <c r="E7" s="788">
        <v>2.0499999999999998</v>
      </c>
      <c r="F7" s="776">
        <v>2.0499999999999998</v>
      </c>
      <c r="G7" s="788">
        <v>1.4</v>
      </c>
      <c r="H7" s="788">
        <v>0.45</v>
      </c>
    </row>
    <row r="8" spans="1:8" ht="20.25" customHeight="1">
      <c r="A8" s="809" t="s">
        <v>568</v>
      </c>
      <c r="B8" s="822"/>
      <c r="C8" s="822"/>
      <c r="D8" s="794"/>
      <c r="E8" s="822"/>
      <c r="F8" s="822"/>
      <c r="G8" s="794"/>
      <c r="H8" s="794"/>
    </row>
    <row r="9" spans="1:8" ht="15.75" customHeight="1">
      <c r="A9" s="776" t="s">
        <v>569</v>
      </c>
      <c r="B9" s="788">
        <v>6600</v>
      </c>
      <c r="C9" s="776">
        <v>10100</v>
      </c>
      <c r="D9" s="788">
        <v>14655</v>
      </c>
      <c r="E9" s="788">
        <v>7350</v>
      </c>
      <c r="F9" s="776">
        <v>8200</v>
      </c>
      <c r="G9" s="788">
        <v>0</v>
      </c>
      <c r="H9" s="815" t="s">
        <v>293</v>
      </c>
    </row>
    <row r="10" spans="1:8" ht="16.5" customHeight="1">
      <c r="A10" s="776" t="s">
        <v>570</v>
      </c>
      <c r="B10" s="788">
        <v>1</v>
      </c>
      <c r="C10" s="788">
        <v>1</v>
      </c>
      <c r="D10" s="788">
        <v>3.17</v>
      </c>
      <c r="E10" s="788">
        <v>1</v>
      </c>
      <c r="F10" s="776">
        <v>1</v>
      </c>
      <c r="G10" s="788">
        <v>0</v>
      </c>
      <c r="H10" s="815" t="s">
        <v>293</v>
      </c>
    </row>
    <row r="11" spans="1:8" ht="15.75" customHeight="1">
      <c r="A11" s="776" t="str">
        <f>"Raw acceleration at ignition: [m/s"&amp;CHAR(178)&amp;"]"</f>
        <v>Raw acceleration at ignition: [m/s²]</v>
      </c>
      <c r="B11" s="777">
        <f t="shared" ref="B11:G11" si="0">B9/B3</f>
        <v>235.71428571428572</v>
      </c>
      <c r="C11" s="793">
        <f t="shared" si="0"/>
        <v>594.11764705882354</v>
      </c>
      <c r="D11" s="793">
        <f t="shared" si="0"/>
        <v>287.35294117647061</v>
      </c>
      <c r="E11" s="793">
        <f t="shared" si="0"/>
        <v>445.45454545454544</v>
      </c>
      <c r="F11" s="818">
        <f t="shared" si="0"/>
        <v>496.969696969697</v>
      </c>
      <c r="G11" s="793">
        <f t="shared" si="0"/>
        <v>0</v>
      </c>
      <c r="H11" s="815" t="s">
        <v>293</v>
      </c>
    </row>
    <row r="12" spans="1:8" ht="15.75" customHeight="1">
      <c r="A12" s="728" t="s">
        <v>571</v>
      </c>
      <c r="B12" s="781">
        <f t="shared" ref="B12:G12" si="1">B10*B9/(9.81*(B3-B4))</f>
        <v>224.26095820591235</v>
      </c>
      <c r="C12" s="781">
        <f t="shared" si="1"/>
        <v>228.79148261411257</v>
      </c>
      <c r="D12" s="781">
        <f t="shared" si="1"/>
        <v>249.24271688395297</v>
      </c>
      <c r="E12" s="781">
        <f t="shared" si="1"/>
        <v>217.16970261046848</v>
      </c>
      <c r="F12" s="781">
        <f t="shared" si="1"/>
        <v>229.00869953779338</v>
      </c>
      <c r="G12" s="781">
        <f t="shared" si="1"/>
        <v>0</v>
      </c>
      <c r="H12" s="815" t="s">
        <v>293</v>
      </c>
    </row>
    <row r="13" spans="1:8" ht="15.75" customHeight="1">
      <c r="A13" s="661" t="s">
        <v>572</v>
      </c>
      <c r="B13" s="678">
        <f t="shared" ref="B13:G13" si="2">B12*9.81*LN(B3/B4)</f>
        <v>249.32310767540719</v>
      </c>
      <c r="C13" s="678">
        <f t="shared" si="2"/>
        <v>690.1323261009785</v>
      </c>
      <c r="D13" s="678">
        <f t="shared" si="2"/>
        <v>1139.6225065675083</v>
      </c>
      <c r="E13" s="678">
        <f t="shared" si="2"/>
        <v>499.74087433712151</v>
      </c>
      <c r="F13" s="678">
        <f t="shared" si="2"/>
        <v>561.68106039329064</v>
      </c>
      <c r="G13" s="678">
        <f t="shared" si="2"/>
        <v>0</v>
      </c>
      <c r="H13" s="815" t="s">
        <v>293</v>
      </c>
    </row>
    <row r="14" spans="1:8" ht="15.75" customHeight="1">
      <c r="A14" s="836" t="s">
        <v>573</v>
      </c>
      <c r="B14" s="807">
        <v>0.1</v>
      </c>
      <c r="C14" s="807">
        <v>0.1</v>
      </c>
      <c r="D14" s="790" t="s">
        <v>293</v>
      </c>
      <c r="E14" s="807">
        <v>0.1</v>
      </c>
      <c r="F14" s="807">
        <v>0.1</v>
      </c>
      <c r="G14" s="815" t="s">
        <v>293</v>
      </c>
      <c r="H14" s="815" t="s">
        <v>293</v>
      </c>
    </row>
    <row r="15" spans="1:8" ht="16.5" customHeight="1">
      <c r="A15" s="776" t="s">
        <v>574</v>
      </c>
      <c r="B15" s="780">
        <v>570</v>
      </c>
      <c r="C15" s="780">
        <v>750</v>
      </c>
      <c r="D15" s="790" t="s">
        <v>293</v>
      </c>
      <c r="E15" s="780">
        <v>660</v>
      </c>
      <c r="F15" s="780">
        <v>660</v>
      </c>
      <c r="G15" s="788">
        <v>20000</v>
      </c>
      <c r="H15" s="815" t="s">
        <v>293</v>
      </c>
    </row>
    <row r="16" spans="1:8" ht="18" customHeight="1">
      <c r="A16" s="776" t="s">
        <v>575</v>
      </c>
      <c r="B16" s="780">
        <v>29</v>
      </c>
      <c r="C16" s="780">
        <v>5</v>
      </c>
      <c r="D16" s="790" t="s">
        <v>293</v>
      </c>
      <c r="E16" s="780">
        <v>5</v>
      </c>
      <c r="F16" s="780">
        <v>5</v>
      </c>
      <c r="G16" s="788">
        <v>0.57999999999999996</v>
      </c>
      <c r="H16" s="815" t="s">
        <v>293</v>
      </c>
    </row>
    <row r="17" spans="1:8" ht="18" customHeight="1">
      <c r="A17" s="728" t="s">
        <v>576</v>
      </c>
      <c r="B17" s="777">
        <f>B16*B15/(9.81*(B4-B5))</f>
        <v>223.1808331814407</v>
      </c>
      <c r="C17" s="777">
        <f>C16*C15/(9.81*(C4-C5))</f>
        <v>254.84199796126401</v>
      </c>
      <c r="D17" s="790" t="s">
        <v>293</v>
      </c>
      <c r="E17" s="777">
        <f>E16*E15/(9.81*(E4-E5))</f>
        <v>217.02673374765698</v>
      </c>
      <c r="F17" s="777">
        <f>F16*F15/(9.81*(F4-F5))</f>
        <v>217.02673374765723</v>
      </c>
      <c r="G17" s="777">
        <f>G16*G15/(9.81*(G4-G5))</f>
        <v>214.99397646186634</v>
      </c>
      <c r="H17" s="815" t="s">
        <v>293</v>
      </c>
    </row>
    <row r="18" spans="1:8" ht="18" customHeight="1">
      <c r="A18" s="728" t="s">
        <v>577</v>
      </c>
      <c r="B18" s="777">
        <f>B17*9.81*LN(B4/B5)</f>
        <v>787.16993283612032</v>
      </c>
      <c r="C18" s="777">
        <f>C17*9.81*LN(C4/C5)</f>
        <v>319.5834287747125</v>
      </c>
      <c r="D18" s="790" t="s">
        <v>293</v>
      </c>
      <c r="E18" s="777">
        <f>E17*9.81*LN(E4/E5)</f>
        <v>269.19717723764109</v>
      </c>
      <c r="F18" s="777">
        <f>F17*9.81*LN(F4/F5)</f>
        <v>273.66811777785927</v>
      </c>
      <c r="G18" s="777">
        <f>G17*9.81*LN(G4/G5)</f>
        <v>1160.0977287751916</v>
      </c>
      <c r="H18" s="815" t="s">
        <v>293</v>
      </c>
    </row>
    <row r="19" spans="1:8" ht="18" customHeight="1">
      <c r="A19" s="728" t="s">
        <v>578</v>
      </c>
      <c r="B19" s="692">
        <f t="shared" ref="B19:H19" si="3">IF(ISNUMBER(B18),B13+B18,B13)</f>
        <v>1036.4930405115274</v>
      </c>
      <c r="C19" s="692">
        <f t="shared" si="3"/>
        <v>1009.715754875691</v>
      </c>
      <c r="D19" s="692">
        <f t="shared" si="3"/>
        <v>1139.6225065675083</v>
      </c>
      <c r="E19" s="692">
        <f t="shared" si="3"/>
        <v>768.93805157476254</v>
      </c>
      <c r="F19" s="692">
        <f t="shared" si="3"/>
        <v>835.3491781711499</v>
      </c>
      <c r="G19" s="692">
        <f t="shared" si="3"/>
        <v>1160.0977287751916</v>
      </c>
      <c r="H19" s="692" t="str">
        <f t="shared" si="3"/>
        <v>-</v>
      </c>
    </row>
    <row r="20" spans="1:8" ht="20.25" customHeight="1">
      <c r="A20" s="817" t="s">
        <v>579</v>
      </c>
      <c r="B20" s="792"/>
      <c r="C20" s="792"/>
      <c r="D20" s="792"/>
      <c r="E20" s="792"/>
      <c r="F20" s="792"/>
      <c r="G20" s="792"/>
      <c r="H20" s="792"/>
    </row>
    <row r="21" spans="1:8" ht="15.75" customHeight="1">
      <c r="A21" s="776" t="s">
        <v>580</v>
      </c>
      <c r="B21" s="788">
        <f>1.54*6</f>
        <v>9.24</v>
      </c>
      <c r="C21" s="788">
        <f>1.31*1.1</f>
        <v>1.4410000000000003</v>
      </c>
      <c r="D21" s="788">
        <f>1.31*6</f>
        <v>7.86</v>
      </c>
      <c r="E21" s="788">
        <f>1.31*1.1</f>
        <v>1.4410000000000003</v>
      </c>
      <c r="F21" s="788">
        <f>1.31*1.1</f>
        <v>1.4410000000000003</v>
      </c>
      <c r="G21" s="788">
        <f>1.31*1.2</f>
        <v>1.5720000000000001</v>
      </c>
      <c r="H21" s="788">
        <f>1.31*0.4</f>
        <v>0.52400000000000002</v>
      </c>
    </row>
    <row r="22" spans="1:8" ht="15.75" customHeight="1">
      <c r="A22" s="775" t="s">
        <v>764</v>
      </c>
      <c r="B22" s="790" t="s">
        <v>763</v>
      </c>
      <c r="C22" s="790" t="s">
        <v>894</v>
      </c>
      <c r="D22" s="790" t="s">
        <v>894</v>
      </c>
      <c r="E22" s="790" t="s">
        <v>763</v>
      </c>
      <c r="F22" s="815" t="s">
        <v>894</v>
      </c>
      <c r="G22" s="790" t="s">
        <v>763</v>
      </c>
      <c r="H22" s="790" t="s">
        <v>763</v>
      </c>
    </row>
    <row r="23" spans="1:8" ht="15.75" customHeight="1">
      <c r="A23" s="776" t="s">
        <v>762</v>
      </c>
      <c r="B23" s="780">
        <v>61.24</v>
      </c>
      <c r="C23" s="788">
        <v>200</v>
      </c>
      <c r="D23" s="788">
        <v>900</v>
      </c>
      <c r="E23" s="780">
        <v>18.788879999999999</v>
      </c>
      <c r="F23" s="776">
        <v>200</v>
      </c>
      <c r="G23" s="788">
        <v>30</v>
      </c>
      <c r="H23" s="788">
        <v>50</v>
      </c>
    </row>
    <row r="24" spans="1:8" ht="15.75" customHeight="1">
      <c r="A24" s="775" t="s">
        <v>581</v>
      </c>
      <c r="B24" s="790" t="s">
        <v>328</v>
      </c>
      <c r="C24" s="790" t="s">
        <v>328</v>
      </c>
      <c r="D24" s="790" t="s">
        <v>328</v>
      </c>
      <c r="E24" s="790" t="s">
        <v>328</v>
      </c>
      <c r="F24" s="815" t="s">
        <v>328</v>
      </c>
      <c r="G24" s="790" t="s">
        <v>324</v>
      </c>
      <c r="H24" s="790" t="s">
        <v>324</v>
      </c>
    </row>
    <row r="25" spans="1:8" ht="15.75" customHeight="1">
      <c r="A25" s="776" t="s">
        <v>582</v>
      </c>
      <c r="B25" s="788">
        <v>4</v>
      </c>
      <c r="C25" s="788">
        <v>3</v>
      </c>
      <c r="D25" s="788">
        <v>6</v>
      </c>
      <c r="E25" s="788">
        <v>3</v>
      </c>
      <c r="F25" s="776">
        <v>3</v>
      </c>
      <c r="G25" s="790" t="s">
        <v>293</v>
      </c>
      <c r="H25" s="790" t="s">
        <v>293</v>
      </c>
    </row>
    <row r="26" spans="1:8" ht="15.75" customHeight="1">
      <c r="A26" s="776" t="s">
        <v>931</v>
      </c>
      <c r="B26" s="788">
        <v>300</v>
      </c>
      <c r="C26" s="788">
        <v>300</v>
      </c>
      <c r="D26" s="788">
        <v>300</v>
      </c>
      <c r="E26" s="788">
        <v>300</v>
      </c>
      <c r="F26" s="776">
        <v>300</v>
      </c>
      <c r="G26" s="790" t="s">
        <v>293</v>
      </c>
      <c r="H26" s="790" t="s">
        <v>293</v>
      </c>
    </row>
    <row r="27" spans="1:8" ht="15.75" customHeight="1">
      <c r="A27" s="775" t="s">
        <v>583</v>
      </c>
      <c r="B27" s="790" t="s">
        <v>328</v>
      </c>
      <c r="C27" s="790" t="s">
        <v>328</v>
      </c>
      <c r="D27" s="790" t="s">
        <v>328</v>
      </c>
      <c r="E27" s="790" t="s">
        <v>328</v>
      </c>
      <c r="F27" s="790" t="s">
        <v>328</v>
      </c>
      <c r="G27" s="790" t="s">
        <v>324</v>
      </c>
      <c r="H27" s="790" t="s">
        <v>324</v>
      </c>
    </row>
    <row r="28" spans="1:8" ht="15.75" customHeight="1">
      <c r="A28" s="775" t="s">
        <v>930</v>
      </c>
      <c r="B28" s="780">
        <v>25</v>
      </c>
      <c r="C28" s="780">
        <v>25</v>
      </c>
      <c r="D28" s="780">
        <v>25</v>
      </c>
      <c r="E28" s="780">
        <v>25</v>
      </c>
      <c r="F28" s="780">
        <v>25</v>
      </c>
      <c r="G28" s="790" t="s">
        <v>293</v>
      </c>
      <c r="H28" s="790" t="s">
        <v>293</v>
      </c>
    </row>
    <row r="29" spans="1:8" ht="15.75" customHeight="1">
      <c r="A29" s="728" t="s">
        <v>584</v>
      </c>
      <c r="B29" s="815" t="s">
        <v>293</v>
      </c>
      <c r="C29" s="815" t="s">
        <v>293</v>
      </c>
      <c r="D29" s="815" t="s">
        <v>293</v>
      </c>
      <c r="E29" s="815" t="s">
        <v>293</v>
      </c>
      <c r="F29" s="815" t="s">
        <v>293</v>
      </c>
      <c r="G29" s="815" t="s">
        <v>293</v>
      </c>
      <c r="H29" s="815" t="s">
        <v>293</v>
      </c>
    </row>
    <row r="30" spans="1:8" ht="15.75" customHeight="1">
      <c r="A30" s="661" t="s">
        <v>761</v>
      </c>
      <c r="B30" s="788">
        <v>0.1</v>
      </c>
      <c r="C30" s="788">
        <v>0.1</v>
      </c>
      <c r="D30" s="788">
        <v>0.1</v>
      </c>
      <c r="E30" s="788">
        <v>0.1</v>
      </c>
      <c r="F30" s="776">
        <v>0.1</v>
      </c>
      <c r="G30" s="788">
        <v>0.1</v>
      </c>
      <c r="H30" s="788">
        <v>0.5</v>
      </c>
    </row>
    <row r="31" spans="1:8" ht="15.75" customHeight="1">
      <c r="A31" s="661" t="s">
        <v>760</v>
      </c>
      <c r="B31" s="788">
        <v>0.05</v>
      </c>
      <c r="C31" s="788">
        <v>0.05</v>
      </c>
      <c r="D31" s="788">
        <v>0.05</v>
      </c>
      <c r="E31" s="788">
        <v>0.05</v>
      </c>
      <c r="F31" s="776">
        <v>0.05</v>
      </c>
      <c r="G31" s="788">
        <v>0.5</v>
      </c>
      <c r="H31" s="788">
        <v>0.7</v>
      </c>
    </row>
    <row r="32" spans="1:8" ht="20.25" customHeight="1">
      <c r="A32" s="839" t="s">
        <v>585</v>
      </c>
      <c r="B32" s="816"/>
      <c r="C32" s="816"/>
      <c r="D32" s="816"/>
      <c r="E32" s="816"/>
      <c r="F32" s="816"/>
      <c r="G32" s="816"/>
      <c r="H32" s="816"/>
    </row>
    <row r="33" spans="1:8" ht="15.75" customHeight="1">
      <c r="A33" s="837" t="s">
        <v>586</v>
      </c>
      <c r="B33" s="668" t="s">
        <v>873</v>
      </c>
      <c r="C33" s="670" t="s">
        <v>873</v>
      </c>
      <c r="D33" s="670" t="s">
        <v>873</v>
      </c>
      <c r="E33" s="670" t="s">
        <v>873</v>
      </c>
      <c r="F33" s="670" t="s">
        <v>873</v>
      </c>
      <c r="G33" s="670" t="s">
        <v>873</v>
      </c>
      <c r="H33" s="670" t="s">
        <v>873</v>
      </c>
    </row>
    <row r="34" spans="1:8" ht="15.75" customHeight="1">
      <c r="A34" s="837" t="s">
        <v>588</v>
      </c>
      <c r="B34" s="662">
        <v>40</v>
      </c>
      <c r="C34" s="664">
        <v>32</v>
      </c>
      <c r="D34" s="664">
        <v>22</v>
      </c>
      <c r="E34" s="664">
        <v>15</v>
      </c>
      <c r="F34" s="664">
        <v>24</v>
      </c>
      <c r="G34" s="664">
        <v>12</v>
      </c>
      <c r="H34" s="664">
        <v>12</v>
      </c>
    </row>
    <row r="35" spans="1:8" ht="15.75" customHeight="1">
      <c r="A35" s="837" t="s">
        <v>872</v>
      </c>
      <c r="B35" s="815" t="s">
        <v>293</v>
      </c>
      <c r="C35" s="815" t="s">
        <v>293</v>
      </c>
      <c r="D35" s="815" t="s">
        <v>293</v>
      </c>
      <c r="E35" s="815" t="s">
        <v>293</v>
      </c>
      <c r="F35" s="815" t="s">
        <v>293</v>
      </c>
      <c r="G35" s="664">
        <v>7</v>
      </c>
      <c r="H35" s="664">
        <v>7</v>
      </c>
    </row>
    <row r="36" spans="1:8" ht="15.75" customHeight="1">
      <c r="A36" s="728" t="s">
        <v>871</v>
      </c>
      <c r="B36" s="812">
        <v>15</v>
      </c>
      <c r="C36" s="812">
        <v>10</v>
      </c>
      <c r="D36" s="812">
        <v>10</v>
      </c>
      <c r="E36" s="812">
        <v>10</v>
      </c>
      <c r="F36" s="812">
        <v>10</v>
      </c>
      <c r="G36" s="815" t="s">
        <v>293</v>
      </c>
      <c r="H36" s="815" t="s">
        <v>293</v>
      </c>
    </row>
    <row r="37" spans="1:8" ht="15.75" customHeight="1">
      <c r="A37" s="728" t="s">
        <v>870</v>
      </c>
      <c r="B37" s="812">
        <v>2.5</v>
      </c>
      <c r="C37" s="812">
        <v>1</v>
      </c>
      <c r="D37" s="812">
        <v>1</v>
      </c>
      <c r="E37" s="812">
        <v>1</v>
      </c>
      <c r="F37" s="812">
        <v>1</v>
      </c>
      <c r="G37" s="664">
        <v>10</v>
      </c>
      <c r="H37" s="664">
        <v>10</v>
      </c>
    </row>
    <row r="38" spans="1:8" ht="15.75" customHeight="1">
      <c r="A38" s="661" t="s">
        <v>606</v>
      </c>
      <c r="B38" s="812">
        <v>5</v>
      </c>
      <c r="C38" s="812">
        <v>3</v>
      </c>
      <c r="D38" s="812">
        <v>3</v>
      </c>
      <c r="E38" s="812">
        <v>3</v>
      </c>
      <c r="F38" s="812">
        <v>3</v>
      </c>
      <c r="G38" s="815" t="s">
        <v>293</v>
      </c>
      <c r="H38" s="815" t="s">
        <v>293</v>
      </c>
    </row>
    <row r="39" spans="1:8" ht="15.75" customHeight="1">
      <c r="A39" s="682" t="s">
        <v>608</v>
      </c>
      <c r="B39" s="812">
        <v>1800</v>
      </c>
      <c r="C39" s="815" t="s">
        <v>293</v>
      </c>
      <c r="D39" s="812">
        <v>1800</v>
      </c>
      <c r="E39" s="815" t="s">
        <v>293</v>
      </c>
      <c r="F39" s="815" t="s">
        <v>293</v>
      </c>
      <c r="G39" s="815" t="s">
        <v>293</v>
      </c>
      <c r="H39" s="815" t="s">
        <v>293</v>
      </c>
    </row>
    <row r="40" spans="1:8" ht="15.75" customHeight="1">
      <c r="A40" s="661" t="s">
        <v>609</v>
      </c>
      <c r="B40" s="812">
        <v>3.8600000000000002E-2</v>
      </c>
      <c r="C40" s="815" t="s">
        <v>293</v>
      </c>
      <c r="D40" s="812">
        <v>1.3100000000000001E-2</v>
      </c>
      <c r="E40" s="812">
        <v>2.6599999999999999E-2</v>
      </c>
      <c r="F40" s="812">
        <v>2.6599999999999999E-2</v>
      </c>
      <c r="G40" s="815" t="s">
        <v>293</v>
      </c>
      <c r="H40" s="815" t="s">
        <v>293</v>
      </c>
    </row>
    <row r="41" spans="1:8" ht="15.75" customHeight="1">
      <c r="A41" s="661" t="s">
        <v>611</v>
      </c>
      <c r="B41" s="812">
        <v>0</v>
      </c>
      <c r="C41" s="815" t="s">
        <v>293</v>
      </c>
      <c r="D41" s="812">
        <v>0</v>
      </c>
      <c r="E41" s="812">
        <v>0</v>
      </c>
      <c r="F41" s="812">
        <v>0</v>
      </c>
      <c r="G41" s="815" t="s">
        <v>293</v>
      </c>
      <c r="H41" s="815" t="s">
        <v>293</v>
      </c>
    </row>
    <row r="42" spans="1:8" ht="15.75" customHeight="1">
      <c r="A42" s="661" t="s">
        <v>613</v>
      </c>
      <c r="B42" s="812">
        <v>0</v>
      </c>
      <c r="C42" s="815" t="s">
        <v>293</v>
      </c>
      <c r="D42" s="812">
        <v>0</v>
      </c>
      <c r="E42" s="812">
        <v>0</v>
      </c>
      <c r="F42" s="812">
        <v>0</v>
      </c>
      <c r="G42" s="815" t="s">
        <v>293</v>
      </c>
      <c r="H42" s="815" t="s">
        <v>293</v>
      </c>
    </row>
    <row r="43" spans="1:8" ht="15.75" customHeight="1">
      <c r="A43" s="661" t="s">
        <v>615</v>
      </c>
      <c r="B43" s="812">
        <v>4.0000000000000001E-3</v>
      </c>
      <c r="C43" s="815" t="s">
        <v>293</v>
      </c>
      <c r="D43" s="812">
        <v>2.9999999999999997E-4</v>
      </c>
      <c r="E43" s="812">
        <v>2.0000000000000001E-4</v>
      </c>
      <c r="F43" s="812">
        <v>2.0000000000000001E-4</v>
      </c>
      <c r="G43" s="815" t="s">
        <v>293</v>
      </c>
      <c r="H43" s="815" t="s">
        <v>293</v>
      </c>
    </row>
    <row r="44" spans="1:8" ht="24" customHeight="1">
      <c r="A44" s="803" t="s">
        <v>617</v>
      </c>
      <c r="B44" s="791"/>
      <c r="C44" s="791"/>
      <c r="D44" s="791"/>
      <c r="E44" s="791"/>
      <c r="F44" s="791"/>
      <c r="G44" s="791"/>
      <c r="H44" s="791"/>
    </row>
    <row r="45" spans="1:8" ht="15.75" customHeight="1">
      <c r="A45" s="728" t="s">
        <v>1130</v>
      </c>
      <c r="B45" s="812">
        <v>5</v>
      </c>
      <c r="C45" s="812">
        <v>5</v>
      </c>
      <c r="D45" s="812">
        <v>5</v>
      </c>
      <c r="E45" s="812">
        <v>5</v>
      </c>
      <c r="F45" s="812">
        <v>5</v>
      </c>
      <c r="G45" s="815" t="s">
        <v>293</v>
      </c>
      <c r="H45" s="815" t="s">
        <v>293</v>
      </c>
    </row>
    <row r="46" spans="1:8" ht="15.75" customHeight="1">
      <c r="A46" s="712" t="s">
        <v>868</v>
      </c>
      <c r="B46" s="815" t="s">
        <v>293</v>
      </c>
      <c r="C46" s="815" t="s">
        <v>293</v>
      </c>
      <c r="D46" s="815" t="s">
        <v>293</v>
      </c>
      <c r="E46" s="815" t="s">
        <v>293</v>
      </c>
      <c r="F46" s="815" t="s">
        <v>293</v>
      </c>
      <c r="G46" s="780" t="s">
        <v>867</v>
      </c>
      <c r="H46" s="776">
        <v>1.5</v>
      </c>
    </row>
    <row r="47" spans="1:8" ht="15.75" customHeight="1">
      <c r="A47" s="712" t="s">
        <v>618</v>
      </c>
      <c r="B47" s="788">
        <f>90*0.1</f>
        <v>9</v>
      </c>
      <c r="C47" s="788">
        <f>90*0.1</f>
        <v>9</v>
      </c>
      <c r="D47" s="788">
        <f>90*0.12</f>
        <v>10.799999999999999</v>
      </c>
      <c r="E47" s="788">
        <f>90*0.1</f>
        <v>9</v>
      </c>
      <c r="F47" s="776">
        <v>9</v>
      </c>
      <c r="G47" s="815" t="s">
        <v>293</v>
      </c>
      <c r="H47" s="780">
        <f>0.076*90</f>
        <v>6.84</v>
      </c>
    </row>
    <row r="48" spans="1:8" ht="15.75" customHeight="1">
      <c r="A48" s="661" t="s">
        <v>986</v>
      </c>
      <c r="B48" s="815" t="s">
        <v>293</v>
      </c>
      <c r="C48" s="815" t="s">
        <v>293</v>
      </c>
      <c r="D48" s="815" t="s">
        <v>293</v>
      </c>
      <c r="E48" s="815" t="s">
        <v>293</v>
      </c>
      <c r="F48" s="815" t="s">
        <v>293</v>
      </c>
      <c r="G48" s="815" t="s">
        <v>293</v>
      </c>
      <c r="H48" s="780">
        <v>47</v>
      </c>
    </row>
    <row r="49" spans="1:8" ht="15.75" customHeight="1">
      <c r="A49" s="712" t="s">
        <v>621</v>
      </c>
      <c r="B49" s="788">
        <v>3.25</v>
      </c>
      <c r="C49" s="788">
        <v>1.1000000000000001</v>
      </c>
      <c r="D49" s="788">
        <v>1.2</v>
      </c>
      <c r="E49" s="788">
        <v>1.1000000000000001</v>
      </c>
      <c r="F49" s="776">
        <v>1.1000000000000001</v>
      </c>
      <c r="G49" s="815" t="s">
        <v>293</v>
      </c>
      <c r="H49" s="780">
        <v>1.075</v>
      </c>
    </row>
    <row r="50" spans="1:8" ht="15.75" customHeight="1">
      <c r="A50" s="728" t="s">
        <v>622</v>
      </c>
      <c r="B50" s="788">
        <v>70</v>
      </c>
      <c r="C50" s="788">
        <v>50</v>
      </c>
      <c r="D50" s="788">
        <v>35</v>
      </c>
      <c r="E50" s="788">
        <v>50</v>
      </c>
      <c r="F50" s="776">
        <v>50</v>
      </c>
      <c r="G50" s="780">
        <v>142</v>
      </c>
      <c r="H50" s="780">
        <v>1125</v>
      </c>
    </row>
    <row r="51" spans="1:8" ht="15.75" customHeight="1">
      <c r="A51" s="776" t="s">
        <v>623</v>
      </c>
      <c r="B51" s="788">
        <v>320</v>
      </c>
      <c r="C51" s="788">
        <v>700</v>
      </c>
      <c r="D51" s="788">
        <v>1065</v>
      </c>
      <c r="E51" s="788">
        <v>525</v>
      </c>
      <c r="F51" s="776">
        <v>580</v>
      </c>
      <c r="G51" s="780">
        <v>1125</v>
      </c>
      <c r="H51" s="780">
        <v>1125</v>
      </c>
    </row>
    <row r="52" spans="1:8" ht="15.75" customHeight="1">
      <c r="A52" s="728" t="s">
        <v>985</v>
      </c>
      <c r="B52" s="788">
        <v>320</v>
      </c>
      <c r="C52" s="815" t="s">
        <v>293</v>
      </c>
      <c r="D52" s="815" t="s">
        <v>293</v>
      </c>
      <c r="E52" s="815" t="s">
        <v>293</v>
      </c>
      <c r="F52" s="815" t="s">
        <v>293</v>
      </c>
      <c r="G52" s="815" t="s">
        <v>293</v>
      </c>
      <c r="H52" s="815" t="s">
        <v>293</v>
      </c>
    </row>
    <row r="53" spans="1:8" ht="15.75" customHeight="1">
      <c r="A53" s="728" t="s">
        <v>625</v>
      </c>
      <c r="B53" s="788">
        <v>10</v>
      </c>
      <c r="C53" s="788">
        <v>9</v>
      </c>
      <c r="D53" s="788">
        <v>10</v>
      </c>
      <c r="E53" s="788">
        <v>5</v>
      </c>
      <c r="F53" s="776">
        <v>7</v>
      </c>
      <c r="G53" s="815" t="s">
        <v>293</v>
      </c>
      <c r="H53" s="815" t="s">
        <v>293</v>
      </c>
    </row>
    <row r="54" spans="1:8" ht="15.75" customHeight="1">
      <c r="A54" s="728" t="s">
        <v>984</v>
      </c>
      <c r="B54" s="815" t="s">
        <v>293</v>
      </c>
      <c r="C54" s="815" t="s">
        <v>293</v>
      </c>
      <c r="D54" s="815" t="s">
        <v>293</v>
      </c>
      <c r="E54" s="815" t="s">
        <v>293</v>
      </c>
      <c r="F54" s="815" t="s">
        <v>293</v>
      </c>
      <c r="G54" s="780">
        <v>7</v>
      </c>
      <c r="H54" s="815" t="s">
        <v>293</v>
      </c>
    </row>
    <row r="55" spans="1:8" ht="15.75" customHeight="1">
      <c r="A55" s="661" t="s">
        <v>629</v>
      </c>
      <c r="B55" s="788">
        <v>30</v>
      </c>
      <c r="C55" s="788">
        <v>30</v>
      </c>
      <c r="D55" s="788">
        <v>30</v>
      </c>
      <c r="E55" s="788">
        <v>30</v>
      </c>
      <c r="F55" s="776">
        <v>30</v>
      </c>
      <c r="G55" s="780">
        <v>1500</v>
      </c>
      <c r="H55" s="780">
        <v>30</v>
      </c>
    </row>
    <row r="56" spans="1:8" ht="15.75" customHeight="1">
      <c r="A56" s="776" t="s">
        <v>759</v>
      </c>
      <c r="B56" s="776">
        <v>10</v>
      </c>
      <c r="C56" s="788">
        <v>9</v>
      </c>
      <c r="D56" s="788">
        <v>10</v>
      </c>
      <c r="E56" s="788">
        <v>5</v>
      </c>
      <c r="F56" s="776">
        <v>7</v>
      </c>
      <c r="G56" s="788">
        <v>7</v>
      </c>
      <c r="H56" s="788">
        <v>7</v>
      </c>
    </row>
    <row r="57" spans="1:8" ht="15.75" customHeight="1">
      <c r="A57" s="728" t="s">
        <v>631</v>
      </c>
      <c r="B57" s="776">
        <v>10</v>
      </c>
      <c r="C57" s="788">
        <v>25</v>
      </c>
      <c r="D57" s="788">
        <v>42</v>
      </c>
      <c r="E57" s="788">
        <v>15</v>
      </c>
      <c r="F57" s="776">
        <v>15</v>
      </c>
      <c r="G57" s="815" t="s">
        <v>293</v>
      </c>
      <c r="H57" s="815" t="s">
        <v>293</v>
      </c>
    </row>
    <row r="58" spans="1:8" ht="15.75" customHeight="1">
      <c r="A58" s="728" t="s">
        <v>632</v>
      </c>
      <c r="B58" s="815" t="s">
        <v>293</v>
      </c>
      <c r="C58" s="788">
        <v>25</v>
      </c>
      <c r="D58" s="788">
        <v>42</v>
      </c>
      <c r="E58" s="788">
        <v>15</v>
      </c>
      <c r="F58" s="776">
        <v>17</v>
      </c>
      <c r="G58" s="788">
        <v>47</v>
      </c>
      <c r="H58" s="788">
        <v>47</v>
      </c>
    </row>
    <row r="59" spans="1:8" ht="15.75" customHeight="1">
      <c r="A59" s="661" t="s">
        <v>756</v>
      </c>
      <c r="B59" s="815" t="s">
        <v>293</v>
      </c>
      <c r="C59" s="815" t="s">
        <v>293</v>
      </c>
      <c r="D59" s="780" t="s">
        <v>1129</v>
      </c>
      <c r="E59" s="815" t="s">
        <v>293</v>
      </c>
      <c r="F59" s="815" t="s">
        <v>293</v>
      </c>
      <c r="G59" s="815" t="s">
        <v>293</v>
      </c>
      <c r="H59" s="815" t="s">
        <v>293</v>
      </c>
    </row>
    <row r="60" spans="1:8" ht="15.75" customHeight="1">
      <c r="A60" s="661" t="s">
        <v>756</v>
      </c>
      <c r="B60" s="815" t="s">
        <v>293</v>
      </c>
      <c r="C60" s="815" t="s">
        <v>293</v>
      </c>
      <c r="D60" s="780" t="s">
        <v>1128</v>
      </c>
      <c r="E60" s="815" t="s">
        <v>293</v>
      </c>
      <c r="F60" s="815" t="s">
        <v>293</v>
      </c>
      <c r="G60" s="815" t="s">
        <v>293</v>
      </c>
      <c r="H60" s="815" t="s">
        <v>293</v>
      </c>
    </row>
    <row r="61" spans="1:8" ht="15.75" customHeight="1">
      <c r="A61" s="661" t="s">
        <v>756</v>
      </c>
      <c r="B61" s="815" t="s">
        <v>293</v>
      </c>
      <c r="C61" s="815" t="s">
        <v>293</v>
      </c>
      <c r="D61" s="780" t="s">
        <v>1127</v>
      </c>
      <c r="E61" s="815" t="s">
        <v>293</v>
      </c>
      <c r="F61" s="815" t="s">
        <v>293</v>
      </c>
      <c r="G61" s="815" t="s">
        <v>293</v>
      </c>
      <c r="H61" s="815" t="s">
        <v>293</v>
      </c>
    </row>
    <row r="62" spans="1:8" ht="15.75" customHeight="1">
      <c r="A62" s="661" t="s">
        <v>756</v>
      </c>
      <c r="B62" s="815" t="s">
        <v>293</v>
      </c>
      <c r="C62" s="815" t="s">
        <v>293</v>
      </c>
      <c r="D62" s="780" t="s">
        <v>1126</v>
      </c>
      <c r="E62" s="815" t="s">
        <v>293</v>
      </c>
      <c r="F62" s="815" t="s">
        <v>293</v>
      </c>
      <c r="G62" s="815" t="s">
        <v>293</v>
      </c>
      <c r="H62" s="815" t="s">
        <v>293</v>
      </c>
    </row>
    <row r="63" spans="1:8" ht="12.75">
      <c r="A63" s="775" t="s">
        <v>864</v>
      </c>
      <c r="B63" s="790" t="s">
        <v>328</v>
      </c>
      <c r="C63" s="790" t="s">
        <v>328</v>
      </c>
      <c r="D63" s="790" t="s">
        <v>328</v>
      </c>
      <c r="E63" s="790" t="s">
        <v>328</v>
      </c>
      <c r="F63" s="815" t="s">
        <v>328</v>
      </c>
      <c r="G63" s="790" t="s">
        <v>324</v>
      </c>
      <c r="H63" s="790" t="s">
        <v>328</v>
      </c>
    </row>
    <row r="64" spans="1:8" ht="69" customHeight="1">
      <c r="A64" s="722" t="s">
        <v>635</v>
      </c>
      <c r="B64" s="838" t="s">
        <v>1125</v>
      </c>
      <c r="C64" s="788"/>
      <c r="D64" s="834"/>
      <c r="E64" s="788"/>
      <c r="F64" s="776"/>
      <c r="G64" s="773"/>
      <c r="H64" s="773"/>
    </row>
    <row r="65" spans="1:8" ht="59.25" customHeight="1">
      <c r="A65" s="776" t="s">
        <v>1124</v>
      </c>
      <c r="B65" s="774"/>
      <c r="C65" s="788"/>
      <c r="D65" s="788"/>
      <c r="E65" s="788"/>
      <c r="F65" s="776"/>
      <c r="G65" s="788"/>
      <c r="H65" s="788"/>
    </row>
    <row r="66" spans="1:8" ht="25.5">
      <c r="A66" s="776" t="s">
        <v>977</v>
      </c>
      <c r="B66" s="774"/>
      <c r="C66" s="774"/>
      <c r="D66" s="788"/>
      <c r="E66" s="774"/>
      <c r="F66" s="682"/>
      <c r="G66" s="788"/>
      <c r="H66" s="788"/>
    </row>
    <row r="67" spans="1:8" ht="12.75">
      <c r="A67" s="776"/>
      <c r="B67" s="774"/>
      <c r="C67" s="774"/>
      <c r="D67" s="788"/>
      <c r="E67" s="774"/>
      <c r="F67" s="682"/>
      <c r="G67" s="788"/>
      <c r="H67" s="788"/>
    </row>
    <row r="68" spans="1:8" ht="12.75">
      <c r="A68" s="776"/>
      <c r="B68" s="774"/>
      <c r="C68" s="774"/>
      <c r="D68" s="788"/>
      <c r="E68" s="774"/>
      <c r="F68" s="682"/>
      <c r="G68" s="788"/>
      <c r="H68" s="788"/>
    </row>
    <row r="69" spans="1:8" ht="12.75">
      <c r="A69" s="776"/>
      <c r="B69" s="774"/>
      <c r="C69" s="774"/>
      <c r="D69" s="788"/>
      <c r="E69" s="774"/>
      <c r="F69" s="682"/>
      <c r="G69" s="788"/>
      <c r="H69" s="788"/>
    </row>
    <row r="70" spans="1:8" ht="12.75">
      <c r="A70" s="776"/>
      <c r="B70" s="776"/>
      <c r="C70" s="774"/>
      <c r="D70" s="788"/>
      <c r="E70" s="774"/>
      <c r="F70" s="682"/>
      <c r="G70" s="788"/>
      <c r="H70" s="788"/>
    </row>
    <row r="71" spans="1:8" ht="12.75">
      <c r="A71" s="776"/>
      <c r="B71" s="776"/>
      <c r="C71" s="774"/>
      <c r="D71" s="788"/>
      <c r="E71" s="774"/>
      <c r="F71" s="682"/>
      <c r="G71" s="788"/>
      <c r="H71" s="788"/>
    </row>
  </sheetData>
  <conditionalFormatting sqref="A1:H1 A3:H7 A9:H19 A21:H31 A33:H43 A45:H71">
    <cfRule type="expression" dxfId="32" priority="1">
      <formula>ISODD(COLUMN())</formula>
    </cfRule>
    <cfRule type="expression" dxfId="31" priority="2">
      <formula>ISEVEN(COLUMN())</formula>
    </cfRule>
  </conditionalFormatting>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0B5F5-9AB4-4FAD-9B34-18BF21C51095}">
  <sheetPr>
    <tabColor rgb="FFBF9000"/>
    <outlinePr summaryBelow="0" summaryRight="0"/>
  </sheetPr>
  <dimension ref="A1:L72"/>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12" width="16.7109375" customWidth="1"/>
  </cols>
  <sheetData>
    <row r="1" spans="1:12" ht="35.25" customHeight="1">
      <c r="A1" s="811" t="s">
        <v>551</v>
      </c>
      <c r="B1" s="655" t="s">
        <v>1160</v>
      </c>
      <c r="C1" s="655" t="s">
        <v>1159</v>
      </c>
      <c r="D1" s="841" t="s">
        <v>1158</v>
      </c>
      <c r="E1" s="828" t="s">
        <v>1157</v>
      </c>
      <c r="F1" s="655" t="s">
        <v>1156</v>
      </c>
      <c r="G1" s="840" t="s">
        <v>1155</v>
      </c>
      <c r="H1" s="653" t="s">
        <v>1154</v>
      </c>
      <c r="I1" s="655" t="s">
        <v>1153</v>
      </c>
      <c r="J1" s="655" t="s">
        <v>1152</v>
      </c>
      <c r="K1" s="653" t="s">
        <v>1151</v>
      </c>
      <c r="L1" s="655" t="s">
        <v>1150</v>
      </c>
    </row>
    <row r="2" spans="1:12" ht="84" customHeight="1">
      <c r="A2" s="810" t="s">
        <v>562</v>
      </c>
      <c r="B2" s="659"/>
      <c r="C2" s="660"/>
      <c r="D2" s="660"/>
      <c r="E2" s="660"/>
      <c r="F2" s="660"/>
      <c r="G2" s="660"/>
      <c r="H2" s="659"/>
      <c r="I2" s="660"/>
      <c r="J2" s="660"/>
      <c r="K2" s="660"/>
      <c r="L2" s="660"/>
    </row>
    <row r="3" spans="1:12" ht="15.75" customHeight="1">
      <c r="A3" s="776" t="s">
        <v>563</v>
      </c>
      <c r="B3" s="812">
        <v>126.3</v>
      </c>
      <c r="C3" s="776">
        <v>33.5</v>
      </c>
      <c r="D3" s="788">
        <v>41.6</v>
      </c>
      <c r="E3" s="776">
        <v>41.6</v>
      </c>
      <c r="F3" s="776">
        <v>167</v>
      </c>
      <c r="G3" s="776">
        <v>72.5</v>
      </c>
      <c r="H3" s="780">
        <v>165</v>
      </c>
      <c r="I3" s="776">
        <v>65</v>
      </c>
      <c r="J3" s="776">
        <v>65</v>
      </c>
      <c r="K3" s="788">
        <v>77</v>
      </c>
      <c r="L3" s="776">
        <v>73</v>
      </c>
    </row>
    <row r="4" spans="1:12" ht="15.75" customHeight="1">
      <c r="A4" s="728" t="s">
        <v>564</v>
      </c>
      <c r="B4" s="812">
        <v>95</v>
      </c>
      <c r="C4" s="812">
        <v>27.93</v>
      </c>
      <c r="D4" s="780">
        <v>18.5</v>
      </c>
      <c r="E4" s="812">
        <v>18.5</v>
      </c>
      <c r="F4" s="812">
        <v>108.1</v>
      </c>
      <c r="G4" s="812">
        <v>28</v>
      </c>
      <c r="H4" s="780">
        <v>106.1</v>
      </c>
      <c r="I4" s="812">
        <v>50.3</v>
      </c>
      <c r="J4" s="812">
        <v>50.3</v>
      </c>
      <c r="K4" s="780">
        <v>57.5</v>
      </c>
      <c r="L4" s="812">
        <v>39.75</v>
      </c>
    </row>
    <row r="5" spans="1:12" ht="15.75" customHeight="1">
      <c r="A5" s="728" t="s">
        <v>565</v>
      </c>
      <c r="B5" s="812">
        <v>76</v>
      </c>
      <c r="C5" s="812">
        <v>23.68</v>
      </c>
      <c r="D5" s="815" t="s">
        <v>293</v>
      </c>
      <c r="E5" s="815" t="s">
        <v>293</v>
      </c>
      <c r="F5" s="812">
        <v>82.3</v>
      </c>
      <c r="G5" s="815" t="s">
        <v>293</v>
      </c>
      <c r="H5" s="780">
        <v>80.319999999999993</v>
      </c>
      <c r="I5" s="812">
        <v>38.1</v>
      </c>
      <c r="J5" s="812">
        <v>38.1</v>
      </c>
      <c r="K5" s="780">
        <v>45.3</v>
      </c>
      <c r="L5" s="815" t="s">
        <v>293</v>
      </c>
    </row>
    <row r="6" spans="1:12" ht="15.75" customHeight="1">
      <c r="A6" s="776" t="s">
        <v>566</v>
      </c>
      <c r="B6" s="812">
        <v>209.6</v>
      </c>
      <c r="C6" s="776">
        <v>130</v>
      </c>
      <c r="D6" s="788">
        <v>76</v>
      </c>
      <c r="E6" s="776">
        <v>76</v>
      </c>
      <c r="F6" s="776">
        <v>239</v>
      </c>
      <c r="G6" s="776">
        <v>90</v>
      </c>
      <c r="H6" s="780">
        <v>239</v>
      </c>
      <c r="I6" s="776">
        <v>163</v>
      </c>
      <c r="J6" s="776">
        <v>163</v>
      </c>
      <c r="K6" s="788">
        <v>163</v>
      </c>
      <c r="L6" s="776">
        <v>165</v>
      </c>
    </row>
    <row r="7" spans="1:12" ht="15.75" customHeight="1">
      <c r="A7" s="776" t="s">
        <v>567</v>
      </c>
      <c r="B7" s="812">
        <v>3.1579999999999999</v>
      </c>
      <c r="C7" s="776">
        <v>1.613</v>
      </c>
      <c r="D7" s="788">
        <v>1.5</v>
      </c>
      <c r="E7" s="776">
        <v>1.5</v>
      </c>
      <c r="F7" s="776">
        <v>2.8980000000000001</v>
      </c>
      <c r="G7" s="776">
        <v>1.85</v>
      </c>
      <c r="H7" s="780">
        <v>2.8980000000000001</v>
      </c>
      <c r="I7" s="776">
        <v>2.44</v>
      </c>
      <c r="J7" s="776">
        <v>2.44</v>
      </c>
      <c r="K7" s="776">
        <v>2.44</v>
      </c>
      <c r="L7" s="776">
        <v>2.35</v>
      </c>
    </row>
    <row r="8" spans="1:12" ht="20.25" customHeight="1">
      <c r="A8" s="809" t="s">
        <v>568</v>
      </c>
      <c r="B8" s="673"/>
      <c r="C8" s="794"/>
      <c r="D8" s="794"/>
      <c r="E8" s="794"/>
      <c r="F8" s="794"/>
      <c r="G8" s="794"/>
      <c r="H8" s="673"/>
      <c r="I8" s="794"/>
      <c r="J8" s="794"/>
      <c r="K8" s="794"/>
      <c r="L8" s="794"/>
    </row>
    <row r="9" spans="1:12" ht="15.75" customHeight="1">
      <c r="A9" s="776" t="s">
        <v>569</v>
      </c>
      <c r="B9" s="812">
        <v>18600</v>
      </c>
      <c r="C9" s="776">
        <v>6480</v>
      </c>
      <c r="D9" s="788">
        <v>10380</v>
      </c>
      <c r="E9" s="776">
        <v>10380</v>
      </c>
      <c r="F9" s="776">
        <v>32370</v>
      </c>
      <c r="G9" s="776">
        <v>25932.95</v>
      </c>
      <c r="H9" s="780">
        <v>32370</v>
      </c>
      <c r="I9" s="776">
        <v>17440</v>
      </c>
      <c r="J9" s="776">
        <v>17440</v>
      </c>
      <c r="K9" s="788">
        <v>19915</v>
      </c>
      <c r="L9" s="776">
        <v>22325</v>
      </c>
    </row>
    <row r="10" spans="1:12" ht="16.5" customHeight="1">
      <c r="A10" s="776" t="s">
        <v>570</v>
      </c>
      <c r="B10" s="812">
        <v>3.7</v>
      </c>
      <c r="C10" s="776">
        <v>2</v>
      </c>
      <c r="D10" s="788">
        <v>2.6</v>
      </c>
      <c r="E10" s="776">
        <v>2.6</v>
      </c>
      <c r="F10" s="776">
        <v>4</v>
      </c>
      <c r="G10" s="776">
        <v>2.4</v>
      </c>
      <c r="H10" s="780">
        <v>4</v>
      </c>
      <c r="I10" s="776">
        <v>1.7</v>
      </c>
      <c r="J10" s="776">
        <v>1.7</v>
      </c>
      <c r="K10" s="788">
        <v>2</v>
      </c>
      <c r="L10" s="776">
        <v>3.5</v>
      </c>
    </row>
    <row r="11" spans="1:12" ht="15.75" customHeight="1">
      <c r="A11" s="776" t="str">
        <f>"Raw acceleration at ignition: [m/s"&amp;CHAR(178)&amp;"]"</f>
        <v>Raw acceleration at ignition: [m/s²]</v>
      </c>
      <c r="B11" s="806">
        <f t="shared" ref="B11:L11" si="0">B9/B3</f>
        <v>147.26840855106889</v>
      </c>
      <c r="C11" s="818">
        <f t="shared" si="0"/>
        <v>193.43283582089552</v>
      </c>
      <c r="D11" s="793">
        <f t="shared" si="0"/>
        <v>249.51923076923077</v>
      </c>
      <c r="E11" s="818">
        <f t="shared" si="0"/>
        <v>249.51923076923077</v>
      </c>
      <c r="F11" s="818">
        <f t="shared" si="0"/>
        <v>193.8323353293413</v>
      </c>
      <c r="G11" s="818">
        <f t="shared" si="0"/>
        <v>357.69586206896554</v>
      </c>
      <c r="H11" s="777">
        <f t="shared" si="0"/>
        <v>196.18181818181819</v>
      </c>
      <c r="I11" s="818">
        <f t="shared" si="0"/>
        <v>268.30769230769232</v>
      </c>
      <c r="J11" s="818">
        <f t="shared" si="0"/>
        <v>268.30769230769232</v>
      </c>
      <c r="K11" s="793">
        <f t="shared" si="0"/>
        <v>258.63636363636363</v>
      </c>
      <c r="L11" s="818">
        <f t="shared" si="0"/>
        <v>305.82191780821915</v>
      </c>
    </row>
    <row r="12" spans="1:12" ht="15.75" customHeight="1">
      <c r="A12" s="728" t="s">
        <v>571</v>
      </c>
      <c r="B12" s="679">
        <f t="shared" ref="B12:L12" si="1">B10*B9/(9.81*(B3-B4))</f>
        <v>224.13068753602798</v>
      </c>
      <c r="C12" s="781">
        <f t="shared" si="1"/>
        <v>237.18149325515125</v>
      </c>
      <c r="D12" s="781">
        <f t="shared" si="1"/>
        <v>119.09395395633926</v>
      </c>
      <c r="E12" s="781">
        <f t="shared" si="1"/>
        <v>119.09395395633926</v>
      </c>
      <c r="F12" s="781">
        <f t="shared" si="1"/>
        <v>224.08789063514064</v>
      </c>
      <c r="G12" s="781">
        <f t="shared" si="1"/>
        <v>142.57196852558155</v>
      </c>
      <c r="H12" s="676">
        <f t="shared" si="1"/>
        <v>224.08789063514064</v>
      </c>
      <c r="I12" s="781">
        <f t="shared" si="1"/>
        <v>205.59334845049128</v>
      </c>
      <c r="J12" s="781">
        <f t="shared" si="1"/>
        <v>205.59334845049128</v>
      </c>
      <c r="K12" s="781">
        <f t="shared" si="1"/>
        <v>208.21244674455681</v>
      </c>
      <c r="L12" s="781">
        <f t="shared" si="1"/>
        <v>239.55147808358817</v>
      </c>
    </row>
    <row r="13" spans="1:12" ht="15.75" customHeight="1">
      <c r="A13" s="661" t="s">
        <v>572</v>
      </c>
      <c r="B13" s="679">
        <f t="shared" ref="B13:L13" si="2">B12*9.81*LN(B3/B4)</f>
        <v>626.15896295084201</v>
      </c>
      <c r="C13" s="678">
        <f t="shared" si="2"/>
        <v>423.10574560254952</v>
      </c>
      <c r="D13" s="678">
        <f t="shared" si="2"/>
        <v>946.71735050723555</v>
      </c>
      <c r="E13" s="678">
        <f t="shared" si="2"/>
        <v>946.71735050723555</v>
      </c>
      <c r="F13" s="678">
        <f t="shared" si="2"/>
        <v>956.12316001130375</v>
      </c>
      <c r="G13" s="678">
        <f t="shared" si="2"/>
        <v>1330.6324410205241</v>
      </c>
      <c r="H13" s="676">
        <f t="shared" si="2"/>
        <v>970.68985897754976</v>
      </c>
      <c r="I13" s="678">
        <f t="shared" si="2"/>
        <v>517.08974502287401</v>
      </c>
      <c r="J13" s="678">
        <f t="shared" si="2"/>
        <v>517.08974502287401</v>
      </c>
      <c r="K13" s="678">
        <f t="shared" si="2"/>
        <v>596.47053750905638</v>
      </c>
      <c r="L13" s="678">
        <f t="shared" si="2"/>
        <v>1428.446560112918</v>
      </c>
    </row>
    <row r="14" spans="1:12" ht="15.75" customHeight="1">
      <c r="A14" s="836" t="s">
        <v>573</v>
      </c>
      <c r="B14" s="790" t="s">
        <v>293</v>
      </c>
      <c r="C14" s="678">
        <v>0.05</v>
      </c>
      <c r="D14" s="790" t="s">
        <v>293</v>
      </c>
      <c r="E14" s="790" t="s">
        <v>293</v>
      </c>
      <c r="F14" s="678">
        <v>0.75</v>
      </c>
      <c r="G14" s="815" t="s">
        <v>293</v>
      </c>
      <c r="H14" s="676">
        <v>0.75</v>
      </c>
      <c r="I14" s="815" t="s">
        <v>293</v>
      </c>
      <c r="J14" s="815" t="s">
        <v>293</v>
      </c>
      <c r="K14" s="815" t="s">
        <v>293</v>
      </c>
      <c r="L14" s="815" t="s">
        <v>293</v>
      </c>
    </row>
    <row r="15" spans="1:12" ht="16.5" customHeight="1">
      <c r="A15" s="776" t="s">
        <v>574</v>
      </c>
      <c r="B15" s="812">
        <v>2770</v>
      </c>
      <c r="C15" s="812">
        <v>3070</v>
      </c>
      <c r="D15" s="790" t="s">
        <v>293</v>
      </c>
      <c r="E15" s="815" t="s">
        <v>293</v>
      </c>
      <c r="F15" s="812">
        <v>7100</v>
      </c>
      <c r="G15" s="815" t="s">
        <v>293</v>
      </c>
      <c r="H15" s="780">
        <v>7100</v>
      </c>
      <c r="I15" s="776">
        <v>1960</v>
      </c>
      <c r="J15" s="776">
        <v>1960</v>
      </c>
      <c r="K15" s="788">
        <v>1620</v>
      </c>
      <c r="L15" s="815" t="s">
        <v>293</v>
      </c>
    </row>
    <row r="16" spans="1:12" ht="18" customHeight="1">
      <c r="A16" s="776" t="s">
        <v>575</v>
      </c>
      <c r="B16" s="812">
        <v>13.5</v>
      </c>
      <c r="C16" s="812">
        <v>3</v>
      </c>
      <c r="D16" s="790" t="s">
        <v>293</v>
      </c>
      <c r="E16" s="815" t="s">
        <v>293</v>
      </c>
      <c r="F16" s="812">
        <v>8</v>
      </c>
      <c r="G16" s="815" t="s">
        <v>293</v>
      </c>
      <c r="H16" s="780">
        <v>8</v>
      </c>
      <c r="I16" s="776">
        <v>12.1</v>
      </c>
      <c r="J16" s="776">
        <v>12.1</v>
      </c>
      <c r="K16" s="788">
        <v>15</v>
      </c>
      <c r="L16" s="815" t="s">
        <v>293</v>
      </c>
    </row>
    <row r="17" spans="1:12" ht="18" customHeight="1">
      <c r="A17" s="728" t="s">
        <v>576</v>
      </c>
      <c r="B17" s="806">
        <f>B16*B15/(9.81*(B4-B5))</f>
        <v>200.62771607918879</v>
      </c>
      <c r="C17" s="777">
        <f>C16*C15/(9.81*(C4-C5))</f>
        <v>220.90304011512862</v>
      </c>
      <c r="D17" s="790" t="s">
        <v>293</v>
      </c>
      <c r="E17" s="815" t="s">
        <v>293</v>
      </c>
      <c r="F17" s="777">
        <f>F16*F15/(9.81*(F4-F5))</f>
        <v>224.4189997550356</v>
      </c>
      <c r="G17" s="815" t="s">
        <v>293</v>
      </c>
      <c r="H17" s="777">
        <f>H16*H15/(9.81*(H4-H5))</f>
        <v>224.5931029356058</v>
      </c>
      <c r="I17" s="777">
        <f>I16*I15/(9.81*(I4-I5))</f>
        <v>198.15845323440456</v>
      </c>
      <c r="J17" s="777">
        <f>J16*J15/(9.81*(J4-J5))</f>
        <v>198.15845323440456</v>
      </c>
      <c r="K17" s="777">
        <f>K16*K15/(9.81*(K4-K5))</f>
        <v>203.03805083471192</v>
      </c>
      <c r="L17" s="815" t="s">
        <v>293</v>
      </c>
    </row>
    <row r="18" spans="1:12" ht="18" customHeight="1">
      <c r="A18" s="728" t="s">
        <v>577</v>
      </c>
      <c r="B18" s="806">
        <f>B17*9.81*LN(B4/B5)</f>
        <v>439.18174217867761</v>
      </c>
      <c r="C18" s="777">
        <f>C17*9.81*LN(C4/C5)</f>
        <v>357.71763509628067</v>
      </c>
      <c r="D18" s="815" t="s">
        <v>293</v>
      </c>
      <c r="E18" s="815" t="s">
        <v>293</v>
      </c>
      <c r="F18" s="777">
        <f>F17*9.81*LN(F4/F5)</f>
        <v>600.33112571509537</v>
      </c>
      <c r="G18" s="815" t="s">
        <v>293</v>
      </c>
      <c r="H18" s="777">
        <f>H17*9.81*LN(H4/H5)</f>
        <v>613.30645979931137</v>
      </c>
      <c r="I18" s="777">
        <f>I17*9.81*LN(I4/I5)</f>
        <v>540.00708963775196</v>
      </c>
      <c r="J18" s="777">
        <f>J17*9.81*LN(J4/J5)</f>
        <v>540.00708963775196</v>
      </c>
      <c r="K18" s="777">
        <f>K17*9.81*LN(K4/K5)</f>
        <v>475.00109361785974</v>
      </c>
      <c r="L18" s="815" t="s">
        <v>293</v>
      </c>
    </row>
    <row r="19" spans="1:12" ht="18" customHeight="1">
      <c r="A19" s="728" t="s">
        <v>578</v>
      </c>
      <c r="B19" s="679">
        <f t="shared" ref="B19:L19" si="3">IF(ISNUMBER(B18),B13+B18,B13)</f>
        <v>1065.3407051295196</v>
      </c>
      <c r="C19" s="692">
        <f t="shared" si="3"/>
        <v>780.82338069883019</v>
      </c>
      <c r="D19" s="692">
        <f t="shared" si="3"/>
        <v>946.71735050723555</v>
      </c>
      <c r="E19" s="692">
        <f t="shared" si="3"/>
        <v>946.71735050723555</v>
      </c>
      <c r="F19" s="692">
        <f t="shared" si="3"/>
        <v>1556.4542857263991</v>
      </c>
      <c r="G19" s="692">
        <f t="shared" si="3"/>
        <v>1330.6324410205241</v>
      </c>
      <c r="H19" s="676">
        <f t="shared" si="3"/>
        <v>1583.9963187768612</v>
      </c>
      <c r="I19" s="692">
        <f t="shared" si="3"/>
        <v>1057.096834660626</v>
      </c>
      <c r="J19" s="692">
        <f t="shared" si="3"/>
        <v>1057.096834660626</v>
      </c>
      <c r="K19" s="692">
        <f t="shared" si="3"/>
        <v>1071.4716311269162</v>
      </c>
      <c r="L19" s="692">
        <f t="shared" si="3"/>
        <v>1428.446560112918</v>
      </c>
    </row>
    <row r="20" spans="1:12" ht="20.25" customHeight="1">
      <c r="A20" s="817" t="s">
        <v>579</v>
      </c>
      <c r="B20" s="697"/>
      <c r="C20" s="792"/>
      <c r="D20" s="792"/>
      <c r="E20" s="792"/>
      <c r="F20" s="792"/>
      <c r="G20" s="792"/>
      <c r="H20" s="697"/>
      <c r="I20" s="792"/>
      <c r="J20" s="792"/>
      <c r="K20" s="792"/>
      <c r="L20" s="792"/>
    </row>
    <row r="21" spans="1:12" ht="15.75" customHeight="1">
      <c r="A21" s="776" t="s">
        <v>580</v>
      </c>
      <c r="B21" s="812">
        <f>1.54*5.38</f>
        <v>8.2851999999999997</v>
      </c>
      <c r="C21" s="788">
        <f>1.54*4</f>
        <v>6.16</v>
      </c>
      <c r="D21" s="788">
        <f>1.54*3</f>
        <v>4.62</v>
      </c>
      <c r="E21" s="788">
        <f>1.54*3</f>
        <v>4.62</v>
      </c>
      <c r="F21" s="788">
        <f>1.54*5.3</f>
        <v>8.161999999999999</v>
      </c>
      <c r="G21" s="788">
        <f>1.54*5.5</f>
        <v>8.4700000000000006</v>
      </c>
      <c r="H21" s="780">
        <f>1.54*5.3</f>
        <v>8.161999999999999</v>
      </c>
      <c r="I21" s="788">
        <f>1.31*3.5</f>
        <v>4.585</v>
      </c>
      <c r="J21" s="788">
        <f>1.31*3.5</f>
        <v>4.585</v>
      </c>
      <c r="K21" s="788">
        <f>1.31*5.2</f>
        <v>6.8120000000000003</v>
      </c>
      <c r="L21" s="788">
        <f>1.31*6</f>
        <v>7.86</v>
      </c>
    </row>
    <row r="22" spans="1:12" ht="15.75" customHeight="1">
      <c r="A22" s="775" t="s">
        <v>764</v>
      </c>
      <c r="B22" s="815" t="s">
        <v>763</v>
      </c>
      <c r="C22" s="815" t="s">
        <v>763</v>
      </c>
      <c r="D22" s="815" t="s">
        <v>763</v>
      </c>
      <c r="E22" s="815" t="s">
        <v>763</v>
      </c>
      <c r="F22" s="815" t="s">
        <v>763</v>
      </c>
      <c r="G22" s="815" t="s">
        <v>763</v>
      </c>
      <c r="H22" s="815" t="s">
        <v>763</v>
      </c>
      <c r="I22" s="815" t="s">
        <v>763</v>
      </c>
      <c r="J22" s="815" t="s">
        <v>763</v>
      </c>
      <c r="K22" s="815" t="s">
        <v>763</v>
      </c>
      <c r="L22" s="815" t="s">
        <v>763</v>
      </c>
    </row>
    <row r="23" spans="1:12" ht="15.75" customHeight="1">
      <c r="A23" s="776" t="s">
        <v>762</v>
      </c>
      <c r="B23" s="812">
        <v>60.285200000000003</v>
      </c>
      <c r="C23" s="776">
        <v>50.8</v>
      </c>
      <c r="D23" s="788">
        <v>39.049999999999997</v>
      </c>
      <c r="E23" s="776">
        <v>39.049999999999997</v>
      </c>
      <c r="F23" s="776">
        <v>60.161999999999999</v>
      </c>
      <c r="G23" s="776">
        <v>60.47</v>
      </c>
      <c r="H23" s="780">
        <v>60.161999999999999</v>
      </c>
      <c r="I23" s="776">
        <v>38.962499999999999</v>
      </c>
      <c r="J23" s="776">
        <v>38.962499999999999</v>
      </c>
      <c r="K23" s="788">
        <v>54.06</v>
      </c>
      <c r="L23" s="776">
        <v>59.3</v>
      </c>
    </row>
    <row r="24" spans="1:12" ht="15.75" customHeight="1">
      <c r="A24" s="775" t="s">
        <v>581</v>
      </c>
      <c r="B24" s="815" t="s">
        <v>328</v>
      </c>
      <c r="C24" s="815" t="s">
        <v>328</v>
      </c>
      <c r="D24" s="790" t="s">
        <v>328</v>
      </c>
      <c r="E24" s="815" t="s">
        <v>328</v>
      </c>
      <c r="F24" s="815" t="s">
        <v>328</v>
      </c>
      <c r="G24" s="815" t="s">
        <v>328</v>
      </c>
      <c r="H24" s="790" t="s">
        <v>328</v>
      </c>
      <c r="I24" s="815" t="s">
        <v>328</v>
      </c>
      <c r="J24" s="815" t="s">
        <v>328</v>
      </c>
      <c r="K24" s="790" t="s">
        <v>328</v>
      </c>
      <c r="L24" s="815" t="s">
        <v>328</v>
      </c>
    </row>
    <row r="25" spans="1:12" ht="15.75" customHeight="1">
      <c r="A25" s="776" t="s">
        <v>582</v>
      </c>
      <c r="B25" s="812">
        <v>12</v>
      </c>
      <c r="C25" s="776">
        <v>4</v>
      </c>
      <c r="D25" s="788">
        <v>5</v>
      </c>
      <c r="E25" s="776">
        <v>5</v>
      </c>
      <c r="F25" s="776">
        <v>8</v>
      </c>
      <c r="G25" s="776">
        <v>9</v>
      </c>
      <c r="H25" s="780">
        <v>8</v>
      </c>
      <c r="I25" s="776">
        <v>6</v>
      </c>
      <c r="J25" s="776">
        <v>6</v>
      </c>
      <c r="K25" s="788">
        <v>6</v>
      </c>
      <c r="L25" s="776">
        <v>8</v>
      </c>
    </row>
    <row r="26" spans="1:12" ht="15.75" customHeight="1">
      <c r="A26" s="776" t="s">
        <v>931</v>
      </c>
      <c r="B26" s="812">
        <v>300</v>
      </c>
      <c r="C26" s="776">
        <v>300</v>
      </c>
      <c r="D26" s="788">
        <v>300</v>
      </c>
      <c r="E26" s="776">
        <v>300</v>
      </c>
      <c r="F26" s="776">
        <v>300</v>
      </c>
      <c r="G26" s="776">
        <v>300</v>
      </c>
      <c r="H26" s="780">
        <v>300</v>
      </c>
      <c r="I26" s="776">
        <v>300</v>
      </c>
      <c r="J26" s="776">
        <v>300</v>
      </c>
      <c r="K26" s="788">
        <v>300</v>
      </c>
      <c r="L26" s="776">
        <v>300</v>
      </c>
    </row>
    <row r="27" spans="1:12" ht="15.75" customHeight="1">
      <c r="A27" s="775" t="s">
        <v>583</v>
      </c>
      <c r="B27" s="815" t="s">
        <v>328</v>
      </c>
      <c r="C27" s="790" t="s">
        <v>328</v>
      </c>
      <c r="D27" s="790" t="s">
        <v>328</v>
      </c>
      <c r="E27" s="790" t="s">
        <v>328</v>
      </c>
      <c r="F27" s="790" t="s">
        <v>328</v>
      </c>
      <c r="G27" s="790" t="s">
        <v>328</v>
      </c>
      <c r="H27" s="790" t="s">
        <v>328</v>
      </c>
      <c r="I27" s="790" t="s">
        <v>328</v>
      </c>
      <c r="J27" s="790" t="s">
        <v>328</v>
      </c>
      <c r="K27" s="790" t="s">
        <v>328</v>
      </c>
      <c r="L27" s="790" t="s">
        <v>328</v>
      </c>
    </row>
    <row r="28" spans="1:12" ht="15.75" customHeight="1">
      <c r="A28" s="775" t="s">
        <v>930</v>
      </c>
      <c r="B28" s="812">
        <v>25</v>
      </c>
      <c r="C28" s="812">
        <v>25</v>
      </c>
      <c r="D28" s="780">
        <v>25</v>
      </c>
      <c r="E28" s="812">
        <v>25</v>
      </c>
      <c r="F28" s="812">
        <v>25</v>
      </c>
      <c r="G28" s="812">
        <v>25</v>
      </c>
      <c r="H28" s="780">
        <v>25</v>
      </c>
      <c r="I28" s="812">
        <v>25</v>
      </c>
      <c r="J28" s="812">
        <v>25</v>
      </c>
      <c r="K28" s="780">
        <v>25</v>
      </c>
      <c r="L28" s="812">
        <v>25</v>
      </c>
    </row>
    <row r="29" spans="1:12" ht="15.75" customHeight="1">
      <c r="A29" s="728" t="s">
        <v>584</v>
      </c>
      <c r="B29" s="815" t="s">
        <v>293</v>
      </c>
      <c r="C29" s="815" t="s">
        <v>293</v>
      </c>
      <c r="D29" s="815" t="s">
        <v>293</v>
      </c>
      <c r="E29" s="815" t="s">
        <v>293</v>
      </c>
      <c r="F29" s="815" t="s">
        <v>293</v>
      </c>
      <c r="G29" s="815" t="s">
        <v>293</v>
      </c>
      <c r="H29" s="790" t="s">
        <v>293</v>
      </c>
      <c r="I29" s="815" t="s">
        <v>293</v>
      </c>
      <c r="J29" s="815" t="s">
        <v>293</v>
      </c>
      <c r="K29" s="815" t="s">
        <v>293</v>
      </c>
      <c r="L29" s="815" t="s">
        <v>293</v>
      </c>
    </row>
    <row r="30" spans="1:12" ht="15.75" customHeight="1">
      <c r="A30" s="661" t="s">
        <v>761</v>
      </c>
      <c r="B30" s="812">
        <v>0.1</v>
      </c>
      <c r="C30" s="812">
        <v>0.1</v>
      </c>
      <c r="D30" s="780">
        <v>0.3</v>
      </c>
      <c r="E30" s="812">
        <v>0.3</v>
      </c>
      <c r="F30" s="812">
        <v>0.3</v>
      </c>
      <c r="G30" s="812">
        <v>0.3</v>
      </c>
      <c r="H30" s="812">
        <v>0.3</v>
      </c>
      <c r="I30" s="812">
        <v>0.1</v>
      </c>
      <c r="J30" s="812">
        <v>0.1</v>
      </c>
      <c r="K30" s="812">
        <v>0.1</v>
      </c>
      <c r="L30" s="812">
        <v>0.3</v>
      </c>
    </row>
    <row r="31" spans="1:12" ht="15.75" customHeight="1">
      <c r="A31" s="661" t="s">
        <v>760</v>
      </c>
      <c r="B31" s="812">
        <v>1</v>
      </c>
      <c r="C31" s="812">
        <v>0.05</v>
      </c>
      <c r="D31" s="780">
        <v>1</v>
      </c>
      <c r="E31" s="812">
        <v>1</v>
      </c>
      <c r="F31" s="812">
        <v>1</v>
      </c>
      <c r="G31" s="812">
        <v>1</v>
      </c>
      <c r="H31" s="812">
        <v>1</v>
      </c>
      <c r="I31" s="812">
        <v>1</v>
      </c>
      <c r="J31" s="812">
        <v>1</v>
      </c>
      <c r="K31" s="812">
        <v>1</v>
      </c>
      <c r="L31" s="812">
        <v>1</v>
      </c>
    </row>
    <row r="32" spans="1:12" ht="20.25" customHeight="1">
      <c r="A32" s="839" t="s">
        <v>585</v>
      </c>
      <c r="B32" s="702"/>
      <c r="C32" s="816"/>
      <c r="D32" s="816"/>
      <c r="E32" s="816"/>
      <c r="F32" s="816"/>
      <c r="G32" s="816"/>
      <c r="H32" s="702"/>
      <c r="I32" s="816"/>
      <c r="J32" s="816"/>
      <c r="K32" s="816"/>
      <c r="L32" s="816"/>
    </row>
    <row r="33" spans="1:12" ht="15.75" customHeight="1">
      <c r="A33" s="837" t="s">
        <v>586</v>
      </c>
      <c r="B33" s="670" t="s">
        <v>874</v>
      </c>
      <c r="C33" s="670" t="s">
        <v>874</v>
      </c>
      <c r="D33" s="670" t="s">
        <v>874</v>
      </c>
      <c r="E33" s="670" t="s">
        <v>874</v>
      </c>
      <c r="F33" s="670" t="s">
        <v>874</v>
      </c>
      <c r="G33" s="670" t="s">
        <v>874</v>
      </c>
      <c r="H33" s="668" t="s">
        <v>874</v>
      </c>
      <c r="I33" s="670" t="s">
        <v>874</v>
      </c>
      <c r="J33" s="670" t="s">
        <v>874</v>
      </c>
      <c r="K33" s="670" t="s">
        <v>874</v>
      </c>
      <c r="L33" s="670" t="s">
        <v>874</v>
      </c>
    </row>
    <row r="34" spans="1:12" ht="15.75" customHeight="1">
      <c r="A34" s="728" t="s">
        <v>587</v>
      </c>
      <c r="B34" s="815" t="s">
        <v>293</v>
      </c>
      <c r="C34" s="664">
        <v>0.15</v>
      </c>
      <c r="D34" s="815" t="s">
        <v>293</v>
      </c>
      <c r="E34" s="815" t="s">
        <v>293</v>
      </c>
      <c r="F34" s="664">
        <v>2.1</v>
      </c>
      <c r="G34" s="815" t="s">
        <v>293</v>
      </c>
      <c r="H34" s="662">
        <v>2.1</v>
      </c>
      <c r="I34" s="815" t="s">
        <v>293</v>
      </c>
      <c r="J34" s="815" t="s">
        <v>293</v>
      </c>
      <c r="K34" s="815" t="s">
        <v>293</v>
      </c>
      <c r="L34" s="815" t="s">
        <v>293</v>
      </c>
    </row>
    <row r="35" spans="1:12" ht="15.75" customHeight="1">
      <c r="A35" s="837" t="s">
        <v>588</v>
      </c>
      <c r="B35" s="664">
        <v>24</v>
      </c>
      <c r="C35" s="664">
        <v>30</v>
      </c>
      <c r="D35" s="664">
        <v>13.5</v>
      </c>
      <c r="E35" s="664">
        <v>18.5</v>
      </c>
      <c r="F35" s="664">
        <v>21</v>
      </c>
      <c r="G35" s="664">
        <v>30</v>
      </c>
      <c r="H35" s="662">
        <v>27</v>
      </c>
      <c r="I35" s="664">
        <v>13.8</v>
      </c>
      <c r="J35" s="664">
        <v>13.8</v>
      </c>
      <c r="K35" s="664">
        <v>17</v>
      </c>
      <c r="L35" s="664">
        <v>20</v>
      </c>
    </row>
    <row r="36" spans="1:12" ht="15.75" customHeight="1">
      <c r="A36" s="728" t="s">
        <v>871</v>
      </c>
      <c r="B36" s="812">
        <v>60</v>
      </c>
      <c r="C36" s="812">
        <v>15</v>
      </c>
      <c r="D36" s="812">
        <v>10</v>
      </c>
      <c r="E36" s="812">
        <v>10</v>
      </c>
      <c r="F36" s="664">
        <v>60</v>
      </c>
      <c r="G36" s="664">
        <v>90</v>
      </c>
      <c r="H36" s="662">
        <v>60</v>
      </c>
      <c r="I36" s="664">
        <v>60</v>
      </c>
      <c r="J36" s="664">
        <v>60</v>
      </c>
      <c r="K36" s="664">
        <v>60</v>
      </c>
      <c r="L36" s="664">
        <v>15</v>
      </c>
    </row>
    <row r="37" spans="1:12" ht="15.75" customHeight="1">
      <c r="A37" s="728" t="s">
        <v>870</v>
      </c>
      <c r="B37" s="812">
        <v>1</v>
      </c>
      <c r="C37" s="812">
        <v>2.5</v>
      </c>
      <c r="D37" s="815" t="s">
        <v>293</v>
      </c>
      <c r="E37" s="815" t="s">
        <v>293</v>
      </c>
      <c r="F37" s="815" t="s">
        <v>293</v>
      </c>
      <c r="G37" s="815" t="s">
        <v>293</v>
      </c>
      <c r="H37" s="815" t="s">
        <v>293</v>
      </c>
      <c r="I37" s="664">
        <v>1</v>
      </c>
      <c r="J37" s="664">
        <v>1</v>
      </c>
      <c r="K37" s="664">
        <v>1</v>
      </c>
      <c r="L37" s="815" t="s">
        <v>293</v>
      </c>
    </row>
    <row r="38" spans="1:12" ht="15.75" customHeight="1">
      <c r="A38" s="661" t="s">
        <v>606</v>
      </c>
      <c r="B38" s="812">
        <v>3</v>
      </c>
      <c r="C38" s="812">
        <v>5</v>
      </c>
      <c r="D38" s="812">
        <v>20</v>
      </c>
      <c r="E38" s="812">
        <v>20</v>
      </c>
      <c r="F38" s="664">
        <v>20</v>
      </c>
      <c r="G38" s="664">
        <v>20</v>
      </c>
      <c r="H38" s="662">
        <v>20</v>
      </c>
      <c r="I38" s="664">
        <v>3</v>
      </c>
      <c r="J38" s="664">
        <v>3</v>
      </c>
      <c r="K38" s="664">
        <v>3</v>
      </c>
      <c r="L38" s="664">
        <v>5</v>
      </c>
    </row>
    <row r="39" spans="1:12" ht="15.75" customHeight="1">
      <c r="A39" s="682" t="s">
        <v>608</v>
      </c>
      <c r="B39" s="812">
        <v>1800</v>
      </c>
      <c r="C39" s="812">
        <v>1800</v>
      </c>
      <c r="D39" s="812">
        <v>1800</v>
      </c>
      <c r="E39" s="812">
        <v>1800</v>
      </c>
      <c r="F39" s="664">
        <v>1800</v>
      </c>
      <c r="G39" s="664">
        <v>1800</v>
      </c>
      <c r="H39" s="662">
        <v>1800</v>
      </c>
      <c r="I39" s="664">
        <v>1800</v>
      </c>
      <c r="J39" s="664">
        <v>1800</v>
      </c>
      <c r="K39" s="664">
        <v>1800</v>
      </c>
      <c r="L39" s="664">
        <v>1800</v>
      </c>
    </row>
    <row r="40" spans="1:12" ht="15.75" customHeight="1">
      <c r="A40" s="661" t="s">
        <v>609</v>
      </c>
      <c r="B40" s="812">
        <v>8.2500000000000004E-3</v>
      </c>
      <c r="C40" s="812">
        <v>7.51E-2</v>
      </c>
      <c r="D40" s="812">
        <v>1.11E-2</v>
      </c>
      <c r="E40" s="812">
        <v>1.11E-2</v>
      </c>
      <c r="F40" s="664">
        <v>2.5100000000000001E-2</v>
      </c>
      <c r="G40" s="664">
        <v>1.21E-2</v>
      </c>
      <c r="H40" s="662">
        <v>2.5100000000000001E-2</v>
      </c>
      <c r="I40" s="815" t="s">
        <v>293</v>
      </c>
      <c r="J40" s="815" t="s">
        <v>293</v>
      </c>
      <c r="K40" s="815" t="s">
        <v>293</v>
      </c>
      <c r="L40" s="664">
        <v>1.7100000000000001E-2</v>
      </c>
    </row>
    <row r="41" spans="1:12" ht="15.75" customHeight="1">
      <c r="A41" s="661" t="s">
        <v>611</v>
      </c>
      <c r="B41" s="812">
        <v>0</v>
      </c>
      <c r="C41" s="812">
        <v>0</v>
      </c>
      <c r="D41" s="812">
        <v>0</v>
      </c>
      <c r="E41" s="812">
        <v>0</v>
      </c>
      <c r="F41" s="664">
        <v>0</v>
      </c>
      <c r="G41" s="664">
        <v>0</v>
      </c>
      <c r="H41" s="662">
        <v>0</v>
      </c>
      <c r="I41" s="815" t="s">
        <v>293</v>
      </c>
      <c r="J41" s="815" t="s">
        <v>293</v>
      </c>
      <c r="K41" s="815" t="s">
        <v>293</v>
      </c>
      <c r="L41" s="664">
        <v>0</v>
      </c>
    </row>
    <row r="42" spans="1:12" ht="15.75" customHeight="1">
      <c r="A42" s="661" t="s">
        <v>613</v>
      </c>
      <c r="B42" s="812">
        <v>0</v>
      </c>
      <c r="C42" s="812">
        <v>0</v>
      </c>
      <c r="D42" s="812">
        <v>0</v>
      </c>
      <c r="E42" s="812">
        <v>0</v>
      </c>
      <c r="F42" s="664">
        <v>0</v>
      </c>
      <c r="G42" s="664">
        <v>0</v>
      </c>
      <c r="H42" s="662">
        <v>0</v>
      </c>
      <c r="I42" s="815" t="s">
        <v>293</v>
      </c>
      <c r="J42" s="815" t="s">
        <v>293</v>
      </c>
      <c r="K42" s="815" t="s">
        <v>293</v>
      </c>
      <c r="L42" s="664">
        <v>0</v>
      </c>
    </row>
    <row r="43" spans="1:12" ht="15.75" customHeight="1">
      <c r="A43" s="661" t="s">
        <v>615</v>
      </c>
      <c r="B43" s="812">
        <v>4.3999999999999999E-5</v>
      </c>
      <c r="C43" s="812">
        <v>1.9E-3</v>
      </c>
      <c r="D43" s="812">
        <v>2.0000000000000001E-4</v>
      </c>
      <c r="E43" s="812">
        <v>2.0000000000000001E-4</v>
      </c>
      <c r="F43" s="664">
        <v>5.9999999999999995E-4</v>
      </c>
      <c r="G43" s="664">
        <v>1E-4</v>
      </c>
      <c r="H43" s="662">
        <v>5.9999999999999995E-4</v>
      </c>
      <c r="I43" s="815" t="s">
        <v>293</v>
      </c>
      <c r="J43" s="815" t="s">
        <v>293</v>
      </c>
      <c r="K43" s="815" t="s">
        <v>293</v>
      </c>
      <c r="L43" s="664">
        <v>1E-4</v>
      </c>
    </row>
    <row r="44" spans="1:12" ht="24" customHeight="1">
      <c r="A44" s="803" t="s">
        <v>617</v>
      </c>
      <c r="B44" s="709"/>
      <c r="C44" s="791"/>
      <c r="D44" s="791"/>
      <c r="E44" s="791"/>
      <c r="F44" s="791"/>
      <c r="G44" s="791"/>
      <c r="H44" s="709"/>
      <c r="I44" s="791"/>
      <c r="J44" s="791"/>
      <c r="K44" s="791"/>
      <c r="L44" s="791"/>
    </row>
    <row r="45" spans="1:12" ht="15.75" customHeight="1">
      <c r="A45" s="728" t="s">
        <v>1130</v>
      </c>
      <c r="B45" s="815" t="s">
        <v>293</v>
      </c>
      <c r="C45" s="776">
        <v>5</v>
      </c>
      <c r="D45" s="815" t="s">
        <v>293</v>
      </c>
      <c r="E45" s="815" t="s">
        <v>293</v>
      </c>
      <c r="F45" s="815" t="s">
        <v>293</v>
      </c>
      <c r="G45" s="815" t="s">
        <v>293</v>
      </c>
      <c r="H45" s="815" t="s">
        <v>293</v>
      </c>
      <c r="I45" s="776">
        <v>5</v>
      </c>
      <c r="J45" s="776">
        <v>5</v>
      </c>
      <c r="K45" s="788">
        <v>5</v>
      </c>
      <c r="L45" s="815" t="s">
        <v>293</v>
      </c>
    </row>
    <row r="46" spans="1:12" ht="15.75" customHeight="1">
      <c r="A46" s="728" t="s">
        <v>618</v>
      </c>
      <c r="B46" s="812">
        <f>90*0.2</f>
        <v>18</v>
      </c>
      <c r="C46" s="776">
        <f>90*0.125</f>
        <v>11.25</v>
      </c>
      <c r="D46" s="788">
        <f>90*0.123313</f>
        <v>11.09817</v>
      </c>
      <c r="E46" s="788">
        <f>90*0.123313</f>
        <v>11.09817</v>
      </c>
      <c r="F46" s="776">
        <f>90*0.145</f>
        <v>13.049999999999999</v>
      </c>
      <c r="G46" s="776">
        <f>0.140216*90</f>
        <v>12.619440000000001</v>
      </c>
      <c r="H46" s="780">
        <f>90*0.145</f>
        <v>13.049999999999999</v>
      </c>
      <c r="I46" s="815" t="s">
        <v>293</v>
      </c>
      <c r="J46" s="815" t="s">
        <v>293</v>
      </c>
      <c r="K46" s="815" t="s">
        <v>293</v>
      </c>
      <c r="L46" s="776">
        <f>90*0.13</f>
        <v>11.700000000000001</v>
      </c>
    </row>
    <row r="47" spans="1:12" ht="15.75" customHeight="1">
      <c r="A47" s="728" t="s">
        <v>619</v>
      </c>
      <c r="B47" s="815" t="s">
        <v>293</v>
      </c>
      <c r="C47" s="815" t="s">
        <v>293</v>
      </c>
      <c r="D47" s="788">
        <v>32</v>
      </c>
      <c r="E47" s="788">
        <v>32</v>
      </c>
      <c r="F47" s="776">
        <v>62</v>
      </c>
      <c r="G47" s="776">
        <v>32</v>
      </c>
      <c r="H47" s="780">
        <v>62</v>
      </c>
      <c r="I47" s="815" t="s">
        <v>293</v>
      </c>
      <c r="J47" s="815" t="s">
        <v>293</v>
      </c>
      <c r="K47" s="815" t="s">
        <v>293</v>
      </c>
      <c r="L47" s="776">
        <v>65.852999999999994</v>
      </c>
    </row>
    <row r="48" spans="1:12" ht="15.75" customHeight="1">
      <c r="A48" s="728" t="s">
        <v>621</v>
      </c>
      <c r="B48" s="812">
        <v>1.45</v>
      </c>
      <c r="C48" s="776">
        <v>1.1000000000000001</v>
      </c>
      <c r="D48" s="788">
        <v>1.25</v>
      </c>
      <c r="E48" s="776">
        <v>1.25</v>
      </c>
      <c r="F48" s="776">
        <v>1.3</v>
      </c>
      <c r="G48" s="776">
        <v>1.25</v>
      </c>
      <c r="H48" s="780">
        <v>1.3</v>
      </c>
      <c r="I48" s="776">
        <v>1.45</v>
      </c>
      <c r="J48" s="776">
        <v>1.45</v>
      </c>
      <c r="K48" s="788">
        <v>1.45</v>
      </c>
      <c r="L48" s="776">
        <v>1.3</v>
      </c>
    </row>
    <row r="49" spans="1:12" ht="15.75" customHeight="1">
      <c r="A49" s="728" t="s">
        <v>622</v>
      </c>
      <c r="B49" s="815" t="s">
        <v>293</v>
      </c>
      <c r="C49" s="776">
        <v>55</v>
      </c>
      <c r="D49" s="788">
        <v>10</v>
      </c>
      <c r="E49" s="776">
        <v>10</v>
      </c>
      <c r="F49" s="776">
        <v>21</v>
      </c>
      <c r="G49" s="776">
        <v>10</v>
      </c>
      <c r="H49" s="780">
        <v>21</v>
      </c>
      <c r="I49" s="815" t="s">
        <v>293</v>
      </c>
      <c r="J49" s="815" t="s">
        <v>293</v>
      </c>
      <c r="K49" s="815" t="s">
        <v>293</v>
      </c>
      <c r="L49" s="776">
        <v>10</v>
      </c>
    </row>
    <row r="50" spans="1:12" ht="15.75" customHeight="1">
      <c r="A50" s="776" t="s">
        <v>623</v>
      </c>
      <c r="B50" s="812">
        <v>580</v>
      </c>
      <c r="C50" s="776">
        <v>550</v>
      </c>
      <c r="D50" s="788">
        <v>910</v>
      </c>
      <c r="E50" s="776">
        <v>910</v>
      </c>
      <c r="F50" s="776">
        <v>850</v>
      </c>
      <c r="G50" s="776">
        <v>1300</v>
      </c>
      <c r="H50" s="780">
        <v>885</v>
      </c>
      <c r="I50" s="776">
        <v>500</v>
      </c>
      <c r="J50" s="776">
        <v>500</v>
      </c>
      <c r="K50" s="788">
        <v>570</v>
      </c>
      <c r="L50" s="776">
        <v>1250</v>
      </c>
    </row>
    <row r="51" spans="1:12" ht="15.75" customHeight="1">
      <c r="A51" s="728" t="s">
        <v>985</v>
      </c>
      <c r="B51" s="812">
        <v>580</v>
      </c>
      <c r="C51" s="776">
        <v>550</v>
      </c>
      <c r="D51" s="815" t="s">
        <v>293</v>
      </c>
      <c r="E51" s="815" t="s">
        <v>293</v>
      </c>
      <c r="F51" s="815" t="s">
        <v>293</v>
      </c>
      <c r="G51" s="815" t="s">
        <v>293</v>
      </c>
      <c r="H51" s="815" t="s">
        <v>293</v>
      </c>
      <c r="I51" s="776">
        <v>500</v>
      </c>
      <c r="J51" s="776">
        <v>500</v>
      </c>
      <c r="K51" s="788">
        <v>570</v>
      </c>
      <c r="L51" s="815" t="s">
        <v>293</v>
      </c>
    </row>
    <row r="52" spans="1:12" ht="15.75" customHeight="1">
      <c r="A52" s="728" t="s">
        <v>625</v>
      </c>
      <c r="B52" s="812">
        <v>10.3</v>
      </c>
      <c r="C52" s="776">
        <v>7</v>
      </c>
      <c r="D52" s="788">
        <v>8</v>
      </c>
      <c r="E52" s="776">
        <v>10</v>
      </c>
      <c r="F52" s="776">
        <v>12</v>
      </c>
      <c r="G52" s="776">
        <v>20</v>
      </c>
      <c r="H52" s="780">
        <v>15</v>
      </c>
      <c r="I52" s="776">
        <v>6.3</v>
      </c>
      <c r="J52" s="776">
        <v>6.3</v>
      </c>
      <c r="K52" s="788">
        <v>8</v>
      </c>
      <c r="L52" s="776">
        <v>12</v>
      </c>
    </row>
    <row r="53" spans="1:12" ht="15.75" customHeight="1">
      <c r="A53" s="728" t="s">
        <v>984</v>
      </c>
      <c r="B53" s="815" t="s">
        <v>293</v>
      </c>
      <c r="C53" s="815" t="s">
        <v>293</v>
      </c>
      <c r="D53" s="815" t="s">
        <v>293</v>
      </c>
      <c r="E53" s="815" t="s">
        <v>293</v>
      </c>
      <c r="F53" s="815" t="s">
        <v>293</v>
      </c>
      <c r="G53" s="776">
        <v>18</v>
      </c>
      <c r="H53" s="815" t="s">
        <v>293</v>
      </c>
      <c r="I53" s="815" t="s">
        <v>293</v>
      </c>
      <c r="J53" s="815" t="s">
        <v>293</v>
      </c>
      <c r="K53" s="815" t="s">
        <v>293</v>
      </c>
      <c r="L53" s="776">
        <v>11</v>
      </c>
    </row>
    <row r="54" spans="1:12" ht="15.75" customHeight="1">
      <c r="A54" s="661" t="s">
        <v>629</v>
      </c>
      <c r="B54" s="812">
        <v>500</v>
      </c>
      <c r="C54" s="776">
        <v>30</v>
      </c>
      <c r="D54" s="788">
        <v>30</v>
      </c>
      <c r="E54" s="776">
        <v>30</v>
      </c>
      <c r="F54" s="776">
        <v>1200</v>
      </c>
      <c r="G54" s="776">
        <v>1200</v>
      </c>
      <c r="H54" s="780">
        <v>1200</v>
      </c>
      <c r="I54" s="776">
        <v>500</v>
      </c>
      <c r="J54" s="776">
        <v>500</v>
      </c>
      <c r="K54" s="788">
        <v>500</v>
      </c>
      <c r="L54" s="776">
        <v>30</v>
      </c>
    </row>
    <row r="55" spans="1:12" ht="15.75" customHeight="1">
      <c r="A55" s="776" t="s">
        <v>759</v>
      </c>
      <c r="B55" s="812">
        <v>10.3</v>
      </c>
      <c r="C55" s="776">
        <v>7</v>
      </c>
      <c r="D55" s="788">
        <v>8</v>
      </c>
      <c r="E55" s="776">
        <v>10</v>
      </c>
      <c r="F55" s="776">
        <v>12</v>
      </c>
      <c r="G55" s="776">
        <v>20</v>
      </c>
      <c r="H55" s="780">
        <v>15</v>
      </c>
      <c r="I55" s="776">
        <v>6.3</v>
      </c>
      <c r="J55" s="776">
        <v>6.3</v>
      </c>
      <c r="K55" s="788">
        <v>8</v>
      </c>
      <c r="L55" s="776">
        <v>12</v>
      </c>
    </row>
    <row r="56" spans="1:12" ht="15.75" customHeight="1">
      <c r="A56" s="728" t="s">
        <v>631</v>
      </c>
      <c r="B56" s="812">
        <v>23.9</v>
      </c>
      <c r="C56" s="776">
        <v>15</v>
      </c>
      <c r="D56" s="788">
        <v>32</v>
      </c>
      <c r="E56" s="776">
        <v>32</v>
      </c>
      <c r="F56" s="776">
        <v>42</v>
      </c>
      <c r="G56" s="776">
        <v>32</v>
      </c>
      <c r="H56" s="780">
        <v>42</v>
      </c>
      <c r="I56" s="815" t="s">
        <v>293</v>
      </c>
      <c r="J56" s="815" t="s">
        <v>293</v>
      </c>
      <c r="K56" s="788">
        <v>20</v>
      </c>
      <c r="L56" s="776">
        <v>50</v>
      </c>
    </row>
    <row r="57" spans="1:12" ht="15.75" customHeight="1">
      <c r="A57" s="728" t="s">
        <v>632</v>
      </c>
      <c r="B57" s="812">
        <v>23.9</v>
      </c>
      <c r="C57" s="815" t="s">
        <v>293</v>
      </c>
      <c r="D57" s="788">
        <v>32</v>
      </c>
      <c r="E57" s="776">
        <v>32</v>
      </c>
      <c r="F57" s="776">
        <v>42</v>
      </c>
      <c r="G57" s="776">
        <v>32</v>
      </c>
      <c r="H57" s="780">
        <v>42</v>
      </c>
      <c r="I57" s="776">
        <v>15</v>
      </c>
      <c r="J57" s="776">
        <v>15</v>
      </c>
      <c r="K57" s="788">
        <v>20</v>
      </c>
      <c r="L57" s="776">
        <v>50</v>
      </c>
    </row>
    <row r="58" spans="1:12" ht="15.75" customHeight="1">
      <c r="A58" s="661" t="s">
        <v>756</v>
      </c>
      <c r="B58" s="815" t="s">
        <v>293</v>
      </c>
      <c r="C58" s="815" t="s">
        <v>293</v>
      </c>
      <c r="D58" s="780" t="s">
        <v>1129</v>
      </c>
      <c r="E58" s="780" t="s">
        <v>1129</v>
      </c>
      <c r="F58" s="812" t="s">
        <v>1149</v>
      </c>
      <c r="G58" s="812" t="s">
        <v>1148</v>
      </c>
      <c r="H58" s="812" t="s">
        <v>1149</v>
      </c>
      <c r="I58" s="815" t="s">
        <v>293</v>
      </c>
      <c r="J58" s="815" t="s">
        <v>293</v>
      </c>
      <c r="K58" s="815" t="s">
        <v>293</v>
      </c>
      <c r="L58" s="812" t="s">
        <v>1129</v>
      </c>
    </row>
    <row r="59" spans="1:12" ht="15.75" customHeight="1">
      <c r="A59" s="661" t="s">
        <v>756</v>
      </c>
      <c r="B59" s="815" t="s">
        <v>293</v>
      </c>
      <c r="C59" s="815" t="s">
        <v>293</v>
      </c>
      <c r="D59" s="780" t="s">
        <v>1148</v>
      </c>
      <c r="E59" s="780" t="s">
        <v>1148</v>
      </c>
      <c r="F59" s="812" t="s">
        <v>1147</v>
      </c>
      <c r="G59" s="812" t="s">
        <v>1146</v>
      </c>
      <c r="H59" s="812" t="s">
        <v>1147</v>
      </c>
      <c r="I59" s="815" t="s">
        <v>293</v>
      </c>
      <c r="J59" s="815" t="s">
        <v>293</v>
      </c>
      <c r="K59" s="815" t="s">
        <v>293</v>
      </c>
      <c r="L59" s="812" t="s">
        <v>1128</v>
      </c>
    </row>
    <row r="60" spans="1:12" ht="15.75" customHeight="1">
      <c r="A60" s="661" t="s">
        <v>756</v>
      </c>
      <c r="B60" s="815" t="s">
        <v>293</v>
      </c>
      <c r="C60" s="815" t="s">
        <v>293</v>
      </c>
      <c r="D60" s="780" t="s">
        <v>1146</v>
      </c>
      <c r="E60" s="780" t="s">
        <v>1146</v>
      </c>
      <c r="F60" s="815" t="s">
        <v>293</v>
      </c>
      <c r="G60" s="812" t="s">
        <v>1145</v>
      </c>
      <c r="H60" s="815" t="s">
        <v>293</v>
      </c>
      <c r="I60" s="815" t="s">
        <v>293</v>
      </c>
      <c r="J60" s="815" t="s">
        <v>293</v>
      </c>
      <c r="K60" s="815" t="s">
        <v>293</v>
      </c>
      <c r="L60" s="812" t="s">
        <v>1127</v>
      </c>
    </row>
    <row r="61" spans="1:12" ht="15.75" customHeight="1">
      <c r="A61" s="661" t="s">
        <v>756</v>
      </c>
      <c r="B61" s="815" t="s">
        <v>293</v>
      </c>
      <c r="C61" s="815" t="s">
        <v>293</v>
      </c>
      <c r="D61" s="780" t="s">
        <v>1144</v>
      </c>
      <c r="E61" s="780" t="s">
        <v>1144</v>
      </c>
      <c r="F61" s="815" t="s">
        <v>293</v>
      </c>
      <c r="G61" s="815" t="s">
        <v>293</v>
      </c>
      <c r="H61" s="815" t="s">
        <v>293</v>
      </c>
      <c r="I61" s="815" t="s">
        <v>293</v>
      </c>
      <c r="J61" s="815" t="s">
        <v>293</v>
      </c>
      <c r="K61" s="815" t="s">
        <v>293</v>
      </c>
      <c r="L61" s="812" t="s">
        <v>1126</v>
      </c>
    </row>
    <row r="62" spans="1:12" ht="15.75" customHeight="1">
      <c r="A62" s="661" t="s">
        <v>633</v>
      </c>
      <c r="B62" s="815"/>
      <c r="C62" s="815"/>
      <c r="D62" s="815" t="s">
        <v>324</v>
      </c>
      <c r="E62" s="815" t="s">
        <v>324</v>
      </c>
      <c r="F62" s="815" t="s">
        <v>324</v>
      </c>
      <c r="G62" s="815" t="s">
        <v>324</v>
      </c>
      <c r="H62" s="815" t="s">
        <v>324</v>
      </c>
      <c r="I62" s="815" t="s">
        <v>328</v>
      </c>
      <c r="J62" s="790" t="s">
        <v>328</v>
      </c>
      <c r="K62" s="790" t="s">
        <v>328</v>
      </c>
      <c r="L62" s="790" t="s">
        <v>324</v>
      </c>
    </row>
    <row r="63" spans="1:12" ht="15.75" customHeight="1">
      <c r="A63" s="661" t="s">
        <v>634</v>
      </c>
      <c r="B63" s="815"/>
      <c r="C63" s="815"/>
      <c r="D63" s="815" t="s">
        <v>293</v>
      </c>
      <c r="E63" s="815" t="s">
        <v>293</v>
      </c>
      <c r="F63" s="815" t="s">
        <v>293</v>
      </c>
      <c r="G63" s="815" t="s">
        <v>293</v>
      </c>
      <c r="H63" s="815" t="s">
        <v>293</v>
      </c>
      <c r="I63" s="812" t="s">
        <v>1143</v>
      </c>
      <c r="J63" s="812" t="s">
        <v>1143</v>
      </c>
      <c r="K63" s="812" t="s">
        <v>1142</v>
      </c>
      <c r="L63" s="815" t="s">
        <v>293</v>
      </c>
    </row>
    <row r="64" spans="1:12" ht="12.75">
      <c r="A64" s="775" t="s">
        <v>864</v>
      </c>
      <c r="B64" s="815" t="s">
        <v>328</v>
      </c>
      <c r="C64" s="815" t="s">
        <v>328</v>
      </c>
      <c r="D64" s="790" t="s">
        <v>328</v>
      </c>
      <c r="E64" s="815" t="s">
        <v>328</v>
      </c>
      <c r="F64" s="815" t="s">
        <v>324</v>
      </c>
      <c r="G64" s="815" t="s">
        <v>328</v>
      </c>
      <c r="H64" s="815" t="s">
        <v>324</v>
      </c>
      <c r="I64" s="790" t="s">
        <v>328</v>
      </c>
      <c r="J64" s="790" t="s">
        <v>328</v>
      </c>
      <c r="K64" s="790" t="s">
        <v>328</v>
      </c>
      <c r="L64" s="815" t="s">
        <v>328</v>
      </c>
    </row>
    <row r="65" spans="1:12" ht="69" customHeight="1">
      <c r="A65" s="722" t="s">
        <v>635</v>
      </c>
      <c r="B65" s="926"/>
      <c r="C65" s="773" t="s">
        <v>1141</v>
      </c>
      <c r="D65" s="773"/>
      <c r="E65" s="773"/>
      <c r="F65" s="927" t="s">
        <v>1139</v>
      </c>
      <c r="G65" s="773" t="s">
        <v>1140</v>
      </c>
      <c r="H65" s="928" t="s">
        <v>1139</v>
      </c>
      <c r="I65" s="773" t="s">
        <v>1138</v>
      </c>
      <c r="J65" s="773" t="s">
        <v>1137</v>
      </c>
      <c r="K65" s="834"/>
      <c r="L65" s="834"/>
    </row>
    <row r="66" spans="1:12" ht="59.25" customHeight="1">
      <c r="A66" s="776" t="s">
        <v>1124</v>
      </c>
      <c r="B66" s="868"/>
      <c r="C66" s="776"/>
      <c r="D66" s="788"/>
      <c r="E66" s="776"/>
      <c r="F66" s="868"/>
      <c r="G66" s="776"/>
      <c r="H66" s="868"/>
      <c r="I66" s="776"/>
      <c r="J66" s="776"/>
      <c r="K66" s="788"/>
      <c r="L66" s="776"/>
    </row>
    <row r="67" spans="1:12" ht="25.5">
      <c r="A67" s="776" t="s">
        <v>977</v>
      </c>
      <c r="B67" s="728"/>
      <c r="C67" s="776"/>
      <c r="D67" s="788"/>
      <c r="E67" s="776"/>
      <c r="F67" s="776"/>
      <c r="G67" s="776"/>
      <c r="H67" s="711"/>
      <c r="I67" s="776"/>
      <c r="J67" s="776"/>
      <c r="K67" s="788"/>
      <c r="L67" s="776"/>
    </row>
    <row r="68" spans="1:12" ht="12.75">
      <c r="A68" s="776"/>
      <c r="B68" s="728"/>
      <c r="C68" s="776"/>
      <c r="D68" s="788"/>
      <c r="E68" s="776"/>
      <c r="F68" s="776"/>
      <c r="G68" s="776"/>
      <c r="H68" s="711"/>
      <c r="I68" s="776"/>
      <c r="J68" s="776"/>
      <c r="K68" s="788"/>
      <c r="L68" s="776"/>
    </row>
    <row r="69" spans="1:12" ht="12.75">
      <c r="A69" s="776"/>
      <c r="B69" s="728"/>
      <c r="C69" s="776"/>
      <c r="D69" s="788"/>
      <c r="E69" s="776"/>
      <c r="F69" s="776"/>
      <c r="G69" s="776"/>
      <c r="H69" s="711"/>
      <c r="I69" s="776"/>
      <c r="J69" s="776"/>
      <c r="K69" s="788"/>
      <c r="L69" s="776"/>
    </row>
    <row r="70" spans="1:12" ht="12.75">
      <c r="A70" s="776"/>
      <c r="B70" s="728"/>
      <c r="C70" s="776"/>
      <c r="D70" s="788"/>
      <c r="E70" s="776"/>
      <c r="F70" s="776"/>
      <c r="G70" s="776"/>
      <c r="H70" s="711"/>
      <c r="I70" s="776"/>
      <c r="J70" s="776"/>
      <c r="K70" s="788"/>
      <c r="L70" s="776"/>
    </row>
    <row r="71" spans="1:12" ht="12.75">
      <c r="A71" s="776"/>
      <c r="B71" s="728"/>
      <c r="C71" s="776"/>
      <c r="D71" s="788"/>
      <c r="E71" s="776"/>
      <c r="F71" s="776"/>
      <c r="G71" s="776"/>
      <c r="H71" s="711"/>
      <c r="I71" s="776"/>
      <c r="J71" s="776"/>
      <c r="K71" s="788"/>
      <c r="L71" s="776"/>
    </row>
    <row r="72" spans="1:12" ht="12.75">
      <c r="A72" s="776"/>
      <c r="B72" s="728"/>
      <c r="C72" s="776"/>
      <c r="D72" s="788"/>
      <c r="E72" s="776"/>
      <c r="F72" s="776"/>
      <c r="G72" s="776"/>
      <c r="H72" s="711"/>
      <c r="I72" s="776"/>
      <c r="J72" s="776"/>
      <c r="K72" s="788"/>
      <c r="L72" s="776"/>
    </row>
  </sheetData>
  <mergeCells count="3">
    <mergeCell ref="B65:B66"/>
    <mergeCell ref="F65:F66"/>
    <mergeCell ref="H65:H66"/>
  </mergeCells>
  <conditionalFormatting sqref="A1:L1 A3:L7 A9:L19 A21:L31 A33:L43 A45:L72">
    <cfRule type="expression" dxfId="30" priority="1">
      <formula>ISODD(COLUMN())</formula>
    </cfRule>
    <cfRule type="expression" dxfId="29" priority="2">
      <formula>ISEVEN(COLUMN())</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0B75-3915-4A59-8746-A9BDEE1B30F4}">
  <sheetPr>
    <tabColor rgb="FF38761D"/>
    <outlinePr summaryBelow="0" summaryRight="0"/>
  </sheetPr>
  <dimension ref="A1:C80"/>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2" width="16.7109375" customWidth="1"/>
    <col min="3" max="3" width="18.85546875" customWidth="1"/>
  </cols>
  <sheetData>
    <row r="1" spans="1:3" ht="35.25" customHeight="1">
      <c r="A1" s="811" t="s">
        <v>551</v>
      </c>
      <c r="B1" s="652" t="s">
        <v>1162</v>
      </c>
      <c r="C1" s="653" t="s">
        <v>1161</v>
      </c>
    </row>
    <row r="2" spans="1:3" ht="94.5" customHeight="1">
      <c r="A2" s="810" t="s">
        <v>562</v>
      </c>
      <c r="B2" s="658"/>
      <c r="C2" s="843"/>
    </row>
    <row r="3" spans="1:3" ht="17.25" customHeight="1">
      <c r="A3" s="728" t="s">
        <v>563</v>
      </c>
      <c r="B3" s="661">
        <v>16.2</v>
      </c>
      <c r="C3" s="733">
        <v>13.5</v>
      </c>
    </row>
    <row r="4" spans="1:3" ht="17.25" customHeight="1">
      <c r="A4" s="728" t="s">
        <v>564</v>
      </c>
      <c r="B4" s="661">
        <v>14.7</v>
      </c>
      <c r="C4" s="733">
        <v>12.35</v>
      </c>
    </row>
    <row r="5" spans="1:3" ht="15.75" customHeight="1">
      <c r="A5" s="728" t="s">
        <v>565</v>
      </c>
      <c r="B5" s="704">
        <v>11.7</v>
      </c>
      <c r="C5" s="733">
        <v>11.7</v>
      </c>
    </row>
    <row r="6" spans="1:3" ht="15.75" customHeight="1">
      <c r="A6" s="728" t="s">
        <v>566</v>
      </c>
      <c r="B6" s="661">
        <v>151</v>
      </c>
      <c r="C6" s="733">
        <v>110</v>
      </c>
    </row>
    <row r="7" spans="1:3" ht="15.75" customHeight="1">
      <c r="A7" s="728" t="s">
        <v>567</v>
      </c>
      <c r="B7" s="661">
        <v>1.25</v>
      </c>
      <c r="C7" s="733">
        <v>1.2</v>
      </c>
    </row>
    <row r="8" spans="1:3" ht="20.25" customHeight="1">
      <c r="A8" s="809" t="s">
        <v>568</v>
      </c>
      <c r="B8" s="672"/>
      <c r="C8" s="674"/>
    </row>
    <row r="9" spans="1:3" ht="15.75" customHeight="1">
      <c r="A9" s="728" t="s">
        <v>569</v>
      </c>
      <c r="B9" s="754">
        <v>5400</v>
      </c>
      <c r="C9" s="736">
        <v>759</v>
      </c>
    </row>
    <row r="10" spans="1:3" ht="16.5" customHeight="1">
      <c r="A10" s="728" t="s">
        <v>570</v>
      </c>
      <c r="B10" s="661">
        <v>0.5</v>
      </c>
      <c r="C10" s="733">
        <v>2.5</v>
      </c>
    </row>
    <row r="11" spans="1:3" ht="15.75" customHeight="1">
      <c r="A11" s="728" t="str">
        <f>"Raw acceleration at ignition: [m/s"&amp;CHAR(178)&amp;"]"</f>
        <v>Raw acceleration at ignition: [m/s²]</v>
      </c>
      <c r="B11" s="675">
        <f>B9/B3</f>
        <v>333.33333333333337</v>
      </c>
      <c r="C11" s="735">
        <f>C9/C3</f>
        <v>56.222222222222221</v>
      </c>
    </row>
    <row r="12" spans="1:3" ht="15.75" customHeight="1">
      <c r="A12" s="661" t="s">
        <v>571</v>
      </c>
      <c r="B12" s="678">
        <f>B10*B9/(9.81*(B3-B4))</f>
        <v>183.48623853211009</v>
      </c>
      <c r="C12" s="735">
        <f>C10*C9/(9.81*(C3-C4))</f>
        <v>168.19571865443419</v>
      </c>
    </row>
    <row r="13" spans="1:3" ht="15.75" customHeight="1">
      <c r="A13" s="661" t="s">
        <v>572</v>
      </c>
      <c r="B13" s="678">
        <f>B12*9.81*LN(B3/B4)</f>
        <v>174.89474721656617</v>
      </c>
      <c r="C13" s="735">
        <f>C12*9.81*LN(C3/C4)</f>
        <v>146.90547691115609</v>
      </c>
    </row>
    <row r="14" spans="1:3" ht="15.75" customHeight="1">
      <c r="A14" s="836" t="s">
        <v>573</v>
      </c>
      <c r="B14" s="741" t="s">
        <v>293</v>
      </c>
      <c r="C14" s="735">
        <v>0.15</v>
      </c>
    </row>
    <row r="15" spans="1:3" ht="16.5" customHeight="1">
      <c r="A15" s="776" t="s">
        <v>574</v>
      </c>
      <c r="B15" s="694">
        <v>80</v>
      </c>
      <c r="C15" s="694">
        <v>95</v>
      </c>
    </row>
    <row r="16" spans="1:3" ht="18" customHeight="1">
      <c r="A16" s="776" t="s">
        <v>575</v>
      </c>
      <c r="B16" s="694">
        <v>55</v>
      </c>
      <c r="C16" s="694">
        <v>15</v>
      </c>
    </row>
    <row r="17" spans="1:3" ht="18" customHeight="1">
      <c r="A17" s="728" t="s">
        <v>576</v>
      </c>
      <c r="B17" s="694">
        <f>B16*B15/(9.81*(B4-B5))</f>
        <v>149.50730547060823</v>
      </c>
      <c r="C17" s="694">
        <f>C16*C15/(9.81*(C4-C5))</f>
        <v>223.47682898141602</v>
      </c>
    </row>
    <row r="18" spans="1:3" ht="18" customHeight="1">
      <c r="A18" s="728" t="s">
        <v>577</v>
      </c>
      <c r="B18" s="694">
        <f>B17*9.81*LN(B4/B5)</f>
        <v>334.7793562387709</v>
      </c>
      <c r="C18" s="694">
        <f>C17*9.81*LN(C4/C5)</f>
        <v>118.53198509252766</v>
      </c>
    </row>
    <row r="19" spans="1:3" ht="18" customHeight="1">
      <c r="A19" s="728" t="s">
        <v>578</v>
      </c>
      <c r="B19" s="692">
        <f>IF(ISNUMBER(B18),B13+B18,B13)</f>
        <v>509.6741034553371</v>
      </c>
      <c r="C19" s="735">
        <f>IF(ISNUMBER(C18),C13+C18,C13)</f>
        <v>265.43746200368378</v>
      </c>
    </row>
    <row r="20" spans="1:3" ht="20.25" customHeight="1">
      <c r="A20" s="805" t="s">
        <v>579</v>
      </c>
      <c r="B20" s="696"/>
      <c r="C20" s="698"/>
    </row>
    <row r="21" spans="1:3" ht="15.75" customHeight="1">
      <c r="A21" s="728" t="s">
        <v>580</v>
      </c>
      <c r="B21" s="661">
        <f>1.54*0.9</f>
        <v>1.3860000000000001</v>
      </c>
      <c r="C21" s="733">
        <f>1.41*0.9</f>
        <v>1.2689999999999999</v>
      </c>
    </row>
    <row r="22" spans="1:3" ht="15.75" customHeight="1">
      <c r="A22" s="775" t="s">
        <v>764</v>
      </c>
      <c r="B22" s="667" t="s">
        <v>914</v>
      </c>
      <c r="C22" s="667" t="s">
        <v>914</v>
      </c>
    </row>
    <row r="23" spans="1:3" ht="15.75" customHeight="1">
      <c r="A23" s="776" t="s">
        <v>762</v>
      </c>
      <c r="B23" s="704">
        <v>900</v>
      </c>
      <c r="C23" s="733">
        <v>900</v>
      </c>
    </row>
    <row r="24" spans="1:3" ht="15.75" customHeight="1">
      <c r="A24" s="728" t="s">
        <v>581</v>
      </c>
      <c r="B24" s="667" t="s">
        <v>324</v>
      </c>
      <c r="C24" s="741" t="s">
        <v>324</v>
      </c>
    </row>
    <row r="25" spans="1:3" ht="15.75" customHeight="1">
      <c r="A25" s="728" t="s">
        <v>582</v>
      </c>
      <c r="B25" s="667" t="s">
        <v>293</v>
      </c>
      <c r="C25" s="741" t="s">
        <v>293</v>
      </c>
    </row>
    <row r="26" spans="1:3" ht="15.75" customHeight="1">
      <c r="A26" s="661" t="s">
        <v>584</v>
      </c>
      <c r="B26" s="667" t="s">
        <v>293</v>
      </c>
      <c r="C26" s="741" t="s">
        <v>293</v>
      </c>
    </row>
    <row r="27" spans="1:3" ht="15.75" customHeight="1">
      <c r="A27" s="661" t="s">
        <v>761</v>
      </c>
      <c r="B27" s="704">
        <v>0.01</v>
      </c>
      <c r="C27" s="733">
        <v>0.01</v>
      </c>
    </row>
    <row r="28" spans="1:3" ht="15.75" customHeight="1">
      <c r="A28" s="661" t="s">
        <v>760</v>
      </c>
      <c r="B28" s="704">
        <v>0.4</v>
      </c>
      <c r="C28" s="733">
        <v>0.4</v>
      </c>
    </row>
    <row r="29" spans="1:3" ht="20.25" customHeight="1">
      <c r="A29" s="804" t="s">
        <v>585</v>
      </c>
      <c r="B29" s="755"/>
      <c r="C29" s="703"/>
    </row>
    <row r="30" spans="1:3" ht="15.75" customHeight="1">
      <c r="A30" s="728" t="s">
        <v>586</v>
      </c>
      <c r="B30" s="667" t="s">
        <v>323</v>
      </c>
      <c r="C30" s="741" t="s">
        <v>323</v>
      </c>
    </row>
    <row r="31" spans="1:3" ht="15.75" customHeight="1">
      <c r="A31" s="728" t="s">
        <v>587</v>
      </c>
      <c r="B31" s="667" t="s">
        <v>293</v>
      </c>
      <c r="C31" s="741" t="s">
        <v>293</v>
      </c>
    </row>
    <row r="32" spans="1:3" ht="15.75" customHeight="1">
      <c r="A32" s="728" t="s">
        <v>588</v>
      </c>
      <c r="B32" s="704">
        <v>65</v>
      </c>
      <c r="C32" s="733">
        <v>45</v>
      </c>
    </row>
    <row r="33" spans="1:3" ht="15.75" customHeight="1">
      <c r="A33" s="728" t="s">
        <v>589</v>
      </c>
      <c r="B33" s="704">
        <v>0.2</v>
      </c>
      <c r="C33" s="733">
        <v>0.2</v>
      </c>
    </row>
    <row r="34" spans="1:3" ht="15.75" customHeight="1">
      <c r="A34" s="728" t="s">
        <v>590</v>
      </c>
      <c r="B34" s="704">
        <v>3600</v>
      </c>
      <c r="C34" s="733">
        <v>3600</v>
      </c>
    </row>
    <row r="35" spans="1:3" ht="15.75" customHeight="1">
      <c r="A35" s="728" t="s">
        <v>591</v>
      </c>
      <c r="B35" s="661">
        <v>0.1</v>
      </c>
      <c r="C35" s="733">
        <v>0.1</v>
      </c>
    </row>
    <row r="36" spans="1:3" ht="15.75" customHeight="1">
      <c r="A36" s="728" t="s">
        <v>592</v>
      </c>
      <c r="B36" s="661">
        <v>45</v>
      </c>
      <c r="C36" s="733">
        <v>45</v>
      </c>
    </row>
    <row r="37" spans="1:3" ht="15.75" customHeight="1">
      <c r="A37" s="728" t="s">
        <v>593</v>
      </c>
      <c r="B37" s="661">
        <v>15</v>
      </c>
      <c r="C37" s="733">
        <v>15</v>
      </c>
    </row>
    <row r="38" spans="1:3" ht="17.25" customHeight="1">
      <c r="A38" s="728" t="s">
        <v>594</v>
      </c>
      <c r="B38" s="667" t="s">
        <v>328</v>
      </c>
      <c r="C38" s="741" t="s">
        <v>328</v>
      </c>
    </row>
    <row r="39" spans="1:3" ht="17.25" customHeight="1">
      <c r="A39" s="728" t="s">
        <v>595</v>
      </c>
      <c r="B39" s="704">
        <v>45</v>
      </c>
      <c r="C39" s="733">
        <v>45</v>
      </c>
    </row>
    <row r="40" spans="1:3" ht="31.5" customHeight="1">
      <c r="A40" s="776" t="s">
        <v>596</v>
      </c>
      <c r="B40" s="661">
        <v>1</v>
      </c>
      <c r="C40" s="733">
        <v>1</v>
      </c>
    </row>
    <row r="41" spans="1:3" ht="15.75" customHeight="1">
      <c r="A41" s="728" t="s">
        <v>597</v>
      </c>
      <c r="B41" s="661">
        <v>20</v>
      </c>
      <c r="C41" s="733">
        <v>20</v>
      </c>
    </row>
    <row r="42" spans="1:3" ht="15.75" customHeight="1">
      <c r="A42" s="728" t="s">
        <v>598</v>
      </c>
      <c r="B42" s="704">
        <v>20</v>
      </c>
      <c r="C42" s="733">
        <v>20</v>
      </c>
    </row>
    <row r="43" spans="1:3" ht="15.75" customHeight="1">
      <c r="A43" s="728" t="s">
        <v>601</v>
      </c>
      <c r="B43" s="667" t="s">
        <v>328</v>
      </c>
      <c r="C43" s="667" t="s">
        <v>328</v>
      </c>
    </row>
    <row r="44" spans="1:3" ht="15.75" customHeight="1">
      <c r="A44" s="728" t="s">
        <v>602</v>
      </c>
      <c r="B44" s="667" t="s">
        <v>354</v>
      </c>
      <c r="C44" s="667" t="s">
        <v>354</v>
      </c>
    </row>
    <row r="45" spans="1:3" ht="15.75" customHeight="1">
      <c r="A45" s="728" t="s">
        <v>603</v>
      </c>
      <c r="B45" s="661">
        <v>0.05</v>
      </c>
      <c r="C45" s="733">
        <v>0.05</v>
      </c>
    </row>
    <row r="46" spans="1:3" ht="15.75" customHeight="1">
      <c r="A46" s="835" t="s">
        <v>606</v>
      </c>
      <c r="B46" s="704">
        <v>120</v>
      </c>
      <c r="C46" s="733">
        <v>120</v>
      </c>
    </row>
    <row r="47" spans="1:3" ht="15.75" customHeight="1">
      <c r="A47" s="728" t="s">
        <v>649</v>
      </c>
      <c r="B47" s="667" t="s">
        <v>324</v>
      </c>
      <c r="C47" s="741" t="s">
        <v>324</v>
      </c>
    </row>
    <row r="48" spans="1:3" ht="15.75" customHeight="1">
      <c r="A48" s="682" t="s">
        <v>607</v>
      </c>
      <c r="B48" s="704">
        <v>4</v>
      </c>
      <c r="C48" s="733">
        <v>4</v>
      </c>
    </row>
    <row r="49" spans="1:3" ht="15.75" customHeight="1">
      <c r="A49" s="682" t="s">
        <v>608</v>
      </c>
      <c r="B49" s="704">
        <v>1800</v>
      </c>
      <c r="C49" s="733">
        <v>1800</v>
      </c>
    </row>
    <row r="50" spans="1:3" ht="15.75" customHeight="1">
      <c r="A50" s="661" t="s">
        <v>609</v>
      </c>
      <c r="B50" s="704">
        <v>5.4999999999999997E-3</v>
      </c>
      <c r="C50" s="733">
        <v>9.5999999999999992E-3</v>
      </c>
    </row>
    <row r="51" spans="1:3" ht="15.75" customHeight="1">
      <c r="A51" s="661" t="s">
        <v>611</v>
      </c>
      <c r="B51" s="704">
        <v>2.5000000000000001E-2</v>
      </c>
      <c r="C51" s="733">
        <v>3.56E-2</v>
      </c>
    </row>
    <row r="52" spans="1:3" ht="15.75" customHeight="1">
      <c r="A52" s="661" t="s">
        <v>613</v>
      </c>
      <c r="B52" s="704">
        <v>1</v>
      </c>
      <c r="C52" s="733">
        <v>1</v>
      </c>
    </row>
    <row r="53" spans="1:3" ht="15.75" customHeight="1">
      <c r="A53" s="661" t="s">
        <v>615</v>
      </c>
      <c r="B53" s="704">
        <v>8.0000000000000004E-4</v>
      </c>
      <c r="C53" s="733">
        <v>1.5E-3</v>
      </c>
    </row>
    <row r="54" spans="1:3" ht="24" customHeight="1">
      <c r="A54" s="803" t="s">
        <v>617</v>
      </c>
      <c r="B54" s="756"/>
      <c r="C54" s="830"/>
    </row>
    <row r="55" spans="1:3" ht="15.75" customHeight="1">
      <c r="A55" s="712" t="s">
        <v>618</v>
      </c>
      <c r="B55" s="704">
        <f>90*0.2</f>
        <v>18</v>
      </c>
      <c r="C55" s="733">
        <f>90*0.2</f>
        <v>18</v>
      </c>
    </row>
    <row r="56" spans="1:3" ht="15.75" customHeight="1">
      <c r="A56" s="712" t="s">
        <v>621</v>
      </c>
      <c r="B56" s="704">
        <v>1.75</v>
      </c>
      <c r="C56" s="733">
        <v>2.25</v>
      </c>
    </row>
    <row r="57" spans="1:3" ht="15.75" customHeight="1">
      <c r="A57" s="661" t="s">
        <v>622</v>
      </c>
      <c r="B57" s="666">
        <v>25</v>
      </c>
      <c r="C57" s="733">
        <v>45</v>
      </c>
    </row>
    <row r="58" spans="1:3" ht="15.75" customHeight="1">
      <c r="A58" s="728" t="s">
        <v>623</v>
      </c>
      <c r="B58" s="704">
        <v>205</v>
      </c>
      <c r="C58" s="733">
        <v>180</v>
      </c>
    </row>
    <row r="59" spans="1:3" ht="15.75" customHeight="1">
      <c r="A59" s="728" t="s">
        <v>625</v>
      </c>
      <c r="B59" s="661">
        <v>8</v>
      </c>
      <c r="C59" s="741" t="s">
        <v>293</v>
      </c>
    </row>
    <row r="60" spans="1:3" ht="15.75" customHeight="1">
      <c r="A60" s="661" t="s">
        <v>629</v>
      </c>
      <c r="B60" s="661">
        <v>300</v>
      </c>
      <c r="C60" s="733">
        <v>200</v>
      </c>
    </row>
    <row r="61" spans="1:3" ht="15.75" customHeight="1">
      <c r="A61" s="728" t="s">
        <v>759</v>
      </c>
      <c r="B61" s="661">
        <v>8</v>
      </c>
      <c r="C61" s="733">
        <v>5.5</v>
      </c>
    </row>
    <row r="62" spans="1:3" ht="15.75" customHeight="1">
      <c r="A62" s="728" t="s">
        <v>631</v>
      </c>
      <c r="B62" s="661">
        <v>8</v>
      </c>
      <c r="C62" s="733">
        <v>6</v>
      </c>
    </row>
    <row r="63" spans="1:3" ht="15.75" customHeight="1">
      <c r="A63" s="728" t="s">
        <v>632</v>
      </c>
      <c r="B63" s="667" t="s">
        <v>293</v>
      </c>
      <c r="C63" s="741" t="s">
        <v>293</v>
      </c>
    </row>
    <row r="64" spans="1:3" ht="15.75" customHeight="1">
      <c r="A64" s="728" t="s">
        <v>633</v>
      </c>
      <c r="B64" s="667" t="s">
        <v>324</v>
      </c>
      <c r="C64" s="741" t="s">
        <v>324</v>
      </c>
    </row>
    <row r="65" spans="1:3" ht="15.75" customHeight="1">
      <c r="A65" s="728" t="s">
        <v>634</v>
      </c>
      <c r="B65" s="721" t="s">
        <v>293</v>
      </c>
      <c r="C65" s="745" t="s">
        <v>293</v>
      </c>
    </row>
    <row r="66" spans="1:3" ht="15.75" customHeight="1">
      <c r="A66" s="728" t="s">
        <v>686</v>
      </c>
      <c r="B66" s="706" t="s">
        <v>328</v>
      </c>
      <c r="C66" s="842" t="s">
        <v>328</v>
      </c>
    </row>
    <row r="67" spans="1:3" ht="15.75" customHeight="1">
      <c r="A67" s="728" t="s">
        <v>687</v>
      </c>
      <c r="B67" s="813">
        <v>7.5</v>
      </c>
      <c r="C67" s="829">
        <v>12.5</v>
      </c>
    </row>
    <row r="68" spans="1:3" ht="15.75" customHeight="1">
      <c r="A68" s="661" t="s">
        <v>688</v>
      </c>
      <c r="B68" s="813">
        <v>-7.5</v>
      </c>
      <c r="C68" s="829">
        <v>-20</v>
      </c>
    </row>
    <row r="69" spans="1:3" ht="15.75" customHeight="1">
      <c r="A69" s="746" t="s">
        <v>689</v>
      </c>
      <c r="B69" s="813">
        <v>2.5</v>
      </c>
      <c r="C69" s="829">
        <v>1.25</v>
      </c>
    </row>
    <row r="70" spans="1:3" ht="112.5" customHeight="1">
      <c r="A70" s="722" t="s">
        <v>635</v>
      </c>
      <c r="B70" s="706"/>
      <c r="C70" s="842"/>
    </row>
    <row r="71" spans="1:3" ht="12.75">
      <c r="A71" s="728"/>
      <c r="B71" s="60"/>
      <c r="C71" s="750"/>
    </row>
    <row r="72" spans="1:3" ht="12.75">
      <c r="A72" s="728"/>
      <c r="B72" s="661"/>
      <c r="C72" s="750"/>
    </row>
    <row r="73" spans="1:3" ht="12.75">
      <c r="A73" s="728"/>
      <c r="B73" s="661"/>
      <c r="C73" s="750"/>
    </row>
    <row r="74" spans="1:3" ht="12.75">
      <c r="A74" s="728"/>
      <c r="B74" s="661"/>
      <c r="C74" s="750"/>
    </row>
    <row r="75" spans="1:3" ht="12.75">
      <c r="A75" s="728"/>
      <c r="B75" s="661"/>
      <c r="C75" s="750"/>
    </row>
    <row r="76" spans="1:3" ht="12.75">
      <c r="A76" s="728"/>
      <c r="B76" s="661"/>
      <c r="C76" s="750"/>
    </row>
    <row r="77" spans="1:3" ht="12.75">
      <c r="A77" s="728"/>
      <c r="B77" s="661"/>
      <c r="C77" s="750"/>
    </row>
    <row r="78" spans="1:3" ht="12.75">
      <c r="A78" s="728"/>
      <c r="B78" s="661"/>
      <c r="C78" s="750"/>
    </row>
    <row r="79" spans="1:3" ht="12.75">
      <c r="A79" s="728"/>
      <c r="B79" s="661"/>
      <c r="C79" s="750"/>
    </row>
    <row r="80" spans="1:3" ht="12.75">
      <c r="A80" s="728"/>
      <c r="B80" s="661"/>
      <c r="C80" s="750"/>
    </row>
  </sheetData>
  <conditionalFormatting sqref="A1:C1 A3:C7 A9:C19 A21:C28 A30:C53 A55:C80">
    <cfRule type="expression" dxfId="28" priority="1">
      <formula>ISODD(COLUMN())</formula>
    </cfRule>
    <cfRule type="expression" dxfId="27" priority="2">
      <formula>ISEVEN(COLUMN())</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06E2E-ABA2-41B8-8A11-0C30C2234D25}">
  <sheetPr>
    <tabColor rgb="FF38761D"/>
    <outlinePr summaryBelow="0" summaryRight="0"/>
  </sheetPr>
  <dimension ref="A1:Q60"/>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3" width="17.42578125" customWidth="1"/>
    <col min="4" max="4" width="15.7109375" customWidth="1"/>
    <col min="5" max="6" width="16.7109375" customWidth="1"/>
    <col min="7" max="7" width="19.28515625" customWidth="1"/>
    <col min="8" max="8" width="16.42578125" customWidth="1"/>
    <col min="9" max="9" width="14.42578125" customWidth="1"/>
    <col min="10" max="14" width="16.7109375" customWidth="1"/>
    <col min="15" max="15" width="18.42578125" customWidth="1"/>
    <col min="16" max="17" width="16.7109375" customWidth="1"/>
  </cols>
  <sheetData>
    <row r="1" spans="1:17" ht="35.25" customHeight="1">
      <c r="A1" s="811" t="s">
        <v>551</v>
      </c>
      <c r="B1" s="655" t="s">
        <v>1191</v>
      </c>
      <c r="C1" s="655" t="s">
        <v>1190</v>
      </c>
      <c r="D1" s="653" t="s">
        <v>1189</v>
      </c>
      <c r="E1" s="653" t="s">
        <v>1188</v>
      </c>
      <c r="F1" s="655" t="s">
        <v>1187</v>
      </c>
      <c r="G1" s="653" t="s">
        <v>1186</v>
      </c>
      <c r="H1" s="828" t="s">
        <v>1185</v>
      </c>
      <c r="I1" s="655" t="s">
        <v>1184</v>
      </c>
      <c r="J1" s="655" t="s">
        <v>1183</v>
      </c>
      <c r="K1" s="653" t="s">
        <v>1182</v>
      </c>
      <c r="L1" s="653" t="s">
        <v>1181</v>
      </c>
      <c r="M1" s="653" t="s">
        <v>1180</v>
      </c>
      <c r="N1" s="655" t="s">
        <v>1179</v>
      </c>
      <c r="O1" s="655" t="s">
        <v>1178</v>
      </c>
      <c r="P1" s="653" t="s">
        <v>1177</v>
      </c>
      <c r="Q1" s="655" t="s">
        <v>988</v>
      </c>
    </row>
    <row r="2" spans="1:17" ht="84" customHeight="1">
      <c r="A2" s="810" t="s">
        <v>562</v>
      </c>
      <c r="B2" s="660"/>
      <c r="C2" s="660"/>
      <c r="D2" s="819"/>
      <c r="E2" s="660"/>
      <c r="F2" s="660"/>
      <c r="G2" s="660"/>
      <c r="H2" s="660"/>
      <c r="I2" s="819"/>
      <c r="J2" s="819"/>
      <c r="K2" s="660"/>
      <c r="L2" s="660"/>
      <c r="M2" s="660"/>
      <c r="N2" s="660"/>
      <c r="O2" s="660"/>
      <c r="P2" s="660"/>
      <c r="Q2" s="660"/>
    </row>
    <row r="3" spans="1:17" ht="15.75" customHeight="1">
      <c r="A3" s="776" t="s">
        <v>563</v>
      </c>
      <c r="B3" s="776">
        <v>18.8</v>
      </c>
      <c r="C3" s="776">
        <v>18.8</v>
      </c>
      <c r="D3" s="788">
        <v>18.8</v>
      </c>
      <c r="E3" s="788">
        <v>16.5</v>
      </c>
      <c r="F3" s="776">
        <v>17.2</v>
      </c>
      <c r="G3" s="788">
        <v>46</v>
      </c>
      <c r="H3" s="776">
        <v>46</v>
      </c>
      <c r="I3" s="776">
        <v>26</v>
      </c>
      <c r="J3" s="776">
        <v>25</v>
      </c>
      <c r="K3" s="788">
        <v>18.8</v>
      </c>
      <c r="L3" s="788">
        <v>19.8</v>
      </c>
      <c r="M3" s="788">
        <v>24</v>
      </c>
      <c r="N3" s="776">
        <v>19</v>
      </c>
      <c r="O3" s="776">
        <v>78.92</v>
      </c>
      <c r="P3" s="788">
        <v>28</v>
      </c>
      <c r="Q3" s="812">
        <v>28.5</v>
      </c>
    </row>
    <row r="4" spans="1:17" ht="15.75" customHeight="1">
      <c r="A4" s="728" t="s">
        <v>564</v>
      </c>
      <c r="B4" s="812">
        <v>16.8</v>
      </c>
      <c r="C4" s="812">
        <v>16.8</v>
      </c>
      <c r="D4" s="780">
        <v>16.8</v>
      </c>
      <c r="E4" s="780">
        <v>14.9</v>
      </c>
      <c r="F4" s="812">
        <v>15.6</v>
      </c>
      <c r="G4" s="812">
        <v>36.6</v>
      </c>
      <c r="H4" s="812">
        <v>36.6</v>
      </c>
      <c r="I4" s="812">
        <v>23.17</v>
      </c>
      <c r="J4" s="812">
        <v>19</v>
      </c>
      <c r="K4" s="780">
        <v>16.8</v>
      </c>
      <c r="L4" s="780">
        <v>18.3</v>
      </c>
      <c r="M4" s="780">
        <v>22</v>
      </c>
      <c r="N4" s="812">
        <v>17.399999999999999</v>
      </c>
      <c r="O4" s="812">
        <v>37.92</v>
      </c>
      <c r="P4" s="780">
        <v>24.5</v>
      </c>
      <c r="Q4" s="812">
        <v>25</v>
      </c>
    </row>
    <row r="5" spans="1:17" ht="15.75" customHeight="1">
      <c r="A5" s="728" t="s">
        <v>565</v>
      </c>
      <c r="B5" s="815" t="s">
        <v>293</v>
      </c>
      <c r="C5" s="815" t="s">
        <v>293</v>
      </c>
      <c r="D5" s="815" t="s">
        <v>293</v>
      </c>
      <c r="E5" s="815" t="s">
        <v>293</v>
      </c>
      <c r="F5" s="815" t="s">
        <v>293</v>
      </c>
      <c r="G5" s="812">
        <v>30</v>
      </c>
      <c r="H5" s="812">
        <v>30</v>
      </c>
      <c r="I5" s="812">
        <v>19.2</v>
      </c>
      <c r="J5" s="812">
        <v>17.100000000000001</v>
      </c>
      <c r="K5" s="815" t="s">
        <v>293</v>
      </c>
      <c r="L5" s="815" t="s">
        <v>293</v>
      </c>
      <c r="M5" s="815" t="s">
        <v>293</v>
      </c>
      <c r="N5" s="815" t="s">
        <v>293</v>
      </c>
      <c r="O5" s="815" t="s">
        <v>293</v>
      </c>
      <c r="P5" s="815" t="s">
        <v>293</v>
      </c>
      <c r="Q5" s="815" t="s">
        <v>293</v>
      </c>
    </row>
    <row r="6" spans="1:17" ht="15.75" customHeight="1">
      <c r="A6" s="776" t="s">
        <v>566</v>
      </c>
      <c r="B6" s="812">
        <v>100</v>
      </c>
      <c r="C6" s="812">
        <v>115</v>
      </c>
      <c r="D6" s="788">
        <v>100</v>
      </c>
      <c r="E6" s="788">
        <v>125</v>
      </c>
      <c r="F6" s="776">
        <v>125</v>
      </c>
      <c r="G6" s="788">
        <v>155</v>
      </c>
      <c r="H6" s="776">
        <v>155</v>
      </c>
      <c r="I6" s="776">
        <v>152</v>
      </c>
      <c r="J6" s="776">
        <v>142</v>
      </c>
      <c r="K6" s="788">
        <v>100</v>
      </c>
      <c r="L6" s="788">
        <v>105</v>
      </c>
      <c r="M6" s="788">
        <v>105</v>
      </c>
      <c r="N6" s="776">
        <v>125</v>
      </c>
      <c r="O6" s="812">
        <v>163</v>
      </c>
      <c r="P6" s="788">
        <v>127</v>
      </c>
      <c r="Q6" s="776">
        <v>127</v>
      </c>
    </row>
    <row r="7" spans="1:17" ht="15.75" customHeight="1">
      <c r="A7" s="776" t="s">
        <v>567</v>
      </c>
      <c r="B7" s="776">
        <v>1.0920000000000001</v>
      </c>
      <c r="C7" s="776">
        <v>1.0920000000000001</v>
      </c>
      <c r="D7" s="788">
        <v>1.0920000000000001</v>
      </c>
      <c r="E7" s="780">
        <v>0.69499999999999995</v>
      </c>
      <c r="F7" s="812">
        <v>0.69499999999999995</v>
      </c>
      <c r="G7" s="788">
        <v>2.04</v>
      </c>
      <c r="H7" s="776">
        <v>2.04</v>
      </c>
      <c r="I7" s="776">
        <v>1.2</v>
      </c>
      <c r="J7" s="776">
        <v>1.1499999999999999</v>
      </c>
      <c r="K7" s="788">
        <v>1.0920000000000001</v>
      </c>
      <c r="L7" s="788">
        <v>1.0920000000000001</v>
      </c>
      <c r="M7" s="788">
        <v>1.0149999999999999</v>
      </c>
      <c r="N7" s="812">
        <v>0.69499999999999995</v>
      </c>
      <c r="O7" s="776">
        <v>2.85</v>
      </c>
      <c r="P7" s="788">
        <v>1.47</v>
      </c>
      <c r="Q7" s="812">
        <v>1.75</v>
      </c>
    </row>
    <row r="8" spans="1:17" ht="20.25" customHeight="1">
      <c r="A8" s="809" t="s">
        <v>568</v>
      </c>
      <c r="B8" s="794"/>
      <c r="C8" s="794"/>
      <c r="D8" s="794"/>
      <c r="E8" s="794"/>
      <c r="F8" s="822"/>
      <c r="G8" s="822"/>
      <c r="H8" s="822"/>
      <c r="I8" s="822"/>
      <c r="J8" s="822"/>
      <c r="K8" s="794"/>
      <c r="L8" s="794"/>
      <c r="M8" s="794"/>
      <c r="N8" s="822"/>
      <c r="O8" s="794"/>
      <c r="P8" s="794"/>
      <c r="Q8" s="794"/>
    </row>
    <row r="9" spans="1:17" ht="15.75" customHeight="1">
      <c r="A9" s="776" t="s">
        <v>569</v>
      </c>
      <c r="B9" s="776">
        <v>674</v>
      </c>
      <c r="C9" s="776">
        <v>674</v>
      </c>
      <c r="D9" s="788">
        <v>674</v>
      </c>
      <c r="E9" s="788">
        <v>540</v>
      </c>
      <c r="F9" s="776">
        <v>540</v>
      </c>
      <c r="G9" s="788">
        <v>19130</v>
      </c>
      <c r="H9" s="776">
        <v>19130</v>
      </c>
      <c r="I9" s="776">
        <v>6160</v>
      </c>
      <c r="J9" s="776">
        <v>5917</v>
      </c>
      <c r="K9" s="788">
        <v>674</v>
      </c>
      <c r="L9" s="788">
        <v>674</v>
      </c>
      <c r="M9" s="788">
        <v>815</v>
      </c>
      <c r="N9" s="776">
        <v>540</v>
      </c>
      <c r="O9" s="776">
        <v>61500</v>
      </c>
      <c r="P9" s="788">
        <v>4000</v>
      </c>
      <c r="Q9" s="776">
        <v>4000</v>
      </c>
    </row>
    <row r="10" spans="1:17" ht="15.75" customHeight="1">
      <c r="A10" s="776" t="s">
        <v>570</v>
      </c>
      <c r="B10" s="776">
        <v>6</v>
      </c>
      <c r="C10" s="776">
        <v>6</v>
      </c>
      <c r="D10" s="788">
        <v>6</v>
      </c>
      <c r="E10" s="788">
        <v>6</v>
      </c>
      <c r="F10" s="776">
        <v>6</v>
      </c>
      <c r="G10" s="788">
        <v>1</v>
      </c>
      <c r="H10" s="776">
        <v>1</v>
      </c>
      <c r="I10" s="776">
        <v>1</v>
      </c>
      <c r="J10" s="776">
        <v>1.5</v>
      </c>
      <c r="K10" s="788">
        <v>6</v>
      </c>
      <c r="L10" s="788">
        <v>6</v>
      </c>
      <c r="M10" s="788">
        <v>5</v>
      </c>
      <c r="N10" s="776">
        <v>6</v>
      </c>
      <c r="O10" s="776">
        <v>1.5</v>
      </c>
      <c r="P10" s="788">
        <v>2</v>
      </c>
      <c r="Q10" s="776">
        <v>2</v>
      </c>
    </row>
    <row r="11" spans="1:17" ht="15.75" customHeight="1">
      <c r="A11" s="776" t="str">
        <f>"Raw acceleration at ignition: [m/s"&amp;CHAR(178)&amp;"]"</f>
        <v>Raw acceleration at ignition: [m/s²]</v>
      </c>
      <c r="B11" s="806">
        <f t="shared" ref="B11:Q11" si="0">B9/B3</f>
        <v>35.851063829787236</v>
      </c>
      <c r="C11" s="806">
        <f t="shared" si="0"/>
        <v>35.851063829787236</v>
      </c>
      <c r="D11" s="777">
        <f t="shared" si="0"/>
        <v>35.851063829787236</v>
      </c>
      <c r="E11" s="777">
        <f t="shared" si="0"/>
        <v>32.727272727272727</v>
      </c>
      <c r="F11" s="806">
        <f t="shared" si="0"/>
        <v>31.395348837209305</v>
      </c>
      <c r="G11" s="777">
        <f t="shared" si="0"/>
        <v>415.86956521739131</v>
      </c>
      <c r="H11" s="806">
        <f t="shared" si="0"/>
        <v>415.86956521739131</v>
      </c>
      <c r="I11" s="806">
        <f t="shared" si="0"/>
        <v>236.92307692307693</v>
      </c>
      <c r="J11" s="806">
        <f t="shared" si="0"/>
        <v>236.68</v>
      </c>
      <c r="K11" s="777">
        <f t="shared" si="0"/>
        <v>35.851063829787236</v>
      </c>
      <c r="L11" s="777">
        <f t="shared" si="0"/>
        <v>34.040404040404042</v>
      </c>
      <c r="M11" s="777">
        <f t="shared" si="0"/>
        <v>33.958333333333336</v>
      </c>
      <c r="N11" s="806">
        <f t="shared" si="0"/>
        <v>28.421052631578949</v>
      </c>
      <c r="O11" s="806">
        <f t="shared" si="0"/>
        <v>779.27014698428786</v>
      </c>
      <c r="P11" s="806">
        <f t="shared" si="0"/>
        <v>142.85714285714286</v>
      </c>
      <c r="Q11" s="806">
        <f t="shared" si="0"/>
        <v>140.35087719298247</v>
      </c>
    </row>
    <row r="12" spans="1:17" ht="15.75" customHeight="1">
      <c r="A12" s="728" t="s">
        <v>571</v>
      </c>
      <c r="B12" s="781">
        <f t="shared" ref="B12:Q12" si="1">B10*B9/(9.81*(B3-B4))</f>
        <v>206.11620795107032</v>
      </c>
      <c r="C12" s="781">
        <f t="shared" si="1"/>
        <v>206.11620795107032</v>
      </c>
      <c r="D12" s="781">
        <f t="shared" si="1"/>
        <v>206.11620795107032</v>
      </c>
      <c r="E12" s="781">
        <f t="shared" si="1"/>
        <v>206.42201834862388</v>
      </c>
      <c r="F12" s="781">
        <f t="shared" si="1"/>
        <v>206.42201834862388</v>
      </c>
      <c r="G12" s="781">
        <f t="shared" si="1"/>
        <v>207.45223068080773</v>
      </c>
      <c r="H12" s="781">
        <f t="shared" si="1"/>
        <v>207.45223068080773</v>
      </c>
      <c r="I12" s="781">
        <f t="shared" si="1"/>
        <v>221.8836335606201</v>
      </c>
      <c r="J12" s="781">
        <f t="shared" si="1"/>
        <v>150.79001019367993</v>
      </c>
      <c r="K12" s="781">
        <f t="shared" si="1"/>
        <v>206.11620795107032</v>
      </c>
      <c r="L12" s="781">
        <f t="shared" si="1"/>
        <v>274.8216106014271</v>
      </c>
      <c r="M12" s="781">
        <f t="shared" si="1"/>
        <v>207.69622833843016</v>
      </c>
      <c r="N12" s="781">
        <f t="shared" si="1"/>
        <v>206.42201834862368</v>
      </c>
      <c r="O12" s="781">
        <f t="shared" si="1"/>
        <v>229.35779816513758</v>
      </c>
      <c r="P12" s="781">
        <f t="shared" si="1"/>
        <v>232.99839813601281</v>
      </c>
      <c r="Q12" s="781">
        <f t="shared" si="1"/>
        <v>232.99839813601281</v>
      </c>
    </row>
    <row r="13" spans="1:17" ht="15.75" customHeight="1">
      <c r="A13" s="661" t="s">
        <v>572</v>
      </c>
      <c r="B13" s="678">
        <f t="shared" ref="B13:Q13" si="2">B12*9.81*LN(B3/B4)</f>
        <v>227.43048248876778</v>
      </c>
      <c r="C13" s="678">
        <f t="shared" si="2"/>
        <v>227.43048248876778</v>
      </c>
      <c r="D13" s="678">
        <f t="shared" si="2"/>
        <v>227.43048248876778</v>
      </c>
      <c r="E13" s="678">
        <f t="shared" si="2"/>
        <v>206.54831510912115</v>
      </c>
      <c r="F13" s="678">
        <f t="shared" si="2"/>
        <v>197.71790086693008</v>
      </c>
      <c r="G13" s="678">
        <f t="shared" si="2"/>
        <v>465.21139104727058</v>
      </c>
      <c r="H13" s="678">
        <f t="shared" si="2"/>
        <v>465.21139104727058</v>
      </c>
      <c r="I13" s="678">
        <f t="shared" si="2"/>
        <v>250.83650508676149</v>
      </c>
      <c r="J13" s="678">
        <f t="shared" si="2"/>
        <v>405.96070400432905</v>
      </c>
      <c r="K13" s="678">
        <f t="shared" si="2"/>
        <v>227.43048248876778</v>
      </c>
      <c r="L13" s="678">
        <f t="shared" si="2"/>
        <v>212.39324669199638</v>
      </c>
      <c r="M13" s="678">
        <f t="shared" si="2"/>
        <v>177.28568061637051</v>
      </c>
      <c r="N13" s="678">
        <f t="shared" si="2"/>
        <v>178.13676521556323</v>
      </c>
      <c r="O13" s="678">
        <f t="shared" si="2"/>
        <v>1649.1510084770855</v>
      </c>
      <c r="P13" s="678">
        <f t="shared" si="2"/>
        <v>305.21461171319447</v>
      </c>
      <c r="Q13" s="678">
        <f t="shared" si="2"/>
        <v>299.4931712146377</v>
      </c>
    </row>
    <row r="14" spans="1:17" ht="15.75" customHeight="1">
      <c r="A14" s="836" t="s">
        <v>573</v>
      </c>
      <c r="B14" s="807">
        <v>1.5</v>
      </c>
      <c r="C14" s="807">
        <v>1.5</v>
      </c>
      <c r="D14" s="807">
        <v>1.5</v>
      </c>
      <c r="E14" s="807">
        <v>1.5</v>
      </c>
      <c r="F14" s="807">
        <v>1.5</v>
      </c>
      <c r="G14" s="678">
        <v>0.05</v>
      </c>
      <c r="H14" s="678">
        <v>0.05</v>
      </c>
      <c r="I14" s="807">
        <v>0.1</v>
      </c>
      <c r="J14" s="815" t="s">
        <v>293</v>
      </c>
      <c r="K14" s="807">
        <v>1.5</v>
      </c>
      <c r="L14" s="807">
        <v>1.5</v>
      </c>
      <c r="M14" s="678">
        <v>0.25</v>
      </c>
      <c r="N14" s="807">
        <v>1.5</v>
      </c>
      <c r="O14" s="815" t="s">
        <v>293</v>
      </c>
      <c r="P14" s="678">
        <v>0.14000000000000001</v>
      </c>
      <c r="Q14" s="678">
        <v>0.14000000000000001</v>
      </c>
    </row>
    <row r="15" spans="1:17" ht="15.75" customHeight="1">
      <c r="A15" s="776" t="s">
        <v>574</v>
      </c>
      <c r="B15" s="815" t="s">
        <v>293</v>
      </c>
      <c r="C15" s="815" t="s">
        <v>293</v>
      </c>
      <c r="D15" s="790" t="s">
        <v>293</v>
      </c>
      <c r="E15" s="790" t="s">
        <v>293</v>
      </c>
      <c r="F15" s="815" t="s">
        <v>293</v>
      </c>
      <c r="G15" s="780">
        <v>2365</v>
      </c>
      <c r="H15" s="812">
        <v>2365</v>
      </c>
      <c r="I15" s="812">
        <v>625</v>
      </c>
      <c r="J15" s="812">
        <v>1114</v>
      </c>
      <c r="K15" s="790" t="s">
        <v>293</v>
      </c>
      <c r="L15" s="790" t="s">
        <v>293</v>
      </c>
      <c r="M15" s="790" t="s">
        <v>293</v>
      </c>
      <c r="N15" s="815" t="s">
        <v>293</v>
      </c>
      <c r="O15" s="815" t="s">
        <v>293</v>
      </c>
      <c r="P15" s="815" t="s">
        <v>293</v>
      </c>
      <c r="Q15" s="815" t="s">
        <v>293</v>
      </c>
    </row>
    <row r="16" spans="1:17" ht="15.75" customHeight="1">
      <c r="A16" s="776" t="s">
        <v>575</v>
      </c>
      <c r="B16" s="815" t="s">
        <v>293</v>
      </c>
      <c r="C16" s="815" t="s">
        <v>293</v>
      </c>
      <c r="D16" s="790" t="s">
        <v>293</v>
      </c>
      <c r="E16" s="790" t="s">
        <v>293</v>
      </c>
      <c r="F16" s="815" t="s">
        <v>293</v>
      </c>
      <c r="G16" s="780">
        <v>6</v>
      </c>
      <c r="H16" s="812">
        <v>6</v>
      </c>
      <c r="I16" s="812">
        <v>13</v>
      </c>
      <c r="J16" s="812">
        <v>6.5</v>
      </c>
      <c r="K16" s="790" t="s">
        <v>293</v>
      </c>
      <c r="L16" s="790" t="s">
        <v>293</v>
      </c>
      <c r="M16" s="790" t="s">
        <v>293</v>
      </c>
      <c r="N16" s="815" t="s">
        <v>293</v>
      </c>
      <c r="O16" s="815" t="s">
        <v>293</v>
      </c>
      <c r="P16" s="815" t="s">
        <v>293</v>
      </c>
      <c r="Q16" s="815" t="s">
        <v>293</v>
      </c>
    </row>
    <row r="17" spans="1:17" ht="15.75" customHeight="1">
      <c r="A17" s="728" t="s">
        <v>576</v>
      </c>
      <c r="B17" s="790" t="s">
        <v>293</v>
      </c>
      <c r="C17" s="790" t="s">
        <v>293</v>
      </c>
      <c r="D17" s="790" t="s">
        <v>293</v>
      </c>
      <c r="E17" s="790" t="s">
        <v>293</v>
      </c>
      <c r="F17" s="790" t="s">
        <v>293</v>
      </c>
      <c r="G17" s="777">
        <f>G16*G15/(9.81*(G4-G5))</f>
        <v>219.16411824668697</v>
      </c>
      <c r="H17" s="777">
        <f>H16*H15/(9.81*(H4-H5))</f>
        <v>219.16411824668697</v>
      </c>
      <c r="I17" s="777">
        <f>I16*I15/(9.81*(I4-I5))</f>
        <v>208.62380185745783</v>
      </c>
      <c r="J17" s="777">
        <f>J16*J15/(9.81*(J4-J5))</f>
        <v>388.48650678684504</v>
      </c>
      <c r="K17" s="790" t="s">
        <v>293</v>
      </c>
      <c r="L17" s="790" t="s">
        <v>293</v>
      </c>
      <c r="M17" s="790" t="s">
        <v>293</v>
      </c>
      <c r="N17" s="790" t="s">
        <v>293</v>
      </c>
      <c r="O17" s="790" t="s">
        <v>293</v>
      </c>
      <c r="P17" s="815" t="s">
        <v>293</v>
      </c>
      <c r="Q17" s="815" t="s">
        <v>293</v>
      </c>
    </row>
    <row r="18" spans="1:17" ht="15.75" customHeight="1">
      <c r="A18" s="728" t="s">
        <v>577</v>
      </c>
      <c r="B18" s="790" t="s">
        <v>293</v>
      </c>
      <c r="C18" s="790" t="s">
        <v>293</v>
      </c>
      <c r="D18" s="790" t="s">
        <v>293</v>
      </c>
      <c r="E18" s="790" t="s">
        <v>293</v>
      </c>
      <c r="F18" s="790" t="s">
        <v>293</v>
      </c>
      <c r="G18" s="777">
        <f>G17*9.81*LN(G4/G5)</f>
        <v>427.52934630210495</v>
      </c>
      <c r="H18" s="777">
        <f>H17*9.81*LN(H4/H5)</f>
        <v>427.52934630210495</v>
      </c>
      <c r="I18" s="777">
        <f>I17*9.81*LN(I4/I5)</f>
        <v>384.65440370546884</v>
      </c>
      <c r="J18" s="777">
        <f>J17*9.81*LN(J4/J5)</f>
        <v>401.53447046227353</v>
      </c>
      <c r="K18" s="790" t="s">
        <v>293</v>
      </c>
      <c r="L18" s="790" t="s">
        <v>293</v>
      </c>
      <c r="M18" s="790" t="s">
        <v>293</v>
      </c>
      <c r="N18" s="790" t="s">
        <v>293</v>
      </c>
      <c r="O18" s="790" t="s">
        <v>293</v>
      </c>
      <c r="P18" s="815" t="s">
        <v>293</v>
      </c>
      <c r="Q18" s="815" t="s">
        <v>293</v>
      </c>
    </row>
    <row r="19" spans="1:17" ht="15.75" customHeight="1">
      <c r="A19" s="728" t="s">
        <v>578</v>
      </c>
      <c r="B19" s="692">
        <f t="shared" ref="B19:Q19" si="3">IF(ISNUMBER(B18),B13+B18,B13)</f>
        <v>227.43048248876778</v>
      </c>
      <c r="C19" s="692">
        <f t="shared" si="3"/>
        <v>227.43048248876778</v>
      </c>
      <c r="D19" s="692">
        <f t="shared" si="3"/>
        <v>227.43048248876778</v>
      </c>
      <c r="E19" s="692">
        <f t="shared" si="3"/>
        <v>206.54831510912115</v>
      </c>
      <c r="F19" s="692">
        <f t="shared" si="3"/>
        <v>197.71790086693008</v>
      </c>
      <c r="G19" s="692">
        <f t="shared" si="3"/>
        <v>892.74073734937554</v>
      </c>
      <c r="H19" s="692">
        <f t="shared" si="3"/>
        <v>892.74073734937554</v>
      </c>
      <c r="I19" s="692">
        <f t="shared" si="3"/>
        <v>635.49090879223036</v>
      </c>
      <c r="J19" s="692">
        <f t="shared" si="3"/>
        <v>807.49517446660252</v>
      </c>
      <c r="K19" s="692">
        <f t="shared" si="3"/>
        <v>227.43048248876778</v>
      </c>
      <c r="L19" s="692">
        <f t="shared" si="3"/>
        <v>212.39324669199638</v>
      </c>
      <c r="M19" s="692">
        <f t="shared" si="3"/>
        <v>177.28568061637051</v>
      </c>
      <c r="N19" s="692">
        <f t="shared" si="3"/>
        <v>178.13676521556323</v>
      </c>
      <c r="O19" s="692">
        <f t="shared" si="3"/>
        <v>1649.1510084770855</v>
      </c>
      <c r="P19" s="692">
        <f t="shared" si="3"/>
        <v>305.21461171319447</v>
      </c>
      <c r="Q19" s="692">
        <f t="shared" si="3"/>
        <v>299.4931712146377</v>
      </c>
    </row>
    <row r="20" spans="1:17" ht="20.25" customHeight="1">
      <c r="A20" s="817" t="s">
        <v>579</v>
      </c>
      <c r="B20" s="792"/>
      <c r="C20" s="792"/>
      <c r="D20" s="792"/>
      <c r="E20" s="792"/>
      <c r="F20" s="792"/>
      <c r="G20" s="792"/>
      <c r="H20" s="792"/>
      <c r="I20" s="792"/>
      <c r="J20" s="792"/>
      <c r="K20" s="792"/>
      <c r="L20" s="792"/>
      <c r="M20" s="792"/>
      <c r="N20" s="792"/>
      <c r="O20" s="792"/>
      <c r="P20" s="792"/>
      <c r="Q20" s="792"/>
    </row>
    <row r="21" spans="1:17" ht="15.75" customHeight="1">
      <c r="A21" s="776" t="s">
        <v>580</v>
      </c>
      <c r="B21" s="776">
        <f>1.62*3</f>
        <v>4.8600000000000003</v>
      </c>
      <c r="C21" s="776">
        <f>1.62*3</f>
        <v>4.8600000000000003</v>
      </c>
      <c r="D21" s="776">
        <f>1.62*3</f>
        <v>4.8600000000000003</v>
      </c>
      <c r="E21" s="776">
        <f>1.62*3.6</f>
        <v>5.8320000000000007</v>
      </c>
      <c r="F21" s="776">
        <f>1.62*3.6</f>
        <v>5.8320000000000007</v>
      </c>
      <c r="G21" s="776">
        <f>1.54*6</f>
        <v>9.24</v>
      </c>
      <c r="H21" s="776">
        <f>1.54*4</f>
        <v>6.16</v>
      </c>
      <c r="I21" s="776">
        <f>1.62*4</f>
        <v>6.48</v>
      </c>
      <c r="J21" s="776">
        <f>1.31*2.5</f>
        <v>3.2750000000000004</v>
      </c>
      <c r="K21" s="776">
        <f>1.62*3</f>
        <v>4.8600000000000003</v>
      </c>
      <c r="L21" s="776">
        <f>1.62*3</f>
        <v>4.8600000000000003</v>
      </c>
      <c r="M21" s="776">
        <f>1.62*3.2</f>
        <v>5.1840000000000011</v>
      </c>
      <c r="N21" s="776">
        <f>1.62*3.6</f>
        <v>5.8320000000000007</v>
      </c>
      <c r="O21" s="790" t="s">
        <v>293</v>
      </c>
      <c r="P21" s="788">
        <f>1.28*2.8</f>
        <v>3.5839999999999996</v>
      </c>
      <c r="Q21" s="788">
        <f>1.28*2.8</f>
        <v>3.5839999999999996</v>
      </c>
    </row>
    <row r="22" spans="1:17" ht="15.75" customHeight="1">
      <c r="A22" s="775" t="s">
        <v>764</v>
      </c>
      <c r="B22" s="815" t="s">
        <v>894</v>
      </c>
      <c r="C22" s="815" t="s">
        <v>894</v>
      </c>
      <c r="D22" s="790" t="s">
        <v>914</v>
      </c>
      <c r="E22" s="790" t="s">
        <v>894</v>
      </c>
      <c r="F22" s="815" t="s">
        <v>914</v>
      </c>
      <c r="G22" s="790" t="s">
        <v>763</v>
      </c>
      <c r="H22" s="815" t="s">
        <v>914</v>
      </c>
      <c r="I22" s="815" t="s">
        <v>914</v>
      </c>
      <c r="J22" s="815" t="s">
        <v>894</v>
      </c>
      <c r="K22" s="815" t="s">
        <v>914</v>
      </c>
      <c r="L22" s="815" t="s">
        <v>914</v>
      </c>
      <c r="M22" s="790" t="s">
        <v>914</v>
      </c>
      <c r="N22" s="815" t="s">
        <v>914</v>
      </c>
      <c r="O22" s="815" t="s">
        <v>1176</v>
      </c>
      <c r="P22" s="790" t="s">
        <v>894</v>
      </c>
      <c r="Q22" s="815" t="s">
        <v>914</v>
      </c>
    </row>
    <row r="23" spans="1:17" ht="15.75" customHeight="1">
      <c r="A23" s="776" t="s">
        <v>762</v>
      </c>
      <c r="B23" s="776">
        <v>600</v>
      </c>
      <c r="C23" s="776">
        <v>600</v>
      </c>
      <c r="D23" s="788">
        <v>750</v>
      </c>
      <c r="E23" s="788">
        <v>700</v>
      </c>
      <c r="F23" s="776">
        <v>850</v>
      </c>
      <c r="G23" s="788">
        <v>61.24</v>
      </c>
      <c r="H23" s="776">
        <v>1200</v>
      </c>
      <c r="I23" s="776">
        <v>1200</v>
      </c>
      <c r="J23" s="776">
        <v>700</v>
      </c>
      <c r="K23" s="788">
        <v>600</v>
      </c>
      <c r="L23" s="788">
        <v>750</v>
      </c>
      <c r="M23" s="788">
        <v>550</v>
      </c>
      <c r="N23" s="776">
        <v>850</v>
      </c>
      <c r="O23" s="815" t="s">
        <v>1175</v>
      </c>
      <c r="P23" s="788">
        <v>650</v>
      </c>
      <c r="Q23" s="776">
        <v>1000</v>
      </c>
    </row>
    <row r="24" spans="1:17" ht="15.75" customHeight="1">
      <c r="A24" s="661" t="s">
        <v>761</v>
      </c>
      <c r="B24" s="776">
        <v>0.1</v>
      </c>
      <c r="C24" s="776">
        <v>0.1</v>
      </c>
      <c r="D24" s="788">
        <v>0.01</v>
      </c>
      <c r="E24" s="788">
        <v>0.1</v>
      </c>
      <c r="F24" s="776">
        <v>0.01</v>
      </c>
      <c r="G24" s="788">
        <v>0.1</v>
      </c>
      <c r="H24" s="776">
        <v>0.01</v>
      </c>
      <c r="I24" s="776">
        <v>0.01</v>
      </c>
      <c r="J24" s="776">
        <v>0.1</v>
      </c>
      <c r="K24" s="788">
        <v>0.01</v>
      </c>
      <c r="L24" s="788">
        <v>0.01</v>
      </c>
      <c r="M24" s="788">
        <v>0.01</v>
      </c>
      <c r="N24" s="776">
        <v>0.01</v>
      </c>
      <c r="O24" s="815" t="s">
        <v>293</v>
      </c>
      <c r="P24" s="788">
        <v>0.1</v>
      </c>
      <c r="Q24" s="776">
        <v>0.01</v>
      </c>
    </row>
    <row r="25" spans="1:17" ht="15.75" customHeight="1">
      <c r="A25" s="661" t="s">
        <v>760</v>
      </c>
      <c r="B25" s="776">
        <v>0.05</v>
      </c>
      <c r="C25" s="776">
        <v>0.05</v>
      </c>
      <c r="D25" s="788">
        <v>0.4</v>
      </c>
      <c r="E25" s="788">
        <v>0.05</v>
      </c>
      <c r="F25" s="776">
        <v>0.4</v>
      </c>
      <c r="G25" s="788">
        <v>0.05</v>
      </c>
      <c r="H25" s="776">
        <v>0.4</v>
      </c>
      <c r="I25" s="776">
        <v>0.4</v>
      </c>
      <c r="J25" s="776">
        <v>0.05</v>
      </c>
      <c r="K25" s="788">
        <v>0.4</v>
      </c>
      <c r="L25" s="788">
        <v>0.4</v>
      </c>
      <c r="M25" s="788">
        <v>0.4</v>
      </c>
      <c r="N25" s="776">
        <v>0.4</v>
      </c>
      <c r="O25" s="815" t="s">
        <v>293</v>
      </c>
      <c r="P25" s="788">
        <v>0.05</v>
      </c>
      <c r="Q25" s="776">
        <v>0.4</v>
      </c>
    </row>
    <row r="26" spans="1:17" ht="20.25" customHeight="1">
      <c r="A26" s="839" t="s">
        <v>585</v>
      </c>
      <c r="B26" s="816"/>
      <c r="C26" s="816"/>
      <c r="D26" s="816"/>
      <c r="E26" s="816"/>
      <c r="F26" s="816"/>
      <c r="G26" s="816"/>
      <c r="H26" s="816"/>
      <c r="I26" s="816"/>
      <c r="J26" s="816"/>
      <c r="K26" s="816"/>
      <c r="L26" s="816"/>
      <c r="M26" s="816"/>
      <c r="N26" s="816"/>
      <c r="O26" s="816"/>
      <c r="P26" s="816"/>
      <c r="Q26" s="816"/>
    </row>
    <row r="27" spans="1:17" ht="15.75" customHeight="1">
      <c r="A27" s="837" t="s">
        <v>586</v>
      </c>
      <c r="B27" s="670" t="s">
        <v>873</v>
      </c>
      <c r="C27" s="670" t="s">
        <v>873</v>
      </c>
      <c r="D27" s="668" t="s">
        <v>873</v>
      </c>
      <c r="E27" s="668" t="s">
        <v>873</v>
      </c>
      <c r="F27" s="670" t="s">
        <v>873</v>
      </c>
      <c r="G27" s="668" t="s">
        <v>873</v>
      </c>
      <c r="H27" s="670" t="s">
        <v>873</v>
      </c>
      <c r="I27" s="670" t="s">
        <v>873</v>
      </c>
      <c r="J27" s="670" t="s">
        <v>873</v>
      </c>
      <c r="K27" s="668" t="s">
        <v>873</v>
      </c>
      <c r="L27" s="668" t="s">
        <v>873</v>
      </c>
      <c r="M27" s="668" t="s">
        <v>873</v>
      </c>
      <c r="N27" s="670" t="s">
        <v>873</v>
      </c>
      <c r="O27" s="670" t="s">
        <v>873</v>
      </c>
      <c r="P27" s="668" t="s">
        <v>873</v>
      </c>
      <c r="Q27" s="670" t="s">
        <v>873</v>
      </c>
    </row>
    <row r="28" spans="1:17" ht="15.75" customHeight="1">
      <c r="A28" s="728" t="s">
        <v>587</v>
      </c>
      <c r="B28" s="790" t="s">
        <v>293</v>
      </c>
      <c r="C28" s="790" t="s">
        <v>293</v>
      </c>
      <c r="D28" s="790" t="s">
        <v>293</v>
      </c>
      <c r="E28" s="790" t="s">
        <v>293</v>
      </c>
      <c r="F28" s="790" t="s">
        <v>293</v>
      </c>
      <c r="G28" s="790" t="s">
        <v>293</v>
      </c>
      <c r="H28" s="790" t="s">
        <v>293</v>
      </c>
      <c r="I28" s="790" t="s">
        <v>293</v>
      </c>
      <c r="J28" s="815" t="s">
        <v>293</v>
      </c>
      <c r="K28" s="815" t="s">
        <v>293</v>
      </c>
      <c r="L28" s="815" t="s">
        <v>293</v>
      </c>
      <c r="M28" s="815" t="s">
        <v>293</v>
      </c>
      <c r="N28" s="815" t="s">
        <v>293</v>
      </c>
      <c r="O28" s="815" t="s">
        <v>293</v>
      </c>
      <c r="P28" s="662">
        <v>0.15</v>
      </c>
      <c r="Q28" s="664">
        <v>0.15</v>
      </c>
    </row>
    <row r="29" spans="1:17" ht="15.75" customHeight="1">
      <c r="A29" s="837" t="s">
        <v>588</v>
      </c>
      <c r="B29" s="664">
        <v>17.600000000000001</v>
      </c>
      <c r="C29" s="664">
        <v>17.600000000000001</v>
      </c>
      <c r="D29" s="662">
        <v>26</v>
      </c>
      <c r="E29" s="662">
        <v>19</v>
      </c>
      <c r="F29" s="664">
        <v>28</v>
      </c>
      <c r="G29" s="662">
        <v>20</v>
      </c>
      <c r="H29" s="664">
        <v>20</v>
      </c>
      <c r="I29" s="664">
        <v>35</v>
      </c>
      <c r="J29" s="664">
        <v>9.5</v>
      </c>
      <c r="K29" s="662">
        <v>17.600000000000001</v>
      </c>
      <c r="L29" s="662">
        <v>26</v>
      </c>
      <c r="M29" s="662">
        <v>17</v>
      </c>
      <c r="N29" s="664">
        <v>28</v>
      </c>
      <c r="O29" s="664">
        <v>5</v>
      </c>
      <c r="P29" s="662">
        <v>25</v>
      </c>
      <c r="Q29" s="664">
        <v>25</v>
      </c>
    </row>
    <row r="30" spans="1:17" ht="15.75" customHeight="1">
      <c r="A30" s="728" t="s">
        <v>987</v>
      </c>
      <c r="B30" s="790" t="s">
        <v>293</v>
      </c>
      <c r="C30" s="790" t="s">
        <v>293</v>
      </c>
      <c r="D30" s="790" t="s">
        <v>293</v>
      </c>
      <c r="E30" s="790" t="s">
        <v>293</v>
      </c>
      <c r="F30" s="790" t="s">
        <v>293</v>
      </c>
      <c r="G30" s="788">
        <v>9</v>
      </c>
      <c r="H30" s="776">
        <v>9</v>
      </c>
      <c r="I30" s="790" t="s">
        <v>293</v>
      </c>
      <c r="J30" s="815" t="s">
        <v>293</v>
      </c>
      <c r="K30" s="815" t="s">
        <v>293</v>
      </c>
      <c r="L30" s="815" t="s">
        <v>293</v>
      </c>
      <c r="M30" s="815" t="s">
        <v>293</v>
      </c>
      <c r="N30" s="815" t="s">
        <v>293</v>
      </c>
      <c r="O30" s="815" t="s">
        <v>293</v>
      </c>
      <c r="P30" s="815" t="s">
        <v>293</v>
      </c>
      <c r="Q30" s="815" t="s">
        <v>293</v>
      </c>
    </row>
    <row r="31" spans="1:17" ht="15.75" customHeight="1">
      <c r="A31" s="728" t="s">
        <v>871</v>
      </c>
      <c r="B31" s="776">
        <v>15</v>
      </c>
      <c r="C31" s="776">
        <v>15</v>
      </c>
      <c r="D31" s="788">
        <v>15</v>
      </c>
      <c r="E31" s="788">
        <v>15</v>
      </c>
      <c r="F31" s="776">
        <v>15</v>
      </c>
      <c r="G31" s="788">
        <v>25</v>
      </c>
      <c r="H31" s="776">
        <v>25</v>
      </c>
      <c r="I31" s="776">
        <v>15</v>
      </c>
      <c r="J31" s="776">
        <v>15</v>
      </c>
      <c r="K31" s="788">
        <v>15</v>
      </c>
      <c r="L31" s="788">
        <v>15</v>
      </c>
      <c r="M31" s="788">
        <v>15</v>
      </c>
      <c r="N31" s="776">
        <v>15</v>
      </c>
      <c r="O31" s="776">
        <v>20</v>
      </c>
      <c r="P31" s="788">
        <v>15</v>
      </c>
      <c r="Q31" s="776">
        <v>15</v>
      </c>
    </row>
    <row r="32" spans="1:17" ht="15.75" customHeight="1">
      <c r="A32" s="728" t="s">
        <v>870</v>
      </c>
      <c r="B32" s="776">
        <v>1</v>
      </c>
      <c r="C32" s="776">
        <v>1</v>
      </c>
      <c r="D32" s="788">
        <v>1</v>
      </c>
      <c r="E32" s="788">
        <v>1</v>
      </c>
      <c r="F32" s="776">
        <v>1</v>
      </c>
      <c r="G32" s="788">
        <v>2.5</v>
      </c>
      <c r="H32" s="776">
        <v>2.5</v>
      </c>
      <c r="I32" s="776">
        <v>2.5</v>
      </c>
      <c r="J32" s="776">
        <v>1</v>
      </c>
      <c r="K32" s="788">
        <v>1</v>
      </c>
      <c r="L32" s="788">
        <v>1</v>
      </c>
      <c r="M32" s="788">
        <v>1</v>
      </c>
      <c r="N32" s="776">
        <v>1</v>
      </c>
      <c r="O32" s="815" t="s">
        <v>293</v>
      </c>
      <c r="P32" s="788">
        <v>1</v>
      </c>
      <c r="Q32" s="776">
        <v>1</v>
      </c>
    </row>
    <row r="33" spans="1:17" ht="15.75" customHeight="1">
      <c r="A33" s="661" t="s">
        <v>606</v>
      </c>
      <c r="B33" s="776">
        <v>3</v>
      </c>
      <c r="C33" s="776">
        <v>3</v>
      </c>
      <c r="D33" s="788">
        <v>3</v>
      </c>
      <c r="E33" s="788">
        <v>3</v>
      </c>
      <c r="F33" s="776">
        <v>3</v>
      </c>
      <c r="G33" s="788">
        <v>3</v>
      </c>
      <c r="H33" s="776">
        <v>3</v>
      </c>
      <c r="I33" s="776">
        <v>5</v>
      </c>
      <c r="J33" s="776">
        <v>3</v>
      </c>
      <c r="K33" s="788">
        <v>3</v>
      </c>
      <c r="L33" s="788">
        <v>3</v>
      </c>
      <c r="M33" s="788">
        <v>3</v>
      </c>
      <c r="N33" s="776">
        <v>3</v>
      </c>
      <c r="O33" s="776">
        <v>5</v>
      </c>
      <c r="P33" s="788">
        <v>3</v>
      </c>
      <c r="Q33" s="776">
        <v>3</v>
      </c>
    </row>
    <row r="34" spans="1:17" ht="15.75" customHeight="1">
      <c r="A34" s="682" t="s">
        <v>608</v>
      </c>
      <c r="B34" s="776">
        <v>1800</v>
      </c>
      <c r="C34" s="776">
        <v>1800</v>
      </c>
      <c r="D34" s="788">
        <v>1800</v>
      </c>
      <c r="E34" s="788">
        <v>1800</v>
      </c>
      <c r="F34" s="776">
        <v>1800</v>
      </c>
      <c r="G34" s="788">
        <v>1800</v>
      </c>
      <c r="H34" s="776">
        <v>1800</v>
      </c>
      <c r="I34" s="776">
        <v>1800</v>
      </c>
      <c r="J34" s="776">
        <v>1800</v>
      </c>
      <c r="K34" s="776">
        <v>1800</v>
      </c>
      <c r="L34" s="776">
        <v>1800</v>
      </c>
      <c r="M34" s="776">
        <v>1800</v>
      </c>
      <c r="N34" s="776">
        <v>1800</v>
      </c>
      <c r="O34" s="776">
        <v>1800</v>
      </c>
      <c r="P34" s="776">
        <v>1800</v>
      </c>
      <c r="Q34" s="776">
        <v>1800</v>
      </c>
    </row>
    <row r="35" spans="1:17" ht="15.75" customHeight="1">
      <c r="A35" s="661" t="s">
        <v>609</v>
      </c>
      <c r="B35" s="776">
        <v>0.18010000000000001</v>
      </c>
      <c r="C35" s="776">
        <v>0.18010000000000001</v>
      </c>
      <c r="D35" s="776">
        <v>0.18010000000000001</v>
      </c>
      <c r="E35" s="788">
        <v>7.1099999999999997E-2</v>
      </c>
      <c r="F35" s="788">
        <v>7.1099999999999997E-2</v>
      </c>
      <c r="G35" s="788">
        <v>4.5600000000000002E-2</v>
      </c>
      <c r="H35" s="788">
        <v>4.5600000000000002E-2</v>
      </c>
      <c r="I35" s="776">
        <v>3.4500000000000003E-2</v>
      </c>
      <c r="J35" s="776">
        <v>3.8600000000000002E-2</v>
      </c>
      <c r="K35" s="788">
        <v>0.18010000000000001</v>
      </c>
      <c r="L35" s="788">
        <v>0.18010000000000001</v>
      </c>
      <c r="M35" s="788">
        <v>9.6100000000000005E-2</v>
      </c>
      <c r="N35" s="776">
        <v>7.1099999999999997E-2</v>
      </c>
      <c r="O35" s="776">
        <v>1.11E-2</v>
      </c>
      <c r="P35" s="788">
        <v>4.8599999999999997E-2</v>
      </c>
      <c r="Q35" s="776">
        <v>4.8599999999999997E-2</v>
      </c>
    </row>
    <row r="36" spans="1:17" ht="15.75" customHeight="1">
      <c r="A36" s="661" t="s">
        <v>611</v>
      </c>
      <c r="B36" s="776">
        <v>0</v>
      </c>
      <c r="C36" s="776">
        <v>0</v>
      </c>
      <c r="D36" s="776">
        <v>0</v>
      </c>
      <c r="E36" s="788">
        <v>0</v>
      </c>
      <c r="F36" s="788">
        <v>0</v>
      </c>
      <c r="G36" s="788">
        <v>0</v>
      </c>
      <c r="H36" s="788">
        <v>0</v>
      </c>
      <c r="I36" s="776">
        <v>0</v>
      </c>
      <c r="J36" s="776">
        <v>0</v>
      </c>
      <c r="K36" s="776">
        <v>0</v>
      </c>
      <c r="L36" s="776">
        <v>0</v>
      </c>
      <c r="M36" s="788">
        <v>0</v>
      </c>
      <c r="N36" s="776">
        <v>0</v>
      </c>
      <c r="O36" s="788">
        <v>0</v>
      </c>
      <c r="P36" s="788">
        <v>0</v>
      </c>
      <c r="Q36" s="788">
        <v>0</v>
      </c>
    </row>
    <row r="37" spans="1:17" ht="15.75" customHeight="1">
      <c r="A37" s="661" t="s">
        <v>613</v>
      </c>
      <c r="B37" s="776">
        <v>0</v>
      </c>
      <c r="C37" s="776">
        <v>0</v>
      </c>
      <c r="D37" s="776">
        <v>0</v>
      </c>
      <c r="E37" s="788">
        <v>0</v>
      </c>
      <c r="F37" s="788">
        <v>0</v>
      </c>
      <c r="G37" s="788">
        <v>0</v>
      </c>
      <c r="H37" s="788">
        <v>0</v>
      </c>
      <c r="I37" s="776">
        <v>0</v>
      </c>
      <c r="J37" s="776">
        <v>0</v>
      </c>
      <c r="K37" s="776">
        <v>0</v>
      </c>
      <c r="L37" s="776">
        <v>0</v>
      </c>
      <c r="M37" s="788">
        <v>0</v>
      </c>
      <c r="N37" s="776">
        <v>0</v>
      </c>
      <c r="O37" s="788">
        <v>0</v>
      </c>
      <c r="P37" s="788">
        <v>0</v>
      </c>
      <c r="Q37" s="788">
        <v>0</v>
      </c>
    </row>
    <row r="38" spans="1:17" ht="15.75" customHeight="1">
      <c r="A38" s="661" t="s">
        <v>615</v>
      </c>
      <c r="B38" s="776">
        <v>4.1999999999999997E-3</v>
      </c>
      <c r="C38" s="776">
        <v>4.1999999999999997E-3</v>
      </c>
      <c r="D38" s="776">
        <v>4.1999999999999997E-3</v>
      </c>
      <c r="E38" s="788">
        <v>8.9999999999999998E-4</v>
      </c>
      <c r="F38" s="788">
        <v>8.9999999999999998E-4</v>
      </c>
      <c r="G38" s="788">
        <v>2.3E-3</v>
      </c>
      <c r="H38" s="788">
        <v>2.3E-3</v>
      </c>
      <c r="I38" s="776">
        <v>5.0000000000000001E-4</v>
      </c>
      <c r="J38" s="776">
        <v>5.0000000000000001E-4</v>
      </c>
      <c r="K38" s="788">
        <v>4.1999999999999997E-3</v>
      </c>
      <c r="L38" s="788">
        <v>4.1999999999999997E-3</v>
      </c>
      <c r="M38" s="788">
        <v>1.6000000000000001E-3</v>
      </c>
      <c r="N38" s="776">
        <v>8.9999999999999998E-4</v>
      </c>
      <c r="O38" s="776">
        <v>5.0000000000000002E-5</v>
      </c>
      <c r="P38" s="788">
        <v>1.6999999999999999E-3</v>
      </c>
      <c r="Q38" s="776">
        <v>1.6999999999999999E-3</v>
      </c>
    </row>
    <row r="39" spans="1:17" ht="24" customHeight="1">
      <c r="A39" s="803" t="s">
        <v>617</v>
      </c>
      <c r="B39" s="791"/>
      <c r="C39" s="791"/>
      <c r="D39" s="791"/>
      <c r="E39" s="791"/>
      <c r="F39" s="791"/>
      <c r="G39" s="791"/>
      <c r="H39" s="791"/>
      <c r="I39" s="791"/>
      <c r="J39" s="791"/>
      <c r="K39" s="791"/>
      <c r="L39" s="791"/>
      <c r="M39" s="791"/>
      <c r="N39" s="791"/>
      <c r="O39" s="791"/>
      <c r="P39" s="791"/>
      <c r="Q39" s="791"/>
    </row>
    <row r="40" spans="1:17" ht="15.75" customHeight="1">
      <c r="A40" s="728" t="s">
        <v>1130</v>
      </c>
      <c r="B40" s="776">
        <v>5</v>
      </c>
      <c r="C40" s="776">
        <v>5</v>
      </c>
      <c r="D40" s="776">
        <v>5</v>
      </c>
      <c r="E40" s="776">
        <v>5</v>
      </c>
      <c r="F40" s="776">
        <v>5</v>
      </c>
      <c r="G40" s="790" t="s">
        <v>293</v>
      </c>
      <c r="H40" s="790" t="s">
        <v>293</v>
      </c>
      <c r="I40" s="790" t="s">
        <v>293</v>
      </c>
      <c r="J40" s="776">
        <v>5</v>
      </c>
      <c r="K40" s="776">
        <v>5</v>
      </c>
      <c r="L40" s="776">
        <v>5</v>
      </c>
      <c r="M40" s="776">
        <v>5</v>
      </c>
      <c r="N40" s="776">
        <v>5</v>
      </c>
      <c r="O40" s="815" t="s">
        <v>293</v>
      </c>
      <c r="P40" s="788">
        <v>5</v>
      </c>
      <c r="Q40" s="788">
        <v>5</v>
      </c>
    </row>
    <row r="41" spans="1:17" ht="15.75" customHeight="1">
      <c r="A41" s="728" t="s">
        <v>618</v>
      </c>
      <c r="B41" s="776">
        <f>90*0.115</f>
        <v>10.35</v>
      </c>
      <c r="C41" s="776">
        <f>90*0.115</f>
        <v>10.35</v>
      </c>
      <c r="D41" s="776">
        <f>90*0.115</f>
        <v>10.35</v>
      </c>
      <c r="E41" s="776">
        <f>90*0.15</f>
        <v>13.5</v>
      </c>
      <c r="F41" s="776">
        <f>90*0.15</f>
        <v>13.5</v>
      </c>
      <c r="G41" s="776">
        <f>90*0.1</f>
        <v>9</v>
      </c>
      <c r="H41" s="776">
        <f>90*0.1</f>
        <v>9</v>
      </c>
      <c r="I41" s="776">
        <f>90*0.1</f>
        <v>9</v>
      </c>
      <c r="J41" s="776">
        <f>90*0.15</f>
        <v>13.5</v>
      </c>
      <c r="K41" s="776">
        <f>90*0.115</f>
        <v>10.35</v>
      </c>
      <c r="L41" s="776">
        <f>90*0.115</f>
        <v>10.35</v>
      </c>
      <c r="M41" s="776">
        <f>90*0.175</f>
        <v>15.749999999999998</v>
      </c>
      <c r="N41" s="776">
        <f>90*0.15</f>
        <v>13.5</v>
      </c>
      <c r="O41" s="776">
        <f>90*0.2</f>
        <v>18</v>
      </c>
      <c r="P41" s="776">
        <f>90*0.15</f>
        <v>13.5</v>
      </c>
      <c r="Q41" s="776">
        <f>90*0.15</f>
        <v>13.5</v>
      </c>
    </row>
    <row r="42" spans="1:17" ht="15.75" customHeight="1">
      <c r="A42" s="728" t="s">
        <v>621</v>
      </c>
      <c r="B42" s="776">
        <v>1.35</v>
      </c>
      <c r="C42" s="776">
        <v>1.35</v>
      </c>
      <c r="D42" s="776">
        <v>1.35</v>
      </c>
      <c r="E42" s="776">
        <v>1.5</v>
      </c>
      <c r="F42" s="776">
        <v>1.5</v>
      </c>
      <c r="G42" s="776">
        <v>1.1000000000000001</v>
      </c>
      <c r="H42" s="776">
        <v>1.1000000000000001</v>
      </c>
      <c r="I42" s="776">
        <v>3.25</v>
      </c>
      <c r="J42" s="776">
        <v>1.35</v>
      </c>
      <c r="K42" s="776">
        <v>1.35</v>
      </c>
      <c r="L42" s="776">
        <v>1.35</v>
      </c>
      <c r="M42" s="776">
        <v>1.55</v>
      </c>
      <c r="N42" s="776">
        <v>1.5</v>
      </c>
      <c r="O42" s="776">
        <v>1.1499999999999999</v>
      </c>
      <c r="P42" s="788">
        <v>2.1</v>
      </c>
      <c r="Q42" s="788">
        <v>2.1</v>
      </c>
    </row>
    <row r="43" spans="1:17" ht="15.75" customHeight="1">
      <c r="A43" s="776" t="s">
        <v>622</v>
      </c>
      <c r="B43" s="776">
        <v>370</v>
      </c>
      <c r="C43" s="776">
        <v>370</v>
      </c>
      <c r="D43" s="788">
        <v>370</v>
      </c>
      <c r="E43" s="788">
        <v>470</v>
      </c>
      <c r="F43" s="776">
        <v>470</v>
      </c>
      <c r="G43" s="788">
        <v>100</v>
      </c>
      <c r="H43" s="776">
        <v>100</v>
      </c>
      <c r="I43" s="776">
        <v>76</v>
      </c>
      <c r="J43" s="776">
        <v>150</v>
      </c>
      <c r="K43" s="788">
        <v>370</v>
      </c>
      <c r="L43" s="788">
        <v>370</v>
      </c>
      <c r="M43" s="788">
        <v>370</v>
      </c>
      <c r="N43" s="776">
        <v>470</v>
      </c>
      <c r="O43" s="776">
        <v>5</v>
      </c>
      <c r="P43" s="788">
        <v>60</v>
      </c>
      <c r="Q43" s="776">
        <v>60</v>
      </c>
    </row>
    <row r="44" spans="1:17" ht="15.75" customHeight="1">
      <c r="A44" s="776" t="s">
        <v>623</v>
      </c>
      <c r="B44" s="776">
        <v>370</v>
      </c>
      <c r="C44" s="776">
        <v>370</v>
      </c>
      <c r="D44" s="788">
        <v>370</v>
      </c>
      <c r="E44" s="788">
        <v>470</v>
      </c>
      <c r="F44" s="776">
        <v>470</v>
      </c>
      <c r="G44" s="788">
        <v>550</v>
      </c>
      <c r="H44" s="776">
        <v>550</v>
      </c>
      <c r="I44" s="776">
        <v>320</v>
      </c>
      <c r="J44" s="776">
        <v>500</v>
      </c>
      <c r="K44" s="788">
        <v>370</v>
      </c>
      <c r="L44" s="788">
        <v>370</v>
      </c>
      <c r="M44" s="788">
        <v>370</v>
      </c>
      <c r="N44" s="776">
        <v>470</v>
      </c>
      <c r="O44" s="776">
        <v>1520</v>
      </c>
      <c r="P44" s="788">
        <v>345</v>
      </c>
      <c r="Q44" s="776">
        <v>342</v>
      </c>
    </row>
    <row r="45" spans="1:17" ht="15.75" customHeight="1">
      <c r="A45" s="728" t="s">
        <v>625</v>
      </c>
      <c r="B45" s="776">
        <v>4</v>
      </c>
      <c r="C45" s="776">
        <v>4</v>
      </c>
      <c r="D45" s="776">
        <v>5.5</v>
      </c>
      <c r="E45" s="776">
        <v>4</v>
      </c>
      <c r="F45" s="776">
        <v>6</v>
      </c>
      <c r="G45" s="776">
        <v>6</v>
      </c>
      <c r="H45" s="776">
        <v>6</v>
      </c>
      <c r="I45" s="776">
        <v>5.5</v>
      </c>
      <c r="J45" s="776">
        <v>3.8</v>
      </c>
      <c r="K45" s="776">
        <v>4</v>
      </c>
      <c r="L45" s="776">
        <v>5</v>
      </c>
      <c r="M45" s="776">
        <v>5</v>
      </c>
      <c r="N45" s="776">
        <v>5</v>
      </c>
      <c r="O45" s="776">
        <v>5</v>
      </c>
      <c r="P45" s="788">
        <v>5</v>
      </c>
      <c r="Q45" s="788">
        <v>5</v>
      </c>
    </row>
    <row r="46" spans="1:17" ht="15.75" customHeight="1">
      <c r="A46" s="661" t="s">
        <v>629</v>
      </c>
      <c r="B46" s="776">
        <v>100</v>
      </c>
      <c r="C46" s="776">
        <v>100</v>
      </c>
      <c r="D46" s="776">
        <v>100</v>
      </c>
      <c r="E46" s="776">
        <v>30</v>
      </c>
      <c r="F46" s="776">
        <v>30</v>
      </c>
      <c r="G46" s="776">
        <v>30</v>
      </c>
      <c r="H46" s="776">
        <v>30</v>
      </c>
      <c r="I46" s="776">
        <v>100</v>
      </c>
      <c r="J46" s="776">
        <v>30</v>
      </c>
      <c r="K46" s="776">
        <v>100</v>
      </c>
      <c r="L46" s="776">
        <v>100</v>
      </c>
      <c r="M46" s="776">
        <v>100</v>
      </c>
      <c r="N46" s="776">
        <v>30</v>
      </c>
      <c r="O46" s="776">
        <v>400</v>
      </c>
      <c r="P46" s="788">
        <v>200</v>
      </c>
      <c r="Q46" s="788">
        <v>200</v>
      </c>
    </row>
    <row r="47" spans="1:17" ht="15.75" customHeight="1">
      <c r="A47" s="776" t="s">
        <v>759</v>
      </c>
      <c r="B47" s="776">
        <v>5</v>
      </c>
      <c r="C47" s="776">
        <v>5</v>
      </c>
      <c r="D47" s="788">
        <v>5</v>
      </c>
      <c r="E47" s="788">
        <v>5</v>
      </c>
      <c r="F47" s="776">
        <v>6</v>
      </c>
      <c r="G47" s="788">
        <v>6</v>
      </c>
      <c r="H47" s="776">
        <v>6</v>
      </c>
      <c r="I47" s="776">
        <v>5.5</v>
      </c>
      <c r="J47" s="776">
        <v>3.8</v>
      </c>
      <c r="K47" s="788">
        <v>5</v>
      </c>
      <c r="L47" s="788">
        <v>5</v>
      </c>
      <c r="M47" s="788">
        <v>5</v>
      </c>
      <c r="N47" s="776">
        <v>6</v>
      </c>
      <c r="O47" s="776">
        <v>5</v>
      </c>
      <c r="P47" s="788">
        <v>5</v>
      </c>
      <c r="Q47" s="776">
        <v>5</v>
      </c>
    </row>
    <row r="48" spans="1:17" ht="15.75" customHeight="1">
      <c r="A48" s="776" t="s">
        <v>1174</v>
      </c>
      <c r="B48" s="776">
        <v>5</v>
      </c>
      <c r="C48" s="776">
        <v>5</v>
      </c>
      <c r="D48" s="776">
        <v>5</v>
      </c>
      <c r="E48" s="776">
        <v>7.5</v>
      </c>
      <c r="F48" s="776">
        <v>7.5</v>
      </c>
      <c r="G48" s="776">
        <v>10</v>
      </c>
      <c r="H48" s="776">
        <v>10</v>
      </c>
      <c r="I48" s="776">
        <v>10</v>
      </c>
      <c r="J48" s="776">
        <v>10</v>
      </c>
      <c r="K48" s="776">
        <v>5</v>
      </c>
      <c r="L48" s="776">
        <v>5</v>
      </c>
      <c r="M48" s="776">
        <v>5</v>
      </c>
      <c r="N48" s="776">
        <v>7.5</v>
      </c>
      <c r="O48" s="776">
        <v>20</v>
      </c>
      <c r="P48" s="788">
        <v>5</v>
      </c>
      <c r="Q48" s="788">
        <v>5</v>
      </c>
    </row>
    <row r="49" spans="1:17" ht="15.75" customHeight="1">
      <c r="A49" s="728" t="s">
        <v>632</v>
      </c>
      <c r="B49" s="790" t="s">
        <v>293</v>
      </c>
      <c r="C49" s="790" t="s">
        <v>293</v>
      </c>
      <c r="D49" s="790" t="s">
        <v>293</v>
      </c>
      <c r="E49" s="790" t="s">
        <v>293</v>
      </c>
      <c r="F49" s="790" t="s">
        <v>293</v>
      </c>
      <c r="G49" s="790" t="s">
        <v>293</v>
      </c>
      <c r="H49" s="790" t="s">
        <v>293</v>
      </c>
      <c r="I49" s="790" t="s">
        <v>293</v>
      </c>
      <c r="J49" s="790" t="s">
        <v>293</v>
      </c>
      <c r="K49" s="790" t="s">
        <v>293</v>
      </c>
      <c r="L49" s="790" t="s">
        <v>293</v>
      </c>
      <c r="M49" s="790" t="s">
        <v>293</v>
      </c>
      <c r="N49" s="790" t="s">
        <v>293</v>
      </c>
      <c r="O49" s="790" t="s">
        <v>293</v>
      </c>
      <c r="P49" s="790" t="s">
        <v>293</v>
      </c>
      <c r="Q49" s="790" t="s">
        <v>293</v>
      </c>
    </row>
    <row r="50" spans="1:17" ht="15.75" customHeight="1">
      <c r="A50" s="775" t="s">
        <v>864</v>
      </c>
      <c r="B50" s="706" t="s">
        <v>328</v>
      </c>
      <c r="C50" s="706" t="s">
        <v>328</v>
      </c>
      <c r="D50" s="706" t="s">
        <v>328</v>
      </c>
      <c r="E50" s="706" t="s">
        <v>328</v>
      </c>
      <c r="F50" s="706" t="s">
        <v>328</v>
      </c>
      <c r="G50" s="706" t="s">
        <v>328</v>
      </c>
      <c r="H50" s="706" t="s">
        <v>328</v>
      </c>
      <c r="I50" s="706" t="s">
        <v>328</v>
      </c>
      <c r="J50" s="741" t="s">
        <v>324</v>
      </c>
      <c r="K50" s="706" t="s">
        <v>328</v>
      </c>
      <c r="L50" s="706" t="s">
        <v>328</v>
      </c>
      <c r="M50" s="706" t="s">
        <v>328</v>
      </c>
      <c r="N50" s="706" t="s">
        <v>328</v>
      </c>
      <c r="O50" s="741" t="s">
        <v>324</v>
      </c>
      <c r="P50" s="706" t="s">
        <v>328</v>
      </c>
      <c r="Q50" s="706" t="s">
        <v>328</v>
      </c>
    </row>
    <row r="51" spans="1:17" ht="123.75" customHeight="1">
      <c r="A51" s="722" t="s">
        <v>635</v>
      </c>
      <c r="B51" s="815"/>
      <c r="C51" s="815"/>
      <c r="D51" s="790"/>
      <c r="E51" s="790"/>
      <c r="F51" s="815"/>
      <c r="G51" s="790" t="s">
        <v>1173</v>
      </c>
      <c r="H51" s="815" t="s">
        <v>1173</v>
      </c>
      <c r="I51" s="815"/>
      <c r="J51" s="815"/>
      <c r="K51" s="790"/>
      <c r="L51" s="790"/>
      <c r="M51" s="790"/>
      <c r="N51" s="815"/>
      <c r="O51" s="815" t="s">
        <v>1172</v>
      </c>
      <c r="P51" s="790"/>
      <c r="Q51" s="815"/>
    </row>
    <row r="52" spans="1:17" ht="83.25" customHeight="1">
      <c r="A52" s="776" t="s">
        <v>977</v>
      </c>
      <c r="B52" s="815"/>
      <c r="C52" s="815"/>
      <c r="D52" s="815"/>
      <c r="E52" s="815"/>
      <c r="F52" s="815"/>
      <c r="G52" s="815"/>
      <c r="H52" s="815"/>
      <c r="I52" s="815"/>
      <c r="J52" s="815"/>
      <c r="K52" s="815"/>
      <c r="L52" s="815"/>
      <c r="M52" s="815"/>
      <c r="N52" s="815"/>
      <c r="O52" s="815" t="s">
        <v>1171</v>
      </c>
      <c r="P52" s="815"/>
      <c r="Q52" s="815"/>
    </row>
    <row r="53" spans="1:17" ht="12.75">
      <c r="A53" s="776"/>
      <c r="B53" s="776"/>
      <c r="C53" s="776"/>
      <c r="D53" s="788"/>
      <c r="E53" s="788"/>
      <c r="F53" s="776"/>
      <c r="G53" s="788"/>
      <c r="H53" s="776"/>
      <c r="I53" s="776"/>
      <c r="J53" s="776"/>
      <c r="K53" s="788"/>
      <c r="L53" s="788"/>
      <c r="M53" s="788"/>
      <c r="N53" s="776"/>
      <c r="O53" s="815" t="s">
        <v>1170</v>
      </c>
      <c r="P53" s="788"/>
      <c r="Q53" s="776"/>
    </row>
    <row r="54" spans="1:17" ht="12.75">
      <c r="A54" s="776"/>
      <c r="B54" s="776"/>
      <c r="C54" s="776"/>
      <c r="D54" s="788"/>
      <c r="E54" s="788"/>
      <c r="F54" s="776"/>
      <c r="G54" s="788"/>
      <c r="H54" s="776"/>
      <c r="I54" s="776"/>
      <c r="J54" s="776"/>
      <c r="K54" s="788"/>
      <c r="L54" s="788"/>
      <c r="M54" s="788"/>
      <c r="N54" s="776"/>
      <c r="O54" s="815" t="s">
        <v>1169</v>
      </c>
      <c r="P54" s="788"/>
      <c r="Q54" s="776"/>
    </row>
    <row r="55" spans="1:17" ht="12.75">
      <c r="A55" s="776"/>
      <c r="B55" s="776"/>
      <c r="C55" s="776"/>
      <c r="D55" s="788"/>
      <c r="E55" s="788"/>
      <c r="F55" s="682"/>
      <c r="G55" s="774"/>
      <c r="H55" s="682"/>
      <c r="I55" s="682"/>
      <c r="J55" s="682"/>
      <c r="K55" s="788"/>
      <c r="L55" s="788"/>
      <c r="M55" s="788"/>
      <c r="N55" s="682"/>
      <c r="O55" s="815" t="s">
        <v>1168</v>
      </c>
      <c r="P55" s="788"/>
      <c r="Q55" s="776"/>
    </row>
    <row r="56" spans="1:17" ht="12.75">
      <c r="A56" s="776"/>
      <c r="B56" s="776"/>
      <c r="C56" s="776"/>
      <c r="D56" s="788"/>
      <c r="E56" s="788"/>
      <c r="F56" s="682"/>
      <c r="G56" s="774"/>
      <c r="H56" s="682"/>
      <c r="I56" s="682"/>
      <c r="J56" s="682"/>
      <c r="K56" s="788"/>
      <c r="L56" s="788"/>
      <c r="M56" s="788"/>
      <c r="N56" s="682"/>
      <c r="O56" s="815" t="s">
        <v>1167</v>
      </c>
      <c r="P56" s="788"/>
      <c r="Q56" s="776"/>
    </row>
    <row r="57" spans="1:17" ht="12.75">
      <c r="A57" s="776"/>
      <c r="B57" s="776"/>
      <c r="C57" s="776"/>
      <c r="D57" s="788"/>
      <c r="E57" s="788"/>
      <c r="F57" s="682"/>
      <c r="G57" s="774"/>
      <c r="H57" s="682"/>
      <c r="I57" s="682"/>
      <c r="J57" s="682"/>
      <c r="K57" s="788"/>
      <c r="L57" s="788"/>
      <c r="M57" s="788"/>
      <c r="N57" s="682"/>
      <c r="O57" s="815" t="s">
        <v>1166</v>
      </c>
      <c r="P57" s="788"/>
      <c r="Q57" s="776"/>
    </row>
    <row r="58" spans="1:17" ht="12.75">
      <c r="A58" s="776"/>
      <c r="B58" s="776"/>
      <c r="C58" s="776"/>
      <c r="D58" s="788"/>
      <c r="E58" s="788"/>
      <c r="F58" s="682"/>
      <c r="G58" s="774"/>
      <c r="H58" s="682"/>
      <c r="I58" s="682"/>
      <c r="J58" s="682"/>
      <c r="K58" s="788"/>
      <c r="L58" s="788"/>
      <c r="M58" s="788"/>
      <c r="N58" s="682"/>
      <c r="O58" s="815" t="s">
        <v>1165</v>
      </c>
      <c r="P58" s="788"/>
      <c r="Q58" s="776"/>
    </row>
    <row r="59" spans="1:17" ht="12.75">
      <c r="A59" s="776"/>
      <c r="B59" s="776"/>
      <c r="C59" s="776"/>
      <c r="D59" s="788"/>
      <c r="E59" s="788"/>
      <c r="F59" s="682"/>
      <c r="G59" s="774"/>
      <c r="H59" s="682"/>
      <c r="I59" s="682"/>
      <c r="J59" s="682"/>
      <c r="K59" s="788"/>
      <c r="L59" s="788"/>
      <c r="M59" s="788"/>
      <c r="N59" s="682"/>
      <c r="O59" s="815" t="s">
        <v>1164</v>
      </c>
      <c r="P59" s="788"/>
      <c r="Q59" s="776"/>
    </row>
    <row r="60" spans="1:17" ht="12.75">
      <c r="A60" s="776"/>
      <c r="B60" s="776"/>
      <c r="C60" s="776"/>
      <c r="D60" s="788"/>
      <c r="E60" s="788"/>
      <c r="F60" s="682"/>
      <c r="G60" s="774"/>
      <c r="H60" s="682"/>
      <c r="I60" s="682"/>
      <c r="J60" s="682"/>
      <c r="K60" s="788"/>
      <c r="L60" s="788"/>
      <c r="M60" s="788"/>
      <c r="N60" s="682"/>
      <c r="O60" s="815" t="s">
        <v>1163</v>
      </c>
      <c r="P60" s="788"/>
      <c r="Q60" s="776"/>
    </row>
  </sheetData>
  <conditionalFormatting sqref="A1:Q1 A3:Q7 A9:Q19 A21:Q25 A27:Q38 A40:Q60">
    <cfRule type="expression" dxfId="26" priority="1">
      <formula>ISODD(COLUMN())</formula>
    </cfRule>
    <cfRule type="expression" dxfId="25" priority="2">
      <formula>ISEVEN(COLUMN())</formula>
    </cfRule>
  </conditionalFormatting>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A7A64-CF3A-4A36-AB70-AA26977F6B41}">
  <sheetPr>
    <tabColor rgb="FF38761D"/>
    <outlinePr summaryBelow="0" summaryRight="0"/>
  </sheetPr>
  <dimension ref="A1:AE87"/>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16" max="16" width="15.7109375" customWidth="1"/>
    <col min="17" max="17" width="15.42578125" customWidth="1"/>
  </cols>
  <sheetData>
    <row r="1" spans="1:31" ht="35.25" customHeight="1">
      <c r="A1" s="811" t="s">
        <v>551</v>
      </c>
      <c r="B1" s="655" t="s">
        <v>1222</v>
      </c>
      <c r="C1" s="655" t="s">
        <v>1221</v>
      </c>
      <c r="D1" s="655" t="s">
        <v>1220</v>
      </c>
      <c r="E1" s="653" t="s">
        <v>1219</v>
      </c>
      <c r="F1" s="655" t="s">
        <v>1032</v>
      </c>
      <c r="G1" s="653" t="s">
        <v>1218</v>
      </c>
      <c r="H1" s="655">
        <v>302</v>
      </c>
      <c r="I1" s="655" t="s">
        <v>1217</v>
      </c>
      <c r="J1" s="655" t="s">
        <v>1216</v>
      </c>
      <c r="K1" s="655" t="s">
        <v>1215</v>
      </c>
      <c r="L1" s="653" t="s">
        <v>1027</v>
      </c>
      <c r="M1" s="655" t="s">
        <v>1026</v>
      </c>
      <c r="N1" s="655" t="s">
        <v>1214</v>
      </c>
      <c r="O1" s="653" t="s">
        <v>1213</v>
      </c>
      <c r="P1" s="655" t="s">
        <v>1212</v>
      </c>
      <c r="Q1" s="655" t="s">
        <v>1018</v>
      </c>
      <c r="R1" s="655" t="s">
        <v>1211</v>
      </c>
      <c r="S1" s="653" t="s">
        <v>1210</v>
      </c>
      <c r="T1" s="653" t="s">
        <v>1209</v>
      </c>
      <c r="U1" s="655" t="s">
        <v>1208</v>
      </c>
      <c r="V1" s="655" t="s">
        <v>1207</v>
      </c>
      <c r="W1" s="653" t="s">
        <v>1013</v>
      </c>
      <c r="X1" s="655" t="s">
        <v>1012</v>
      </c>
      <c r="Y1" s="653" t="s">
        <v>1206</v>
      </c>
      <c r="Z1" s="655" t="s">
        <v>1205</v>
      </c>
      <c r="AA1" s="653" t="s">
        <v>1204</v>
      </c>
      <c r="AB1" s="655" t="s">
        <v>1203</v>
      </c>
      <c r="AC1" s="655" t="s">
        <v>1202</v>
      </c>
      <c r="AD1" s="655" t="s">
        <v>1201</v>
      </c>
      <c r="AE1" s="655" t="s">
        <v>1200</v>
      </c>
    </row>
    <row r="2" spans="1:31" ht="72.75" customHeight="1">
      <c r="A2" s="810" t="s">
        <v>562</v>
      </c>
      <c r="B2" s="660"/>
      <c r="C2" s="660"/>
      <c r="D2" s="660"/>
      <c r="E2" s="660"/>
      <c r="F2" s="660"/>
      <c r="G2" s="660"/>
      <c r="H2" s="660"/>
      <c r="I2" s="660"/>
      <c r="J2" s="660"/>
      <c r="K2" s="660"/>
      <c r="L2" s="660"/>
      <c r="M2" s="660"/>
      <c r="N2" s="660"/>
      <c r="O2" s="660"/>
      <c r="P2" s="660"/>
      <c r="Q2" s="660"/>
      <c r="R2" s="660"/>
      <c r="S2" s="660"/>
      <c r="T2" s="660"/>
      <c r="U2" s="660"/>
      <c r="V2" s="660"/>
      <c r="W2" s="660"/>
      <c r="X2" s="660"/>
      <c r="Y2" s="660"/>
      <c r="Z2" s="660"/>
      <c r="AA2" s="660"/>
      <c r="AB2" s="660"/>
      <c r="AC2" s="660"/>
      <c r="AD2" s="660"/>
      <c r="AE2" s="660"/>
    </row>
    <row r="3" spans="1:31" ht="15.75" customHeight="1">
      <c r="A3" s="776" t="s">
        <v>563</v>
      </c>
      <c r="B3" s="776">
        <v>54</v>
      </c>
      <c r="C3" s="776">
        <v>25.9</v>
      </c>
      <c r="D3" s="776">
        <v>14.5</v>
      </c>
      <c r="E3" s="788">
        <v>31.4</v>
      </c>
      <c r="F3" s="776">
        <v>33.5</v>
      </c>
      <c r="G3" s="788">
        <v>33.5</v>
      </c>
      <c r="H3" s="776">
        <v>11.2</v>
      </c>
      <c r="I3" s="776">
        <v>12.5</v>
      </c>
      <c r="J3" s="776">
        <v>29</v>
      </c>
      <c r="K3" s="812">
        <v>18.82</v>
      </c>
      <c r="L3" s="780">
        <v>19.05</v>
      </c>
      <c r="M3" s="812">
        <v>21.45</v>
      </c>
      <c r="N3" s="812">
        <v>22.63</v>
      </c>
      <c r="O3" s="780">
        <v>22.59</v>
      </c>
      <c r="P3" s="812">
        <v>23</v>
      </c>
      <c r="Q3" s="812">
        <v>23</v>
      </c>
      <c r="R3" s="812">
        <v>27.796099999999999</v>
      </c>
      <c r="S3" s="780">
        <v>27.796099999999999</v>
      </c>
      <c r="T3" s="788">
        <v>6.7</v>
      </c>
      <c r="U3" s="776">
        <v>7</v>
      </c>
      <c r="V3" s="776">
        <v>7</v>
      </c>
      <c r="W3" s="780">
        <v>19.05</v>
      </c>
      <c r="X3" s="812">
        <v>21.45</v>
      </c>
      <c r="Y3" s="780">
        <v>10.9</v>
      </c>
      <c r="Z3" s="776">
        <v>28.5</v>
      </c>
      <c r="AA3" s="788">
        <v>29.99</v>
      </c>
      <c r="AB3" s="776">
        <v>25</v>
      </c>
      <c r="AC3" s="776">
        <v>25</v>
      </c>
      <c r="AD3" s="776">
        <v>19.899999999999999</v>
      </c>
      <c r="AE3" s="776">
        <v>19.899999999999999</v>
      </c>
    </row>
    <row r="4" spans="1:31" ht="15.75" customHeight="1">
      <c r="A4" s="728" t="s">
        <v>564</v>
      </c>
      <c r="B4" s="812">
        <v>48.5</v>
      </c>
      <c r="C4" s="812">
        <v>22.74</v>
      </c>
      <c r="D4" s="812">
        <v>12.8</v>
      </c>
      <c r="E4" s="780">
        <v>25.83</v>
      </c>
      <c r="F4" s="812">
        <v>27.93</v>
      </c>
      <c r="G4" s="812">
        <v>27.93</v>
      </c>
      <c r="H4" s="812">
        <v>10.050000000000001</v>
      </c>
      <c r="I4" s="812">
        <v>11.6</v>
      </c>
      <c r="J4" s="812">
        <v>26.1</v>
      </c>
      <c r="K4" s="812">
        <v>16.32</v>
      </c>
      <c r="L4" s="780">
        <v>16.55</v>
      </c>
      <c r="M4" s="812">
        <v>18.25</v>
      </c>
      <c r="N4" s="812">
        <v>19.43</v>
      </c>
      <c r="O4" s="780">
        <v>19.39</v>
      </c>
      <c r="P4" s="812">
        <v>20.04</v>
      </c>
      <c r="Q4" s="812">
        <v>20.04</v>
      </c>
      <c r="R4" s="812">
        <v>23.119599999999998</v>
      </c>
      <c r="S4" s="780">
        <v>23.119599999999998</v>
      </c>
      <c r="T4" s="780">
        <v>6.53</v>
      </c>
      <c r="U4" s="812">
        <v>6.83</v>
      </c>
      <c r="V4" s="812">
        <v>5.65</v>
      </c>
      <c r="W4" s="780">
        <v>16.55</v>
      </c>
      <c r="X4" s="812">
        <v>18.25</v>
      </c>
      <c r="Y4" s="780">
        <v>9.8000000000000007</v>
      </c>
      <c r="Z4" s="812">
        <v>22.5</v>
      </c>
      <c r="AA4" s="780">
        <v>28.35</v>
      </c>
      <c r="AB4" s="812">
        <v>22.6</v>
      </c>
      <c r="AC4" s="812">
        <v>22.6</v>
      </c>
      <c r="AD4" s="812">
        <v>17.8</v>
      </c>
      <c r="AE4" s="812">
        <v>17.8</v>
      </c>
    </row>
    <row r="5" spans="1:31" ht="15.75" customHeight="1">
      <c r="A5" s="728" t="s">
        <v>565</v>
      </c>
      <c r="B5" s="812">
        <v>47</v>
      </c>
      <c r="C5" s="790" t="s">
        <v>293</v>
      </c>
      <c r="D5" s="812">
        <v>11.7</v>
      </c>
      <c r="E5" s="780">
        <v>21.58</v>
      </c>
      <c r="F5" s="812">
        <v>23.68</v>
      </c>
      <c r="G5" s="812">
        <v>23.68</v>
      </c>
      <c r="H5" s="812">
        <v>8.75</v>
      </c>
      <c r="I5" s="812">
        <v>9.6</v>
      </c>
      <c r="J5" s="812">
        <v>23.5</v>
      </c>
      <c r="K5" s="790" t="s">
        <v>293</v>
      </c>
      <c r="L5" s="790" t="s">
        <v>293</v>
      </c>
      <c r="M5" s="790" t="s">
        <v>293</v>
      </c>
      <c r="N5" s="790" t="s">
        <v>293</v>
      </c>
      <c r="O5" s="790" t="s">
        <v>293</v>
      </c>
      <c r="P5" s="812">
        <v>17.440000000000001</v>
      </c>
      <c r="Q5" s="812">
        <v>17.440000000000001</v>
      </c>
      <c r="R5" s="790" t="s">
        <v>293</v>
      </c>
      <c r="S5" s="790" t="s">
        <v>293</v>
      </c>
      <c r="T5" s="780">
        <v>5.8</v>
      </c>
      <c r="U5" s="812">
        <v>6.1</v>
      </c>
      <c r="V5" s="812" t="s">
        <v>293</v>
      </c>
      <c r="W5" s="815" t="s">
        <v>293</v>
      </c>
      <c r="X5" s="815" t="s">
        <v>293</v>
      </c>
      <c r="Y5" s="815" t="s">
        <v>293</v>
      </c>
      <c r="Z5" s="812">
        <v>18.5</v>
      </c>
      <c r="AA5" s="780">
        <v>24.2</v>
      </c>
      <c r="AB5" s="812">
        <v>20</v>
      </c>
      <c r="AC5" s="812">
        <v>20</v>
      </c>
      <c r="AD5" s="812">
        <v>15.7</v>
      </c>
      <c r="AE5" s="812">
        <v>15.7</v>
      </c>
    </row>
    <row r="6" spans="1:31" ht="15.75" customHeight="1">
      <c r="A6" s="776" t="s">
        <v>566</v>
      </c>
      <c r="B6" s="776">
        <v>180</v>
      </c>
      <c r="C6" s="776">
        <v>125</v>
      </c>
      <c r="D6" s="776">
        <v>135</v>
      </c>
      <c r="E6" s="788">
        <v>130</v>
      </c>
      <c r="F6" s="776">
        <v>130</v>
      </c>
      <c r="G6" s="788">
        <v>130</v>
      </c>
      <c r="H6" s="776">
        <v>120</v>
      </c>
      <c r="I6" s="776">
        <v>125</v>
      </c>
      <c r="J6" s="776">
        <v>152</v>
      </c>
      <c r="K6" s="776">
        <v>127</v>
      </c>
      <c r="L6" s="788">
        <v>127</v>
      </c>
      <c r="M6" s="776">
        <v>152</v>
      </c>
      <c r="N6" s="776">
        <v>152</v>
      </c>
      <c r="O6" s="788">
        <v>152</v>
      </c>
      <c r="P6" s="776">
        <v>136</v>
      </c>
      <c r="Q6" s="776">
        <v>150</v>
      </c>
      <c r="R6" s="776">
        <v>152</v>
      </c>
      <c r="S6" s="788">
        <v>152</v>
      </c>
      <c r="T6" s="788">
        <v>103</v>
      </c>
      <c r="U6" s="776">
        <v>115</v>
      </c>
      <c r="V6" s="776">
        <v>70</v>
      </c>
      <c r="W6" s="788">
        <v>127</v>
      </c>
      <c r="X6" s="776">
        <v>127</v>
      </c>
      <c r="Y6" s="788">
        <v>150</v>
      </c>
      <c r="Z6" s="776">
        <v>125</v>
      </c>
      <c r="AA6" s="788">
        <v>164</v>
      </c>
      <c r="AB6" s="776">
        <v>170</v>
      </c>
      <c r="AC6" s="776">
        <v>170</v>
      </c>
      <c r="AD6" s="776">
        <v>152</v>
      </c>
      <c r="AE6" s="776">
        <v>152</v>
      </c>
    </row>
    <row r="7" spans="1:31" ht="15.75" customHeight="1">
      <c r="A7" s="776" t="s">
        <v>567</v>
      </c>
      <c r="B7" s="776">
        <v>1.25</v>
      </c>
      <c r="C7" s="776">
        <v>1.1499999999999999</v>
      </c>
      <c r="D7" s="776">
        <v>1.165</v>
      </c>
      <c r="E7" s="788">
        <v>1.613</v>
      </c>
      <c r="F7" s="776">
        <v>1.93</v>
      </c>
      <c r="G7" s="776">
        <v>1.613</v>
      </c>
      <c r="H7" s="776">
        <v>0.85</v>
      </c>
      <c r="I7" s="776">
        <v>1.04</v>
      </c>
      <c r="J7" s="776">
        <v>1.5</v>
      </c>
      <c r="K7" s="812">
        <v>1.1599999999999999</v>
      </c>
      <c r="L7" s="780">
        <v>1.534</v>
      </c>
      <c r="M7" s="812">
        <v>1.607</v>
      </c>
      <c r="N7" s="812">
        <v>1.607</v>
      </c>
      <c r="O7" s="780">
        <v>1.1679999999999999</v>
      </c>
      <c r="P7" s="812">
        <v>1.27</v>
      </c>
      <c r="Q7" s="812">
        <v>1.3</v>
      </c>
      <c r="R7" s="812">
        <v>1.1499999999999999</v>
      </c>
      <c r="S7" s="780">
        <v>1.1499999999999999</v>
      </c>
      <c r="T7" s="788">
        <v>0.68</v>
      </c>
      <c r="U7" s="776">
        <v>0.68</v>
      </c>
      <c r="V7" s="776">
        <v>1.1200000000000001</v>
      </c>
      <c r="W7" s="780">
        <v>1.534</v>
      </c>
      <c r="X7" s="812">
        <v>1.607</v>
      </c>
      <c r="Y7" s="780">
        <v>1.1499999999999999</v>
      </c>
      <c r="Z7" s="776">
        <v>1.5049999999999999</v>
      </c>
      <c r="AA7" s="788">
        <v>1.21</v>
      </c>
      <c r="AB7" s="776">
        <v>1.07</v>
      </c>
      <c r="AC7" s="776">
        <v>1.07</v>
      </c>
      <c r="AD7" s="776">
        <v>1.5649999999999999</v>
      </c>
      <c r="AE7" s="776">
        <v>1.5649999999999999</v>
      </c>
    </row>
    <row r="8" spans="1:31" ht="20.25" customHeight="1">
      <c r="A8" s="809" t="s">
        <v>568</v>
      </c>
      <c r="B8" s="794"/>
      <c r="C8" s="794"/>
      <c r="D8" s="822"/>
      <c r="E8" s="794"/>
      <c r="F8" s="794"/>
      <c r="G8" s="794"/>
      <c r="H8" s="794"/>
      <c r="I8" s="794"/>
      <c r="J8" s="794"/>
      <c r="K8" s="794"/>
      <c r="L8" s="794"/>
      <c r="M8" s="794"/>
      <c r="N8" s="794"/>
      <c r="O8" s="794"/>
      <c r="P8" s="794"/>
      <c r="Q8" s="794"/>
      <c r="R8" s="794"/>
      <c r="S8" s="794"/>
      <c r="T8" s="794"/>
      <c r="U8" s="794"/>
      <c r="V8" s="794"/>
      <c r="W8" s="794"/>
      <c r="X8" s="794"/>
      <c r="Y8" s="794"/>
      <c r="Z8" s="794"/>
      <c r="AA8" s="794"/>
      <c r="AB8" s="794"/>
      <c r="AC8" s="794"/>
      <c r="AD8" s="794"/>
      <c r="AE8" s="794"/>
    </row>
    <row r="9" spans="1:31" ht="15.75" customHeight="1">
      <c r="A9" s="776" t="s">
        <v>569</v>
      </c>
      <c r="B9" s="776">
        <v>24750</v>
      </c>
      <c r="C9" s="776">
        <v>861</v>
      </c>
      <c r="D9" s="776">
        <v>1395</v>
      </c>
      <c r="E9" s="788">
        <v>6480</v>
      </c>
      <c r="F9" s="776">
        <v>6480</v>
      </c>
      <c r="G9" s="788">
        <v>6480</v>
      </c>
      <c r="H9" s="776">
        <v>800</v>
      </c>
      <c r="I9" s="776">
        <v>1600</v>
      </c>
      <c r="J9" s="776">
        <v>6450</v>
      </c>
      <c r="K9" s="776">
        <v>2800</v>
      </c>
      <c r="L9" s="788">
        <v>2800</v>
      </c>
      <c r="M9" s="776">
        <v>3590</v>
      </c>
      <c r="N9" s="776">
        <v>3590</v>
      </c>
      <c r="O9" s="788">
        <v>3590</v>
      </c>
      <c r="P9" s="776">
        <v>4965</v>
      </c>
      <c r="Q9" s="776">
        <v>4965</v>
      </c>
      <c r="R9" s="776">
        <v>4180</v>
      </c>
      <c r="S9" s="788">
        <v>4180</v>
      </c>
      <c r="T9" s="788">
        <v>230</v>
      </c>
      <c r="U9" s="776">
        <v>230</v>
      </c>
      <c r="V9" s="776">
        <v>2970</v>
      </c>
      <c r="W9" s="788">
        <v>2800</v>
      </c>
      <c r="X9" s="776">
        <v>3590</v>
      </c>
      <c r="Y9" s="788">
        <v>945</v>
      </c>
      <c r="Z9" s="776">
        <v>16000</v>
      </c>
      <c r="AA9" s="788">
        <v>3200</v>
      </c>
      <c r="AB9" s="776">
        <v>834</v>
      </c>
      <c r="AC9" s="776">
        <v>834</v>
      </c>
      <c r="AD9" s="776">
        <v>3700</v>
      </c>
      <c r="AE9" s="776">
        <v>3700</v>
      </c>
    </row>
    <row r="10" spans="1:31" ht="15.75" customHeight="1">
      <c r="A10" s="776" t="s">
        <v>570</v>
      </c>
      <c r="B10" s="776">
        <v>0.4</v>
      </c>
      <c r="C10" s="776">
        <v>7.5</v>
      </c>
      <c r="D10" s="776">
        <v>2</v>
      </c>
      <c r="E10" s="788">
        <v>2</v>
      </c>
      <c r="F10" s="776">
        <v>2</v>
      </c>
      <c r="G10" s="788">
        <v>2</v>
      </c>
      <c r="H10" s="788">
        <v>2</v>
      </c>
      <c r="I10" s="788">
        <v>0.9</v>
      </c>
      <c r="J10" s="788">
        <v>1</v>
      </c>
      <c r="K10" s="776">
        <v>1.6</v>
      </c>
      <c r="L10" s="788">
        <v>1.6</v>
      </c>
      <c r="M10" s="776">
        <v>1.6</v>
      </c>
      <c r="N10" s="776">
        <v>1.6</v>
      </c>
      <c r="O10" s="788">
        <v>1.6</v>
      </c>
      <c r="P10" s="776">
        <v>1</v>
      </c>
      <c r="Q10" s="776">
        <v>1</v>
      </c>
      <c r="R10" s="776">
        <v>1.3</v>
      </c>
      <c r="S10" s="788">
        <v>1.3</v>
      </c>
      <c r="T10" s="788">
        <v>1.3</v>
      </c>
      <c r="U10" s="788">
        <v>1.3</v>
      </c>
      <c r="V10" s="776">
        <v>1</v>
      </c>
      <c r="W10" s="788">
        <v>1.6</v>
      </c>
      <c r="X10" s="776">
        <v>1.6</v>
      </c>
      <c r="Y10" s="788">
        <v>2.2000000000000002</v>
      </c>
      <c r="Z10" s="776">
        <v>0.75</v>
      </c>
      <c r="AA10" s="788">
        <v>1</v>
      </c>
      <c r="AB10" s="776">
        <v>6</v>
      </c>
      <c r="AC10" s="776">
        <v>6</v>
      </c>
      <c r="AD10" s="776">
        <v>0.75</v>
      </c>
      <c r="AE10" s="776">
        <v>0.75</v>
      </c>
    </row>
    <row r="11" spans="1:31" ht="15.75" customHeight="1">
      <c r="A11" s="776" t="str">
        <f>"Raw acceleration at ignition: [m/s"&amp;CHAR(178)&amp;"]"</f>
        <v>Raw acceleration at ignition: [m/s²]</v>
      </c>
      <c r="B11" s="777">
        <f t="shared" ref="B11:U11" si="0">B9/B3</f>
        <v>458.33333333333331</v>
      </c>
      <c r="C11" s="806">
        <f t="shared" si="0"/>
        <v>33.243243243243242</v>
      </c>
      <c r="D11" s="806">
        <f t="shared" si="0"/>
        <v>96.206896551724142</v>
      </c>
      <c r="E11" s="777">
        <f t="shared" si="0"/>
        <v>206.36942675159236</v>
      </c>
      <c r="F11" s="818">
        <f t="shared" si="0"/>
        <v>193.43283582089552</v>
      </c>
      <c r="G11" s="793">
        <f t="shared" si="0"/>
        <v>193.43283582089552</v>
      </c>
      <c r="H11" s="777">
        <f t="shared" si="0"/>
        <v>71.428571428571431</v>
      </c>
      <c r="I11" s="806">
        <f t="shared" si="0"/>
        <v>128</v>
      </c>
      <c r="J11" s="777">
        <f t="shared" si="0"/>
        <v>222.41379310344828</v>
      </c>
      <c r="K11" s="806">
        <f t="shared" si="0"/>
        <v>148.77789585547291</v>
      </c>
      <c r="L11" s="777">
        <f t="shared" si="0"/>
        <v>146.98162729658793</v>
      </c>
      <c r="M11" s="806">
        <f t="shared" si="0"/>
        <v>167.36596736596738</v>
      </c>
      <c r="N11" s="806">
        <f t="shared" si="0"/>
        <v>158.63897481219621</v>
      </c>
      <c r="O11" s="777">
        <f t="shared" si="0"/>
        <v>158.91987605135014</v>
      </c>
      <c r="P11" s="806">
        <f t="shared" si="0"/>
        <v>215.86956521739131</v>
      </c>
      <c r="Q11" s="806">
        <f t="shared" si="0"/>
        <v>215.86956521739131</v>
      </c>
      <c r="R11" s="806">
        <f t="shared" si="0"/>
        <v>150.38080881850331</v>
      </c>
      <c r="S11" s="777">
        <f t="shared" si="0"/>
        <v>150.38080881850331</v>
      </c>
      <c r="T11" s="777">
        <f t="shared" si="0"/>
        <v>34.328358208955223</v>
      </c>
      <c r="U11" s="806">
        <f t="shared" si="0"/>
        <v>32.857142857142854</v>
      </c>
      <c r="V11" s="806">
        <v>424.28571428571428</v>
      </c>
      <c r="W11" s="777">
        <f t="shared" ref="W11:AE11" si="1">W9/W3</f>
        <v>146.98162729658793</v>
      </c>
      <c r="X11" s="806">
        <f t="shared" si="1"/>
        <v>167.36596736596738</v>
      </c>
      <c r="Y11" s="777">
        <f t="shared" si="1"/>
        <v>86.697247706422019</v>
      </c>
      <c r="Z11" s="777">
        <f t="shared" si="1"/>
        <v>561.40350877192986</v>
      </c>
      <c r="AA11" s="777">
        <f t="shared" si="1"/>
        <v>106.70223407802601</v>
      </c>
      <c r="AB11" s="777">
        <f t="shared" si="1"/>
        <v>33.36</v>
      </c>
      <c r="AC11" s="777">
        <f t="shared" si="1"/>
        <v>33.36</v>
      </c>
      <c r="AD11" s="777">
        <f t="shared" si="1"/>
        <v>185.92964824120605</v>
      </c>
      <c r="AE11" s="777">
        <f t="shared" si="1"/>
        <v>185.92964824120605</v>
      </c>
    </row>
    <row r="12" spans="1:31" ht="15.75" customHeight="1">
      <c r="A12" s="728" t="s">
        <v>571</v>
      </c>
      <c r="B12" s="781">
        <f t="shared" ref="B12:U12" si="2">B10*B9/(9.81*(B3-B4))</f>
        <v>183.48623853211006</v>
      </c>
      <c r="C12" s="781">
        <f t="shared" si="2"/>
        <v>208.30913947276736</v>
      </c>
      <c r="D12" s="781">
        <f t="shared" si="2"/>
        <v>167.29627630868868</v>
      </c>
      <c r="E12" s="781">
        <f t="shared" si="2"/>
        <v>237.18149325515125</v>
      </c>
      <c r="F12" s="781">
        <f t="shared" si="2"/>
        <v>237.18149325515125</v>
      </c>
      <c r="G12" s="781">
        <f t="shared" si="2"/>
        <v>237.18149325515125</v>
      </c>
      <c r="H12" s="781">
        <f t="shared" si="2"/>
        <v>141.82511190887752</v>
      </c>
      <c r="I12" s="781">
        <f t="shared" si="2"/>
        <v>163.0988786952089</v>
      </c>
      <c r="J12" s="781">
        <f t="shared" si="2"/>
        <v>226.72150163450394</v>
      </c>
      <c r="K12" s="781">
        <f t="shared" si="2"/>
        <v>182.67074413863403</v>
      </c>
      <c r="L12" s="781">
        <f t="shared" si="2"/>
        <v>182.67074413863403</v>
      </c>
      <c r="M12" s="781">
        <f t="shared" si="2"/>
        <v>182.97655453618759</v>
      </c>
      <c r="N12" s="781">
        <f t="shared" si="2"/>
        <v>182.97655453618759</v>
      </c>
      <c r="O12" s="781">
        <f t="shared" si="2"/>
        <v>182.97655453618759</v>
      </c>
      <c r="P12" s="781">
        <f t="shared" si="2"/>
        <v>170.98520538887507</v>
      </c>
      <c r="Q12" s="781">
        <f t="shared" si="2"/>
        <v>170.98520538887507</v>
      </c>
      <c r="R12" s="781">
        <f t="shared" si="2"/>
        <v>118.44853346917638</v>
      </c>
      <c r="S12" s="781">
        <f t="shared" si="2"/>
        <v>118.44853346917638</v>
      </c>
      <c r="T12" s="781">
        <f t="shared" si="2"/>
        <v>179.28884091863051</v>
      </c>
      <c r="U12" s="781">
        <f t="shared" si="2"/>
        <v>179.28884091863051</v>
      </c>
      <c r="V12" s="781">
        <v>224.26095820591237</v>
      </c>
      <c r="W12" s="781">
        <f t="shared" ref="W12:AE12" si="3">W10*W9/(9.81*(W3-W4))</f>
        <v>182.67074413863403</v>
      </c>
      <c r="X12" s="781">
        <f t="shared" si="3"/>
        <v>182.97655453618759</v>
      </c>
      <c r="Y12" s="781">
        <f t="shared" si="3"/>
        <v>192.66055045871565</v>
      </c>
      <c r="Z12" s="781">
        <f t="shared" si="3"/>
        <v>203.87359836901121</v>
      </c>
      <c r="AA12" s="781">
        <f t="shared" si="3"/>
        <v>198.90107157952349</v>
      </c>
      <c r="AB12" s="781">
        <f t="shared" si="3"/>
        <v>212.53822629969432</v>
      </c>
      <c r="AC12" s="781">
        <f t="shared" si="3"/>
        <v>212.53822629969432</v>
      </c>
      <c r="AD12" s="781">
        <f t="shared" si="3"/>
        <v>134.70219892238254</v>
      </c>
      <c r="AE12" s="781">
        <f t="shared" si="3"/>
        <v>134.70219892238254</v>
      </c>
    </row>
    <row r="13" spans="1:31" ht="15.75" customHeight="1">
      <c r="A13" s="661" t="s">
        <v>572</v>
      </c>
      <c r="B13" s="678">
        <f t="shared" ref="B13:U13" si="4">B12*9.81*LN(B3/B4)</f>
        <v>193.35644751750641</v>
      </c>
      <c r="C13" s="678">
        <f t="shared" si="4"/>
        <v>265.89671821958274</v>
      </c>
      <c r="D13" s="678">
        <f t="shared" si="4"/>
        <v>204.66041471627699</v>
      </c>
      <c r="E13" s="678">
        <f t="shared" si="4"/>
        <v>454.34755189438118</v>
      </c>
      <c r="F13" s="678">
        <f t="shared" si="4"/>
        <v>423.10574560254952</v>
      </c>
      <c r="G13" s="678">
        <f t="shared" si="4"/>
        <v>423.10574560254952</v>
      </c>
      <c r="H13" s="678">
        <f t="shared" si="4"/>
        <v>150.73550441177608</v>
      </c>
      <c r="I13" s="678">
        <f t="shared" si="4"/>
        <v>119.55767391349846</v>
      </c>
      <c r="J13" s="678">
        <f t="shared" si="4"/>
        <v>234.33631930792421</v>
      </c>
      <c r="K13" s="678">
        <f t="shared" si="4"/>
        <v>255.41158204132037</v>
      </c>
      <c r="L13" s="678">
        <f t="shared" si="4"/>
        <v>252.10035155135154</v>
      </c>
      <c r="M13" s="678">
        <f t="shared" si="4"/>
        <v>289.99941979521822</v>
      </c>
      <c r="N13" s="678">
        <f t="shared" si="4"/>
        <v>273.66246227969447</v>
      </c>
      <c r="O13" s="678">
        <f t="shared" si="4"/>
        <v>274.18600089950604</v>
      </c>
      <c r="P13" s="678">
        <f t="shared" si="4"/>
        <v>231.08039211908505</v>
      </c>
      <c r="Q13" s="678">
        <f t="shared" si="4"/>
        <v>231.08039211908505</v>
      </c>
      <c r="R13" s="678">
        <f t="shared" si="4"/>
        <v>214.05414388306039</v>
      </c>
      <c r="S13" s="678">
        <f t="shared" si="4"/>
        <v>214.05414388306039</v>
      </c>
      <c r="T13" s="678">
        <f t="shared" si="4"/>
        <v>45.202790290974313</v>
      </c>
      <c r="U13" s="678">
        <f t="shared" si="4"/>
        <v>43.241512743010276</v>
      </c>
      <c r="V13" s="678">
        <v>471.36012857332014</v>
      </c>
      <c r="W13" s="678">
        <f t="shared" ref="W13:AE13" si="5">W12*9.81*LN(W3/W4)</f>
        <v>252.10035155135154</v>
      </c>
      <c r="X13" s="678">
        <f t="shared" si="5"/>
        <v>289.99941979521822</v>
      </c>
      <c r="Y13" s="678">
        <f t="shared" si="5"/>
        <v>201.05896272570078</v>
      </c>
      <c r="Z13" s="678">
        <f t="shared" si="5"/>
        <v>472.77755612846067</v>
      </c>
      <c r="AA13" s="678">
        <f t="shared" si="5"/>
        <v>109.73065870664698</v>
      </c>
      <c r="AB13" s="678">
        <f t="shared" si="5"/>
        <v>210.43054026006777</v>
      </c>
      <c r="AC13" s="678">
        <f t="shared" si="5"/>
        <v>210.43054026006777</v>
      </c>
      <c r="AD13" s="678">
        <f t="shared" si="5"/>
        <v>147.36739835710966</v>
      </c>
      <c r="AE13" s="678">
        <f t="shared" si="5"/>
        <v>147.36739835710966</v>
      </c>
    </row>
    <row r="14" spans="1:31" ht="15.75" customHeight="1">
      <c r="A14" s="836" t="s">
        <v>573</v>
      </c>
      <c r="B14" s="815" t="s">
        <v>293</v>
      </c>
      <c r="C14" s="678">
        <v>0.04</v>
      </c>
      <c r="D14" s="678">
        <v>0.14000000000000001</v>
      </c>
      <c r="E14" s="678">
        <v>0.05</v>
      </c>
      <c r="F14" s="678">
        <v>0.05</v>
      </c>
      <c r="G14" s="678">
        <v>0.05</v>
      </c>
      <c r="H14" s="815" t="s">
        <v>293</v>
      </c>
      <c r="I14" s="815" t="s">
        <v>293</v>
      </c>
      <c r="J14" s="807">
        <v>0.1</v>
      </c>
      <c r="K14" s="678">
        <v>0.14000000000000001</v>
      </c>
      <c r="L14" s="678">
        <v>0.14000000000000001</v>
      </c>
      <c r="M14" s="678">
        <v>0.14000000000000001</v>
      </c>
      <c r="N14" s="678">
        <v>0.14000000000000001</v>
      </c>
      <c r="O14" s="678">
        <v>0.14000000000000001</v>
      </c>
      <c r="P14" s="790" t="s">
        <v>293</v>
      </c>
      <c r="Q14" s="790" t="s">
        <v>293</v>
      </c>
      <c r="R14" s="790" t="s">
        <v>293</v>
      </c>
      <c r="S14" s="790" t="s">
        <v>293</v>
      </c>
      <c r="T14" s="790" t="s">
        <v>293</v>
      </c>
      <c r="U14" s="790" t="s">
        <v>293</v>
      </c>
      <c r="V14" s="790" t="s">
        <v>293</v>
      </c>
      <c r="W14" s="678">
        <v>0.14000000000000001</v>
      </c>
      <c r="X14" s="678">
        <v>0.14000000000000001</v>
      </c>
      <c r="Y14" s="678">
        <v>0.14000000000000001</v>
      </c>
      <c r="Z14" s="678">
        <v>0.02</v>
      </c>
      <c r="AA14" s="790" t="s">
        <v>293</v>
      </c>
      <c r="AB14" s="790" t="s">
        <v>293</v>
      </c>
      <c r="AC14" s="790" t="s">
        <v>293</v>
      </c>
      <c r="AD14" s="678">
        <v>0.14000000000000001</v>
      </c>
      <c r="AE14" s="678">
        <v>0.14000000000000001</v>
      </c>
    </row>
    <row r="15" spans="1:31" ht="15.75" customHeight="1">
      <c r="A15" s="776" t="s">
        <v>574</v>
      </c>
      <c r="B15" s="812">
        <v>628</v>
      </c>
      <c r="C15" s="815" t="s">
        <v>293</v>
      </c>
      <c r="D15" s="812">
        <v>223</v>
      </c>
      <c r="E15" s="780">
        <v>3070</v>
      </c>
      <c r="F15" s="812">
        <v>3070</v>
      </c>
      <c r="G15" s="780">
        <v>3070</v>
      </c>
      <c r="H15" s="780">
        <v>205</v>
      </c>
      <c r="I15" s="780">
        <v>50</v>
      </c>
      <c r="J15" s="780">
        <v>520</v>
      </c>
      <c r="K15" s="815" t="s">
        <v>293</v>
      </c>
      <c r="L15" s="790" t="s">
        <v>293</v>
      </c>
      <c r="M15" s="815" t="s">
        <v>293</v>
      </c>
      <c r="N15" s="815" t="s">
        <v>293</v>
      </c>
      <c r="O15" s="790" t="s">
        <v>293</v>
      </c>
      <c r="P15" s="812">
        <v>290</v>
      </c>
      <c r="Q15" s="812">
        <v>290</v>
      </c>
      <c r="R15" s="815" t="s">
        <v>293</v>
      </c>
      <c r="S15" s="790" t="s">
        <v>293</v>
      </c>
      <c r="T15" s="812">
        <v>135</v>
      </c>
      <c r="U15" s="812">
        <v>135</v>
      </c>
      <c r="V15" s="790" t="s">
        <v>293</v>
      </c>
      <c r="W15" s="790" t="s">
        <v>293</v>
      </c>
      <c r="X15" s="815" t="s">
        <v>293</v>
      </c>
      <c r="Y15" s="790" t="s">
        <v>293</v>
      </c>
      <c r="Z15" s="788">
        <v>2000</v>
      </c>
      <c r="AA15" s="788">
        <v>470</v>
      </c>
      <c r="AB15" s="776">
        <v>282</v>
      </c>
      <c r="AC15" s="776">
        <v>282</v>
      </c>
      <c r="AD15" s="776">
        <v>250</v>
      </c>
      <c r="AE15" s="776">
        <v>250</v>
      </c>
    </row>
    <row r="16" spans="1:31" ht="15.75" customHeight="1">
      <c r="A16" s="776" t="s">
        <v>575</v>
      </c>
      <c r="B16" s="812">
        <v>14</v>
      </c>
      <c r="C16" s="815" t="s">
        <v>293</v>
      </c>
      <c r="D16" s="812">
        <v>13</v>
      </c>
      <c r="E16" s="780">
        <v>3</v>
      </c>
      <c r="F16" s="812">
        <v>3</v>
      </c>
      <c r="G16" s="780">
        <v>3</v>
      </c>
      <c r="H16" s="780">
        <v>13</v>
      </c>
      <c r="I16" s="780">
        <v>27</v>
      </c>
      <c r="J16" s="780">
        <v>11</v>
      </c>
      <c r="K16" s="815" t="s">
        <v>293</v>
      </c>
      <c r="L16" s="790" t="s">
        <v>293</v>
      </c>
      <c r="M16" s="815" t="s">
        <v>293</v>
      </c>
      <c r="N16" s="815" t="s">
        <v>293</v>
      </c>
      <c r="O16" s="790" t="s">
        <v>293</v>
      </c>
      <c r="P16" s="812">
        <v>18</v>
      </c>
      <c r="Q16" s="812">
        <v>18</v>
      </c>
      <c r="R16" s="815" t="s">
        <v>293</v>
      </c>
      <c r="S16" s="790" t="s">
        <v>293</v>
      </c>
      <c r="T16" s="812">
        <v>10.7</v>
      </c>
      <c r="U16" s="812">
        <v>10.7</v>
      </c>
      <c r="V16" s="790" t="s">
        <v>293</v>
      </c>
      <c r="W16" s="790" t="s">
        <v>293</v>
      </c>
      <c r="X16" s="815" t="s">
        <v>293</v>
      </c>
      <c r="Y16" s="790" t="s">
        <v>293</v>
      </c>
      <c r="Z16" s="788">
        <v>4</v>
      </c>
      <c r="AA16" s="788">
        <v>17.5</v>
      </c>
      <c r="AB16" s="776">
        <v>19</v>
      </c>
      <c r="AC16" s="776">
        <v>19</v>
      </c>
      <c r="AD16" s="776">
        <v>18</v>
      </c>
      <c r="AE16" s="776">
        <v>18</v>
      </c>
    </row>
    <row r="17" spans="1:31" ht="15.75" customHeight="1">
      <c r="A17" s="728" t="s">
        <v>576</v>
      </c>
      <c r="B17" s="777">
        <f>B16*B15/(9.81*(B4-B5))</f>
        <v>597.48555895344884</v>
      </c>
      <c r="C17" s="790" t="s">
        <v>293</v>
      </c>
      <c r="D17" s="777">
        <f t="shared" ref="D17:J17" si="6">D16*D15/(9.81*(D4-D5))</f>
        <v>268.64980075989212</v>
      </c>
      <c r="E17" s="777">
        <f t="shared" si="6"/>
        <v>220.90304011512862</v>
      </c>
      <c r="F17" s="777">
        <f t="shared" si="6"/>
        <v>220.90304011512862</v>
      </c>
      <c r="G17" s="777">
        <f t="shared" si="6"/>
        <v>220.90304011512862</v>
      </c>
      <c r="H17" s="777">
        <f t="shared" si="6"/>
        <v>208.97043832823638</v>
      </c>
      <c r="I17" s="777">
        <f t="shared" si="6"/>
        <v>68.807339449541274</v>
      </c>
      <c r="J17" s="777">
        <f t="shared" si="6"/>
        <v>224.2609582059122</v>
      </c>
      <c r="K17" s="790" t="s">
        <v>293</v>
      </c>
      <c r="L17" s="790" t="s">
        <v>293</v>
      </c>
      <c r="M17" s="790" t="s">
        <v>293</v>
      </c>
      <c r="N17" s="790" t="s">
        <v>293</v>
      </c>
      <c r="O17" s="790" t="s">
        <v>293</v>
      </c>
      <c r="P17" s="777">
        <f>P16*P15/(9.81*(P4-P5))</f>
        <v>204.65772759350759</v>
      </c>
      <c r="Q17" s="777">
        <f>Q16*Q15/(9.81*(Q4-Q5))</f>
        <v>204.65772759350759</v>
      </c>
      <c r="R17" s="790" t="s">
        <v>293</v>
      </c>
      <c r="S17" s="790" t="s">
        <v>293</v>
      </c>
      <c r="T17" s="777">
        <f>T16*T15/(9.81*(T4-T5))</f>
        <v>201.70918687947707</v>
      </c>
      <c r="U17" s="777">
        <f>U16*U15/(9.81*(U4-U5))</f>
        <v>201.70918687947707</v>
      </c>
      <c r="V17" s="777" t="s">
        <v>293</v>
      </c>
      <c r="W17" s="790" t="s">
        <v>293</v>
      </c>
      <c r="X17" s="815" t="s">
        <v>293</v>
      </c>
      <c r="Y17" s="790" t="s">
        <v>293</v>
      </c>
      <c r="Z17" s="777">
        <f t="shared" ref="Z17:AE17" si="7">Z16*Z15/(9.81*(Z4-Z5))</f>
        <v>203.87359836901121</v>
      </c>
      <c r="AA17" s="777">
        <f t="shared" si="7"/>
        <v>202.03136705844776</v>
      </c>
      <c r="AB17" s="777">
        <f t="shared" si="7"/>
        <v>210.06821924253106</v>
      </c>
      <c r="AC17" s="777">
        <f t="shared" si="7"/>
        <v>210.06821924253106</v>
      </c>
      <c r="AD17" s="777">
        <f t="shared" si="7"/>
        <v>218.43599825251187</v>
      </c>
      <c r="AE17" s="777">
        <f t="shared" si="7"/>
        <v>218.43599825251187</v>
      </c>
    </row>
    <row r="18" spans="1:31" ht="15.75" customHeight="1">
      <c r="A18" s="728" t="s">
        <v>577</v>
      </c>
      <c r="B18" s="777">
        <f>B17*9.81*LN(B4/B5)</f>
        <v>184.14079818924492</v>
      </c>
      <c r="C18" s="790" t="s">
        <v>293</v>
      </c>
      <c r="D18" s="777">
        <f t="shared" ref="D18:J18" si="8">D17*9.81*LN(D4/D5)</f>
        <v>236.81227102206827</v>
      </c>
      <c r="E18" s="777">
        <f t="shared" si="8"/>
        <v>389.57140033604088</v>
      </c>
      <c r="F18" s="777">
        <f t="shared" si="8"/>
        <v>357.71763509628067</v>
      </c>
      <c r="G18" s="777">
        <f t="shared" si="8"/>
        <v>357.71763509628067</v>
      </c>
      <c r="H18" s="777">
        <f t="shared" si="8"/>
        <v>283.96381497790139</v>
      </c>
      <c r="I18" s="777">
        <f t="shared" si="8"/>
        <v>127.7383497560066</v>
      </c>
      <c r="J18" s="777">
        <f t="shared" si="8"/>
        <v>230.85676499277596</v>
      </c>
      <c r="K18" s="790" t="s">
        <v>293</v>
      </c>
      <c r="L18" s="790" t="s">
        <v>293</v>
      </c>
      <c r="M18" s="790" t="s">
        <v>293</v>
      </c>
      <c r="N18" s="790" t="s">
        <v>293</v>
      </c>
      <c r="O18" s="790" t="s">
        <v>293</v>
      </c>
      <c r="P18" s="777">
        <f>P17*9.81*LN(P4/P5)</f>
        <v>278.99666822347518</v>
      </c>
      <c r="Q18" s="777">
        <f>Q17*9.81*LN(Q4/Q5)</f>
        <v>278.99666822347518</v>
      </c>
      <c r="R18" s="790" t="s">
        <v>293</v>
      </c>
      <c r="S18" s="790" t="s">
        <v>293</v>
      </c>
      <c r="T18" s="777">
        <f>T17*9.81*LN(T4/T5)</f>
        <v>234.58091462411346</v>
      </c>
      <c r="U18" s="777">
        <f>U17*9.81*LN(U4/U5)</f>
        <v>223.67172742706734</v>
      </c>
      <c r="V18" s="777" t="s">
        <v>293</v>
      </c>
      <c r="W18" s="790" t="s">
        <v>293</v>
      </c>
      <c r="X18" s="790" t="s">
        <v>293</v>
      </c>
      <c r="Y18" s="790" t="s">
        <v>293</v>
      </c>
      <c r="Z18" s="777">
        <f t="shared" ref="Z18:AE18" si="9">Z17*9.81*LN(Z4/Z5)</f>
        <v>391.48915425219064</v>
      </c>
      <c r="AA18" s="777">
        <f t="shared" si="9"/>
        <v>313.68841335336521</v>
      </c>
      <c r="AB18" s="777">
        <f t="shared" si="9"/>
        <v>251.86233697558745</v>
      </c>
      <c r="AC18" s="777">
        <f t="shared" si="9"/>
        <v>251.86233697558745</v>
      </c>
      <c r="AD18" s="777">
        <f t="shared" si="9"/>
        <v>269.00945345095107</v>
      </c>
      <c r="AE18" s="777">
        <f t="shared" si="9"/>
        <v>269.00945345095107</v>
      </c>
    </row>
    <row r="19" spans="1:31" ht="15.75" customHeight="1">
      <c r="A19" s="728" t="s">
        <v>578</v>
      </c>
      <c r="B19" s="692">
        <f t="shared" ref="B19:U19" si="10">IF(ISNUMBER(B18),B13+B18,B13)</f>
        <v>377.4972457067513</v>
      </c>
      <c r="C19" s="692">
        <f t="shared" si="10"/>
        <v>265.89671821958274</v>
      </c>
      <c r="D19" s="692">
        <f t="shared" si="10"/>
        <v>441.47268573834526</v>
      </c>
      <c r="E19" s="692">
        <f t="shared" si="10"/>
        <v>843.91895223042206</v>
      </c>
      <c r="F19" s="692">
        <f t="shared" si="10"/>
        <v>780.82338069883019</v>
      </c>
      <c r="G19" s="692">
        <f t="shared" si="10"/>
        <v>780.82338069883019</v>
      </c>
      <c r="H19" s="692">
        <f t="shared" si="10"/>
        <v>434.6993193896775</v>
      </c>
      <c r="I19" s="692">
        <f t="shared" si="10"/>
        <v>247.29602366950508</v>
      </c>
      <c r="J19" s="692">
        <f t="shared" si="10"/>
        <v>465.19308430070021</v>
      </c>
      <c r="K19" s="692">
        <f t="shared" si="10"/>
        <v>255.41158204132037</v>
      </c>
      <c r="L19" s="692">
        <f t="shared" si="10"/>
        <v>252.10035155135154</v>
      </c>
      <c r="M19" s="692">
        <f t="shared" si="10"/>
        <v>289.99941979521822</v>
      </c>
      <c r="N19" s="692">
        <f t="shared" si="10"/>
        <v>273.66246227969447</v>
      </c>
      <c r="O19" s="692">
        <f t="shared" si="10"/>
        <v>274.18600089950604</v>
      </c>
      <c r="P19" s="692">
        <f t="shared" si="10"/>
        <v>510.07706034256023</v>
      </c>
      <c r="Q19" s="692">
        <f t="shared" si="10"/>
        <v>510.07706034256023</v>
      </c>
      <c r="R19" s="692">
        <f t="shared" si="10"/>
        <v>214.05414388306039</v>
      </c>
      <c r="S19" s="692">
        <f t="shared" si="10"/>
        <v>214.05414388306039</v>
      </c>
      <c r="T19" s="692">
        <f t="shared" si="10"/>
        <v>279.78370491508775</v>
      </c>
      <c r="U19" s="692">
        <f t="shared" si="10"/>
        <v>266.91324017007764</v>
      </c>
      <c r="V19" s="692">
        <v>471.36012857332014</v>
      </c>
      <c r="W19" s="692">
        <f t="shared" ref="W19:AE19" si="11">IF(ISNUMBER(W18),W13+W18,W13)</f>
        <v>252.10035155135154</v>
      </c>
      <c r="X19" s="692">
        <f t="shared" si="11"/>
        <v>289.99941979521822</v>
      </c>
      <c r="Y19" s="692">
        <f t="shared" si="11"/>
        <v>201.05896272570078</v>
      </c>
      <c r="Z19" s="692">
        <f t="shared" si="11"/>
        <v>864.26671038065138</v>
      </c>
      <c r="AA19" s="692">
        <f t="shared" si="11"/>
        <v>423.41907206001218</v>
      </c>
      <c r="AB19" s="692">
        <f t="shared" si="11"/>
        <v>462.29287723565523</v>
      </c>
      <c r="AC19" s="692">
        <f t="shared" si="11"/>
        <v>462.29287723565523</v>
      </c>
      <c r="AD19" s="692">
        <f t="shared" si="11"/>
        <v>416.37685180806074</v>
      </c>
      <c r="AE19" s="692">
        <f t="shared" si="11"/>
        <v>416.37685180806074</v>
      </c>
    </row>
    <row r="20" spans="1:31" ht="20.25" customHeight="1">
      <c r="A20" s="817" t="s">
        <v>579</v>
      </c>
      <c r="B20" s="792"/>
      <c r="C20" s="792"/>
      <c r="D20" s="792"/>
      <c r="E20" s="792"/>
      <c r="F20" s="792"/>
      <c r="G20" s="792"/>
      <c r="H20" s="792"/>
      <c r="I20" s="792"/>
      <c r="J20" s="792"/>
      <c r="K20" s="792"/>
      <c r="L20" s="792"/>
      <c r="M20" s="792"/>
      <c r="N20" s="792"/>
      <c r="O20" s="792"/>
      <c r="P20" s="792"/>
      <c r="Q20" s="792"/>
      <c r="R20" s="792"/>
      <c r="S20" s="792"/>
      <c r="T20" s="792"/>
      <c r="U20" s="792"/>
      <c r="V20" s="792"/>
      <c r="W20" s="792"/>
      <c r="X20" s="792"/>
      <c r="Y20" s="792"/>
      <c r="Z20" s="792"/>
      <c r="AA20" s="792"/>
      <c r="AB20" s="792"/>
      <c r="AC20" s="792"/>
      <c r="AD20" s="792"/>
      <c r="AE20" s="792"/>
    </row>
    <row r="21" spans="1:31" ht="15.75" customHeight="1">
      <c r="A21" s="776" t="s">
        <v>580</v>
      </c>
      <c r="B21" s="776">
        <f>1.25*2.52</f>
        <v>3.15</v>
      </c>
      <c r="C21" s="776">
        <f>1.62*3.6</f>
        <v>5.8320000000000007</v>
      </c>
      <c r="D21" s="776">
        <f>1.62*2.75</f>
        <v>4.4550000000000001</v>
      </c>
      <c r="E21" s="788">
        <f>1.62*2.47</f>
        <v>4.0014000000000003</v>
      </c>
      <c r="F21" s="788">
        <f>1.62*2.82</f>
        <v>4.5684000000000005</v>
      </c>
      <c r="G21" s="776">
        <f>1.54*4.5</f>
        <v>6.93</v>
      </c>
      <c r="H21" s="776">
        <f>1.3*1.505</f>
        <v>1.9564999999999999</v>
      </c>
      <c r="I21" s="776">
        <f>1.31*1.4</f>
        <v>1.8339999999999999</v>
      </c>
      <c r="J21" s="776">
        <f>1.3*3.1</f>
        <v>4.03</v>
      </c>
      <c r="K21" s="776">
        <f>1.59*2.36</f>
        <v>3.7524000000000002</v>
      </c>
      <c r="L21" s="776">
        <f>1.41*2.04</f>
        <v>2.8763999999999998</v>
      </c>
      <c r="M21" s="776">
        <f>1.41*3.13</f>
        <v>4.4132999999999996</v>
      </c>
      <c r="N21" s="776">
        <f>1.41*3.2</f>
        <v>4.5119999999999996</v>
      </c>
      <c r="O21" s="776">
        <f>1.41*2.4</f>
        <v>3.3839999999999999</v>
      </c>
      <c r="P21" s="776">
        <f>1.31*2.9</f>
        <v>3.7989999999999999</v>
      </c>
      <c r="Q21" s="776">
        <f>1.59*4.06</f>
        <v>6.4554</v>
      </c>
      <c r="R21" s="776">
        <f>1.59*3.6</f>
        <v>5.7240000000000002</v>
      </c>
      <c r="S21" s="776">
        <f>1.59*3.6</f>
        <v>5.7240000000000002</v>
      </c>
      <c r="T21" s="776">
        <f>1.31*1.4</f>
        <v>1.8339999999999999</v>
      </c>
      <c r="U21" s="776">
        <f>1.31*1.8</f>
        <v>2.3580000000000001</v>
      </c>
      <c r="V21" s="776">
        <f>0.6*1.25</f>
        <v>0.75</v>
      </c>
      <c r="W21" s="776">
        <f>1.41*2.04</f>
        <v>2.8763999999999998</v>
      </c>
      <c r="X21" s="776">
        <f>1.41*3.13</f>
        <v>4.4132999999999996</v>
      </c>
      <c r="Y21" s="776">
        <f>1.31*2.08</f>
        <v>2.7248000000000001</v>
      </c>
      <c r="Z21" s="776">
        <f>1.62*2.7</f>
        <v>4.3740000000000006</v>
      </c>
      <c r="AA21" s="776">
        <f>1.31*1.53</f>
        <v>2.0043000000000002</v>
      </c>
      <c r="AB21" s="776">
        <f>1.31*3.47</f>
        <v>4.5457000000000001</v>
      </c>
      <c r="AC21" s="776">
        <f>1.31*3.47</f>
        <v>4.5457000000000001</v>
      </c>
      <c r="AD21" s="776">
        <f>1.31*4.2</f>
        <v>5.5020000000000007</v>
      </c>
      <c r="AE21" s="776">
        <f>1.31*2.3</f>
        <v>3.0129999999999999</v>
      </c>
    </row>
    <row r="22" spans="1:31" ht="15.75" customHeight="1">
      <c r="A22" s="775" t="s">
        <v>764</v>
      </c>
      <c r="B22" s="815" t="s">
        <v>894</v>
      </c>
      <c r="C22" s="815" t="s">
        <v>894</v>
      </c>
      <c r="D22" s="815" t="s">
        <v>894</v>
      </c>
      <c r="E22" s="815" t="s">
        <v>894</v>
      </c>
      <c r="F22" s="815" t="s">
        <v>914</v>
      </c>
      <c r="G22" s="790" t="s">
        <v>763</v>
      </c>
      <c r="H22" s="815" t="s">
        <v>894</v>
      </c>
      <c r="I22" s="815" t="s">
        <v>914</v>
      </c>
      <c r="J22" s="815" t="s">
        <v>914</v>
      </c>
      <c r="K22" s="815" t="s">
        <v>894</v>
      </c>
      <c r="L22" s="815" t="s">
        <v>894</v>
      </c>
      <c r="M22" s="815" t="s">
        <v>894</v>
      </c>
      <c r="N22" s="815" t="s">
        <v>914</v>
      </c>
      <c r="O22" s="815" t="s">
        <v>894</v>
      </c>
      <c r="P22" s="815" t="s">
        <v>894</v>
      </c>
      <c r="Q22" s="815" t="s">
        <v>894</v>
      </c>
      <c r="R22" s="815" t="s">
        <v>894</v>
      </c>
      <c r="S22" s="815" t="s">
        <v>894</v>
      </c>
      <c r="T22" s="815" t="s">
        <v>894</v>
      </c>
      <c r="U22" s="815" t="s">
        <v>894</v>
      </c>
      <c r="V22" s="815" t="s">
        <v>894</v>
      </c>
      <c r="W22" s="815" t="s">
        <v>894</v>
      </c>
      <c r="X22" s="815" t="s">
        <v>894</v>
      </c>
      <c r="Y22" s="815" t="s">
        <v>894</v>
      </c>
      <c r="Z22" s="815" t="s">
        <v>894</v>
      </c>
      <c r="AA22" s="790" t="s">
        <v>894</v>
      </c>
      <c r="AB22" s="815" t="s">
        <v>894</v>
      </c>
      <c r="AC22" s="815" t="s">
        <v>894</v>
      </c>
      <c r="AD22" s="815" t="s">
        <v>894</v>
      </c>
      <c r="AE22" s="815" t="s">
        <v>763</v>
      </c>
    </row>
    <row r="23" spans="1:31" ht="15.75" customHeight="1">
      <c r="A23" s="776" t="s">
        <v>762</v>
      </c>
      <c r="B23" s="776">
        <v>500</v>
      </c>
      <c r="C23" s="776">
        <v>650</v>
      </c>
      <c r="D23" s="776">
        <v>500</v>
      </c>
      <c r="E23" s="788">
        <v>560</v>
      </c>
      <c r="F23" s="776">
        <v>800</v>
      </c>
      <c r="G23" s="788">
        <v>54.65</v>
      </c>
      <c r="H23" s="776">
        <v>480</v>
      </c>
      <c r="I23" s="776">
        <v>800</v>
      </c>
      <c r="J23" s="776">
        <v>1200</v>
      </c>
      <c r="K23" s="776">
        <v>430</v>
      </c>
      <c r="L23" s="788">
        <v>630</v>
      </c>
      <c r="M23" s="776">
        <v>800</v>
      </c>
      <c r="N23" s="776">
        <v>800</v>
      </c>
      <c r="O23" s="788">
        <v>100</v>
      </c>
      <c r="P23" s="776">
        <v>700</v>
      </c>
      <c r="Q23" s="776">
        <v>900</v>
      </c>
      <c r="R23" s="776">
        <v>431</v>
      </c>
      <c r="S23" s="788">
        <v>431</v>
      </c>
      <c r="T23" s="788">
        <v>530</v>
      </c>
      <c r="U23" s="776">
        <v>730</v>
      </c>
      <c r="V23" s="776">
        <v>200</v>
      </c>
      <c r="W23" s="788">
        <v>630</v>
      </c>
      <c r="X23" s="776">
        <v>800</v>
      </c>
      <c r="Y23" s="788">
        <v>510</v>
      </c>
      <c r="Z23" s="776">
        <v>500</v>
      </c>
      <c r="AA23" s="788">
        <v>600</v>
      </c>
      <c r="AB23" s="776">
        <v>535</v>
      </c>
      <c r="AC23" s="776">
        <v>700</v>
      </c>
      <c r="AD23" s="776">
        <v>700</v>
      </c>
      <c r="AE23" s="776">
        <v>35.032499999999999</v>
      </c>
    </row>
    <row r="24" spans="1:31" ht="15.75" customHeight="1">
      <c r="A24" s="775" t="s">
        <v>581</v>
      </c>
      <c r="B24" s="741" t="s">
        <v>324</v>
      </c>
      <c r="C24" s="741" t="s">
        <v>324</v>
      </c>
      <c r="D24" s="741" t="s">
        <v>324</v>
      </c>
      <c r="E24" s="741" t="s">
        <v>324</v>
      </c>
      <c r="F24" s="741" t="s">
        <v>324</v>
      </c>
      <c r="G24" s="741" t="s">
        <v>324</v>
      </c>
      <c r="H24" s="741" t="s">
        <v>324</v>
      </c>
      <c r="I24" s="741" t="s">
        <v>324</v>
      </c>
      <c r="J24" s="741" t="s">
        <v>324</v>
      </c>
      <c r="K24" s="741" t="s">
        <v>324</v>
      </c>
      <c r="L24" s="741" t="s">
        <v>324</v>
      </c>
      <c r="M24" s="741" t="s">
        <v>324</v>
      </c>
      <c r="N24" s="741" t="s">
        <v>324</v>
      </c>
      <c r="O24" s="741" t="s">
        <v>328</v>
      </c>
      <c r="P24" s="741" t="s">
        <v>324</v>
      </c>
      <c r="Q24" s="741" t="s">
        <v>324</v>
      </c>
      <c r="R24" s="741" t="s">
        <v>324</v>
      </c>
      <c r="S24" s="741" t="s">
        <v>324</v>
      </c>
      <c r="T24" s="741" t="s">
        <v>324</v>
      </c>
      <c r="U24" s="741" t="s">
        <v>324</v>
      </c>
      <c r="V24" s="741" t="s">
        <v>324</v>
      </c>
      <c r="W24" s="741" t="s">
        <v>324</v>
      </c>
      <c r="X24" s="741" t="s">
        <v>324</v>
      </c>
      <c r="Y24" s="741" t="s">
        <v>328</v>
      </c>
      <c r="Z24" s="741" t="s">
        <v>324</v>
      </c>
      <c r="AA24" s="741" t="s">
        <v>324</v>
      </c>
      <c r="AB24" s="741" t="s">
        <v>324</v>
      </c>
      <c r="AC24" s="741" t="s">
        <v>324</v>
      </c>
      <c r="AD24" s="741" t="s">
        <v>324</v>
      </c>
      <c r="AE24" s="741" t="s">
        <v>328</v>
      </c>
    </row>
    <row r="25" spans="1:31" ht="15.75" customHeight="1">
      <c r="A25" s="776" t="s">
        <v>582</v>
      </c>
      <c r="B25" s="815" t="s">
        <v>293</v>
      </c>
      <c r="C25" s="815" t="s">
        <v>293</v>
      </c>
      <c r="D25" s="815" t="s">
        <v>293</v>
      </c>
      <c r="E25" s="815" t="s">
        <v>293</v>
      </c>
      <c r="F25" s="815" t="s">
        <v>293</v>
      </c>
      <c r="G25" s="815" t="s">
        <v>293</v>
      </c>
      <c r="H25" s="815" t="s">
        <v>293</v>
      </c>
      <c r="I25" s="815" t="s">
        <v>293</v>
      </c>
      <c r="J25" s="815" t="s">
        <v>293</v>
      </c>
      <c r="K25" s="815" t="s">
        <v>293</v>
      </c>
      <c r="L25" s="815" t="s">
        <v>293</v>
      </c>
      <c r="M25" s="815" t="s">
        <v>293</v>
      </c>
      <c r="N25" s="815" t="s">
        <v>293</v>
      </c>
      <c r="O25" s="788">
        <v>3</v>
      </c>
      <c r="P25" s="815" t="s">
        <v>293</v>
      </c>
      <c r="Q25" s="815" t="s">
        <v>293</v>
      </c>
      <c r="R25" s="815" t="s">
        <v>293</v>
      </c>
      <c r="S25" s="815" t="s">
        <v>293</v>
      </c>
      <c r="T25" s="815" t="s">
        <v>293</v>
      </c>
      <c r="U25" s="815" t="s">
        <v>293</v>
      </c>
      <c r="V25" s="815" t="s">
        <v>293</v>
      </c>
      <c r="W25" s="815" t="s">
        <v>293</v>
      </c>
      <c r="X25" s="815" t="s">
        <v>293</v>
      </c>
      <c r="Y25" s="788">
        <v>2.5</v>
      </c>
      <c r="Z25" s="815" t="s">
        <v>293</v>
      </c>
      <c r="AA25" s="815" t="s">
        <v>293</v>
      </c>
      <c r="AB25" s="815" t="s">
        <v>293</v>
      </c>
      <c r="AC25" s="815" t="s">
        <v>293</v>
      </c>
      <c r="AD25" s="815" t="s">
        <v>293</v>
      </c>
      <c r="AE25" s="788">
        <v>2.5</v>
      </c>
    </row>
    <row r="26" spans="1:31" ht="15.75" customHeight="1">
      <c r="A26" s="776" t="s">
        <v>931</v>
      </c>
      <c r="B26" s="815" t="s">
        <v>293</v>
      </c>
      <c r="C26" s="815" t="s">
        <v>293</v>
      </c>
      <c r="D26" s="815" t="s">
        <v>293</v>
      </c>
      <c r="E26" s="815" t="s">
        <v>293</v>
      </c>
      <c r="F26" s="815" t="s">
        <v>293</v>
      </c>
      <c r="G26" s="815" t="s">
        <v>293</v>
      </c>
      <c r="H26" s="815" t="s">
        <v>293</v>
      </c>
      <c r="I26" s="815" t="s">
        <v>293</v>
      </c>
      <c r="J26" s="815" t="s">
        <v>293</v>
      </c>
      <c r="K26" s="815" t="s">
        <v>293</v>
      </c>
      <c r="L26" s="815" t="s">
        <v>293</v>
      </c>
      <c r="M26" s="815" t="s">
        <v>293</v>
      </c>
      <c r="N26" s="815" t="s">
        <v>293</v>
      </c>
      <c r="O26" s="788">
        <v>30</v>
      </c>
      <c r="P26" s="815" t="s">
        <v>293</v>
      </c>
      <c r="Q26" s="815" t="s">
        <v>293</v>
      </c>
      <c r="R26" s="815" t="s">
        <v>293</v>
      </c>
      <c r="S26" s="815" t="s">
        <v>293</v>
      </c>
      <c r="T26" s="815" t="s">
        <v>293</v>
      </c>
      <c r="U26" s="815" t="s">
        <v>293</v>
      </c>
      <c r="V26" s="815" t="s">
        <v>293</v>
      </c>
      <c r="W26" s="815" t="s">
        <v>293</v>
      </c>
      <c r="X26" s="815" t="s">
        <v>293</v>
      </c>
      <c r="Y26" s="788">
        <v>30</v>
      </c>
      <c r="Z26" s="815" t="s">
        <v>293</v>
      </c>
      <c r="AA26" s="815" t="s">
        <v>293</v>
      </c>
      <c r="AB26" s="815" t="s">
        <v>293</v>
      </c>
      <c r="AC26" s="815" t="s">
        <v>293</v>
      </c>
      <c r="AD26" s="815" t="s">
        <v>293</v>
      </c>
      <c r="AE26" s="788">
        <v>30</v>
      </c>
    </row>
    <row r="27" spans="1:31" ht="15.75" customHeight="1">
      <c r="A27" s="775" t="s">
        <v>583</v>
      </c>
      <c r="B27" s="815" t="s">
        <v>293</v>
      </c>
      <c r="C27" s="815" t="s">
        <v>293</v>
      </c>
      <c r="D27" s="815" t="s">
        <v>293</v>
      </c>
      <c r="E27" s="815" t="s">
        <v>293</v>
      </c>
      <c r="F27" s="815" t="s">
        <v>293</v>
      </c>
      <c r="G27" s="815" t="s">
        <v>293</v>
      </c>
      <c r="H27" s="815" t="s">
        <v>293</v>
      </c>
      <c r="I27" s="815" t="s">
        <v>293</v>
      </c>
      <c r="J27" s="815" t="s">
        <v>293</v>
      </c>
      <c r="K27" s="815" t="s">
        <v>293</v>
      </c>
      <c r="L27" s="815" t="s">
        <v>293</v>
      </c>
      <c r="M27" s="815" t="s">
        <v>293</v>
      </c>
      <c r="N27" s="815" t="s">
        <v>293</v>
      </c>
      <c r="O27" s="741" t="s">
        <v>324</v>
      </c>
      <c r="P27" s="815" t="s">
        <v>293</v>
      </c>
      <c r="Q27" s="815" t="s">
        <v>293</v>
      </c>
      <c r="R27" s="815" t="s">
        <v>293</v>
      </c>
      <c r="S27" s="815" t="s">
        <v>293</v>
      </c>
      <c r="T27" s="815" t="s">
        <v>293</v>
      </c>
      <c r="U27" s="815" t="s">
        <v>293</v>
      </c>
      <c r="V27" s="815" t="s">
        <v>293</v>
      </c>
      <c r="W27" s="815" t="s">
        <v>293</v>
      </c>
      <c r="X27" s="815" t="s">
        <v>293</v>
      </c>
      <c r="Y27" s="741" t="s">
        <v>324</v>
      </c>
      <c r="Z27" s="815" t="s">
        <v>293</v>
      </c>
      <c r="AA27" s="815" t="s">
        <v>293</v>
      </c>
      <c r="AB27" s="815" t="s">
        <v>293</v>
      </c>
      <c r="AC27" s="815" t="s">
        <v>293</v>
      </c>
      <c r="AD27" s="815" t="s">
        <v>293</v>
      </c>
      <c r="AE27" s="741" t="s">
        <v>324</v>
      </c>
    </row>
    <row r="28" spans="1:31" ht="15.75" customHeight="1">
      <c r="A28" s="661" t="s">
        <v>761</v>
      </c>
      <c r="B28" s="776">
        <v>0.1</v>
      </c>
      <c r="C28" s="776">
        <v>0.1</v>
      </c>
      <c r="D28" s="776">
        <v>0.1</v>
      </c>
      <c r="E28" s="788">
        <v>0.1</v>
      </c>
      <c r="F28" s="776">
        <v>0.01</v>
      </c>
      <c r="G28" s="788">
        <v>0.1</v>
      </c>
      <c r="H28" s="776">
        <v>0.1</v>
      </c>
      <c r="I28" s="776">
        <v>0.01</v>
      </c>
      <c r="J28" s="776">
        <v>0.01</v>
      </c>
      <c r="K28" s="776">
        <v>0.1</v>
      </c>
      <c r="L28" s="788">
        <v>0.1</v>
      </c>
      <c r="M28" s="776">
        <v>0.1</v>
      </c>
      <c r="N28" s="776">
        <v>0.01</v>
      </c>
      <c r="O28" s="788">
        <v>0.1</v>
      </c>
      <c r="P28" s="776">
        <v>0.1</v>
      </c>
      <c r="Q28" s="776">
        <v>0.1</v>
      </c>
      <c r="R28" s="776">
        <v>0.1</v>
      </c>
      <c r="S28" s="776">
        <v>0.1</v>
      </c>
      <c r="T28" s="776">
        <v>0.1</v>
      </c>
      <c r="U28" s="776">
        <v>0.1</v>
      </c>
      <c r="V28" s="776">
        <v>0.1</v>
      </c>
      <c r="W28" s="776">
        <v>0.1</v>
      </c>
      <c r="X28" s="776">
        <v>0.1</v>
      </c>
      <c r="Y28" s="788">
        <v>0.1</v>
      </c>
      <c r="Z28" s="776">
        <v>0.1</v>
      </c>
      <c r="AA28" s="776">
        <v>0.1</v>
      </c>
      <c r="AB28" s="776">
        <v>0.1</v>
      </c>
      <c r="AC28" s="776">
        <v>0.1</v>
      </c>
      <c r="AD28" s="776">
        <v>0.1</v>
      </c>
      <c r="AE28" s="788">
        <v>0.1</v>
      </c>
    </row>
    <row r="29" spans="1:31" ht="15.75" customHeight="1">
      <c r="A29" s="661" t="s">
        <v>760</v>
      </c>
      <c r="B29" s="776">
        <v>0.05</v>
      </c>
      <c r="C29" s="776">
        <v>0.05</v>
      </c>
      <c r="D29" s="776">
        <v>0.05</v>
      </c>
      <c r="E29" s="788">
        <v>0.05</v>
      </c>
      <c r="F29" s="776">
        <v>0.4</v>
      </c>
      <c r="G29" s="788">
        <v>0.05</v>
      </c>
      <c r="H29" s="776">
        <v>0.05</v>
      </c>
      <c r="I29" s="776">
        <v>0.4</v>
      </c>
      <c r="J29" s="776">
        <v>0.4</v>
      </c>
      <c r="K29" s="776">
        <v>0.05</v>
      </c>
      <c r="L29" s="788">
        <v>0.05</v>
      </c>
      <c r="M29" s="776">
        <v>0.05</v>
      </c>
      <c r="N29" s="776">
        <v>0.4</v>
      </c>
      <c r="O29" s="788">
        <v>0.05</v>
      </c>
      <c r="P29" s="776">
        <v>0.05</v>
      </c>
      <c r="Q29" s="776">
        <v>0.05</v>
      </c>
      <c r="R29" s="776">
        <v>0.05</v>
      </c>
      <c r="S29" s="776">
        <v>0.05</v>
      </c>
      <c r="T29" s="776">
        <v>0.05</v>
      </c>
      <c r="U29" s="776">
        <v>0.05</v>
      </c>
      <c r="V29" s="776">
        <v>0.05</v>
      </c>
      <c r="W29" s="776">
        <v>0.05</v>
      </c>
      <c r="X29" s="776">
        <v>0.05</v>
      </c>
      <c r="Y29" s="788">
        <v>0.05</v>
      </c>
      <c r="Z29" s="776">
        <v>0.05</v>
      </c>
      <c r="AA29" s="776">
        <v>0.05</v>
      </c>
      <c r="AB29" s="776">
        <v>0.05</v>
      </c>
      <c r="AC29" s="776">
        <v>0.05</v>
      </c>
      <c r="AD29" s="776">
        <v>0.05</v>
      </c>
      <c r="AE29" s="788">
        <v>0.05</v>
      </c>
    </row>
    <row r="30" spans="1:31" ht="20.25" customHeight="1">
      <c r="A30" s="839" t="s">
        <v>585</v>
      </c>
      <c r="B30" s="816"/>
      <c r="C30" s="816"/>
      <c r="D30" s="816"/>
      <c r="E30" s="816"/>
      <c r="F30" s="816"/>
      <c r="G30" s="816"/>
      <c r="H30" s="816"/>
      <c r="I30" s="816"/>
      <c r="J30" s="816"/>
      <c r="K30" s="816"/>
      <c r="L30" s="816"/>
      <c r="M30" s="816"/>
      <c r="N30" s="816"/>
      <c r="O30" s="816"/>
      <c r="P30" s="816"/>
      <c r="Q30" s="816"/>
      <c r="R30" s="816"/>
      <c r="S30" s="816"/>
      <c r="T30" s="816"/>
      <c r="U30" s="816"/>
      <c r="V30" s="816" t="s">
        <v>324</v>
      </c>
      <c r="W30" s="816"/>
      <c r="X30" s="816"/>
      <c r="Y30" s="816"/>
      <c r="Z30" s="816"/>
      <c r="AA30" s="816"/>
      <c r="AB30" s="816"/>
      <c r="AC30" s="816"/>
      <c r="AD30" s="816"/>
      <c r="AE30" s="816"/>
    </row>
    <row r="31" spans="1:31" ht="15.75" customHeight="1">
      <c r="A31" s="837" t="s">
        <v>586</v>
      </c>
      <c r="B31" s="668" t="s">
        <v>874</v>
      </c>
      <c r="C31" s="670" t="s">
        <v>874</v>
      </c>
      <c r="D31" s="670" t="s">
        <v>874</v>
      </c>
      <c r="E31" s="668" t="s">
        <v>874</v>
      </c>
      <c r="F31" s="670" t="s">
        <v>874</v>
      </c>
      <c r="G31" s="668" t="s">
        <v>874</v>
      </c>
      <c r="H31" s="670" t="s">
        <v>874</v>
      </c>
      <c r="I31" s="670" t="s">
        <v>874</v>
      </c>
      <c r="J31" s="670" t="s">
        <v>874</v>
      </c>
      <c r="K31" s="670" t="s">
        <v>874</v>
      </c>
      <c r="L31" s="668" t="s">
        <v>874</v>
      </c>
      <c r="M31" s="670" t="s">
        <v>874</v>
      </c>
      <c r="N31" s="670" t="s">
        <v>874</v>
      </c>
      <c r="O31" s="668" t="s">
        <v>874</v>
      </c>
      <c r="P31" s="670" t="s">
        <v>874</v>
      </c>
      <c r="Q31" s="670" t="s">
        <v>874</v>
      </c>
      <c r="R31" s="670" t="s">
        <v>874</v>
      </c>
      <c r="S31" s="668" t="s">
        <v>874</v>
      </c>
      <c r="T31" s="668" t="s">
        <v>874</v>
      </c>
      <c r="U31" s="670" t="s">
        <v>874</v>
      </c>
      <c r="V31" s="670" t="s">
        <v>874</v>
      </c>
      <c r="W31" s="668" t="s">
        <v>874</v>
      </c>
      <c r="X31" s="670" t="s">
        <v>874</v>
      </c>
      <c r="Y31" s="668" t="s">
        <v>874</v>
      </c>
      <c r="Z31" s="668" t="s">
        <v>874</v>
      </c>
      <c r="AA31" s="668" t="s">
        <v>874</v>
      </c>
      <c r="AB31" s="670" t="s">
        <v>874</v>
      </c>
      <c r="AC31" s="670" t="s">
        <v>874</v>
      </c>
      <c r="AD31" s="670" t="s">
        <v>874</v>
      </c>
      <c r="AE31" s="670" t="s">
        <v>874</v>
      </c>
    </row>
    <row r="32" spans="1:31" ht="15.75" customHeight="1">
      <c r="A32" s="728" t="s">
        <v>587</v>
      </c>
      <c r="B32" s="662">
        <v>0.5</v>
      </c>
      <c r="C32" s="815" t="s">
        <v>293</v>
      </c>
      <c r="D32" s="664">
        <v>0.6</v>
      </c>
      <c r="E32" s="662">
        <v>0.15</v>
      </c>
      <c r="F32" s="664">
        <v>0.15</v>
      </c>
      <c r="G32" s="662">
        <v>0.15</v>
      </c>
      <c r="H32" s="815" t="s">
        <v>293</v>
      </c>
      <c r="I32" s="664">
        <v>0.45</v>
      </c>
      <c r="J32" s="790" t="s">
        <v>293</v>
      </c>
      <c r="K32" s="790" t="s">
        <v>293</v>
      </c>
      <c r="L32" s="790" t="s">
        <v>293</v>
      </c>
      <c r="M32" s="790" t="s">
        <v>293</v>
      </c>
      <c r="N32" s="815" t="s">
        <v>293</v>
      </c>
      <c r="O32" s="815" t="s">
        <v>293</v>
      </c>
      <c r="P32" s="815" t="s">
        <v>293</v>
      </c>
      <c r="Q32" s="815" t="s">
        <v>293</v>
      </c>
      <c r="R32" s="815" t="s">
        <v>293</v>
      </c>
      <c r="S32" s="815" t="s">
        <v>293</v>
      </c>
      <c r="T32" s="815" t="s">
        <v>293</v>
      </c>
      <c r="U32" s="815" t="s">
        <v>293</v>
      </c>
      <c r="V32" s="664">
        <v>0.24</v>
      </c>
      <c r="W32" s="815" t="s">
        <v>293</v>
      </c>
      <c r="X32" s="815" t="s">
        <v>293</v>
      </c>
      <c r="Y32" s="815" t="s">
        <v>293</v>
      </c>
      <c r="Z32" s="815" t="s">
        <v>293</v>
      </c>
      <c r="AA32" s="815" t="s">
        <v>293</v>
      </c>
      <c r="AB32" s="815" t="s">
        <v>293</v>
      </c>
      <c r="AC32" s="815" t="s">
        <v>293</v>
      </c>
      <c r="AD32" s="815" t="s">
        <v>293</v>
      </c>
      <c r="AE32" s="815" t="s">
        <v>293</v>
      </c>
    </row>
    <row r="33" spans="1:31" ht="15.75" customHeight="1">
      <c r="A33" s="837" t="s">
        <v>588</v>
      </c>
      <c r="B33" s="664">
        <v>15</v>
      </c>
      <c r="C33" s="664">
        <v>17</v>
      </c>
      <c r="D33" s="664">
        <v>16</v>
      </c>
      <c r="E33" s="662">
        <v>20</v>
      </c>
      <c r="F33" s="664">
        <v>25</v>
      </c>
      <c r="G33" s="662">
        <v>25</v>
      </c>
      <c r="H33" s="664">
        <v>15</v>
      </c>
      <c r="I33" s="664">
        <v>28</v>
      </c>
      <c r="J33" s="664">
        <v>24</v>
      </c>
      <c r="K33" s="664">
        <v>17</v>
      </c>
      <c r="L33" s="664">
        <v>25</v>
      </c>
      <c r="M33" s="664">
        <v>25</v>
      </c>
      <c r="N33" s="664">
        <v>25</v>
      </c>
      <c r="O33" s="664">
        <v>25</v>
      </c>
      <c r="P33" s="664">
        <v>19</v>
      </c>
      <c r="Q33" s="664">
        <v>19</v>
      </c>
      <c r="R33" s="664">
        <v>16</v>
      </c>
      <c r="S33" s="662">
        <v>16</v>
      </c>
      <c r="T33" s="662">
        <v>13</v>
      </c>
      <c r="U33" s="664">
        <v>13</v>
      </c>
      <c r="V33" s="664">
        <v>15</v>
      </c>
      <c r="W33" s="664">
        <v>25</v>
      </c>
      <c r="X33" s="664">
        <v>25</v>
      </c>
      <c r="Y33" s="662">
        <v>15</v>
      </c>
      <c r="Z33" s="664">
        <v>10</v>
      </c>
      <c r="AA33" s="664">
        <v>18.5</v>
      </c>
      <c r="AB33" s="662">
        <v>25</v>
      </c>
      <c r="AC33" s="662">
        <v>25</v>
      </c>
      <c r="AD33" s="662">
        <v>2</v>
      </c>
      <c r="AE33" s="662">
        <v>2</v>
      </c>
    </row>
    <row r="34" spans="1:31" ht="15.75" customHeight="1">
      <c r="A34" s="776" t="s">
        <v>872</v>
      </c>
      <c r="B34" s="815" t="s">
        <v>293</v>
      </c>
      <c r="C34" s="815" t="s">
        <v>293</v>
      </c>
      <c r="D34" s="815" t="s">
        <v>293</v>
      </c>
      <c r="E34" s="815" t="s">
        <v>293</v>
      </c>
      <c r="F34" s="815" t="s">
        <v>293</v>
      </c>
      <c r="G34" s="815" t="s">
        <v>293</v>
      </c>
      <c r="H34" s="815" t="s">
        <v>293</v>
      </c>
      <c r="I34" s="815" t="s">
        <v>293</v>
      </c>
      <c r="J34" s="790" t="s">
        <v>293</v>
      </c>
      <c r="K34" s="790" t="s">
        <v>293</v>
      </c>
      <c r="L34" s="790" t="s">
        <v>293</v>
      </c>
      <c r="M34" s="790" t="s">
        <v>293</v>
      </c>
      <c r="N34" s="815" t="s">
        <v>293</v>
      </c>
      <c r="O34" s="815" t="s">
        <v>293</v>
      </c>
      <c r="P34" s="815" t="s">
        <v>293</v>
      </c>
      <c r="Q34" s="815" t="s">
        <v>293</v>
      </c>
      <c r="R34" s="815" t="s">
        <v>293</v>
      </c>
      <c r="S34" s="815" t="s">
        <v>293</v>
      </c>
      <c r="T34" s="815" t="s">
        <v>293</v>
      </c>
      <c r="U34" s="815" t="s">
        <v>293</v>
      </c>
      <c r="V34" s="776">
        <v>4</v>
      </c>
      <c r="W34" s="815" t="s">
        <v>293</v>
      </c>
      <c r="X34" s="815" t="s">
        <v>293</v>
      </c>
      <c r="Y34" s="815" t="s">
        <v>293</v>
      </c>
      <c r="Z34" s="815" t="s">
        <v>293</v>
      </c>
      <c r="AA34" s="788">
        <v>3.5</v>
      </c>
      <c r="AB34" s="776">
        <v>4</v>
      </c>
      <c r="AC34" s="776">
        <v>4</v>
      </c>
      <c r="AD34" s="815" t="s">
        <v>293</v>
      </c>
      <c r="AE34" s="815" t="s">
        <v>293</v>
      </c>
    </row>
    <row r="35" spans="1:31" ht="15.75" customHeight="1">
      <c r="A35" s="728" t="s">
        <v>871</v>
      </c>
      <c r="B35" s="776">
        <v>10</v>
      </c>
      <c r="C35" s="776">
        <v>15</v>
      </c>
      <c r="D35" s="776">
        <v>10</v>
      </c>
      <c r="E35" s="788">
        <v>15</v>
      </c>
      <c r="F35" s="776">
        <v>15</v>
      </c>
      <c r="G35" s="788">
        <v>15</v>
      </c>
      <c r="H35" s="776">
        <v>15</v>
      </c>
      <c r="I35" s="776">
        <v>15</v>
      </c>
      <c r="J35" s="776">
        <v>15</v>
      </c>
      <c r="K35" s="776">
        <v>10</v>
      </c>
      <c r="L35" s="788">
        <v>10</v>
      </c>
      <c r="M35" s="776">
        <v>10</v>
      </c>
      <c r="N35" s="776">
        <v>10</v>
      </c>
      <c r="O35" s="788">
        <v>10</v>
      </c>
      <c r="P35" s="776">
        <v>15</v>
      </c>
      <c r="Q35" s="776">
        <v>15</v>
      </c>
      <c r="R35" s="776">
        <v>15</v>
      </c>
      <c r="S35" s="788">
        <v>15</v>
      </c>
      <c r="T35" s="788">
        <v>15</v>
      </c>
      <c r="U35" s="776">
        <v>15</v>
      </c>
      <c r="V35" s="776">
        <v>15</v>
      </c>
      <c r="W35" s="788">
        <v>10</v>
      </c>
      <c r="X35" s="776">
        <v>10</v>
      </c>
      <c r="Y35" s="788">
        <v>10</v>
      </c>
      <c r="Z35" s="776">
        <v>15</v>
      </c>
      <c r="AA35" s="815" t="s">
        <v>293</v>
      </c>
      <c r="AB35" s="815" t="s">
        <v>293</v>
      </c>
      <c r="AC35" s="815" t="s">
        <v>293</v>
      </c>
      <c r="AD35" s="776">
        <v>10</v>
      </c>
      <c r="AE35" s="776">
        <v>10</v>
      </c>
    </row>
    <row r="36" spans="1:31" ht="15.75" customHeight="1">
      <c r="A36" s="728" t="s">
        <v>870</v>
      </c>
      <c r="B36" s="815" t="s">
        <v>293</v>
      </c>
      <c r="C36" s="776">
        <v>1</v>
      </c>
      <c r="D36" s="815" t="s">
        <v>293</v>
      </c>
      <c r="E36" s="788">
        <v>2.5</v>
      </c>
      <c r="F36" s="776">
        <v>2.5</v>
      </c>
      <c r="G36" s="788">
        <v>2.5</v>
      </c>
      <c r="H36" s="776">
        <v>1</v>
      </c>
      <c r="I36" s="776">
        <v>1</v>
      </c>
      <c r="J36" s="776">
        <v>2.5</v>
      </c>
      <c r="K36" s="790" t="s">
        <v>293</v>
      </c>
      <c r="L36" s="790" t="s">
        <v>293</v>
      </c>
      <c r="M36" s="790" t="s">
        <v>293</v>
      </c>
      <c r="N36" s="815" t="s">
        <v>293</v>
      </c>
      <c r="O36" s="815" t="s">
        <v>293</v>
      </c>
      <c r="P36" s="776">
        <v>1</v>
      </c>
      <c r="Q36" s="776">
        <v>1</v>
      </c>
      <c r="R36" s="776">
        <v>1</v>
      </c>
      <c r="S36" s="788">
        <v>1</v>
      </c>
      <c r="T36" s="788">
        <v>1</v>
      </c>
      <c r="U36" s="776">
        <v>1</v>
      </c>
      <c r="V36" s="776">
        <v>2.5</v>
      </c>
      <c r="W36" s="815" t="s">
        <v>293</v>
      </c>
      <c r="X36" s="815" t="s">
        <v>293</v>
      </c>
      <c r="Y36" s="815" t="s">
        <v>293</v>
      </c>
      <c r="Z36" s="776">
        <v>1</v>
      </c>
      <c r="AA36" s="815" t="s">
        <v>293</v>
      </c>
      <c r="AB36" s="815" t="s">
        <v>293</v>
      </c>
      <c r="AC36" s="815" t="s">
        <v>293</v>
      </c>
      <c r="AD36" s="815" t="s">
        <v>293</v>
      </c>
      <c r="AE36" s="815" t="s">
        <v>293</v>
      </c>
    </row>
    <row r="37" spans="1:31" ht="15.75" customHeight="1">
      <c r="A37" s="661" t="s">
        <v>606</v>
      </c>
      <c r="B37" s="776">
        <v>3</v>
      </c>
      <c r="C37" s="776">
        <v>3</v>
      </c>
      <c r="D37" s="776">
        <v>3</v>
      </c>
      <c r="E37" s="788">
        <v>5</v>
      </c>
      <c r="F37" s="776">
        <v>5</v>
      </c>
      <c r="G37" s="788">
        <v>5</v>
      </c>
      <c r="H37" s="776">
        <v>3</v>
      </c>
      <c r="I37" s="776">
        <v>3</v>
      </c>
      <c r="J37" s="776">
        <v>5</v>
      </c>
      <c r="K37" s="776">
        <v>3</v>
      </c>
      <c r="L37" s="788">
        <v>3</v>
      </c>
      <c r="M37" s="776">
        <v>3</v>
      </c>
      <c r="N37" s="776">
        <v>3</v>
      </c>
      <c r="O37" s="788">
        <v>3</v>
      </c>
      <c r="P37" s="776">
        <v>3</v>
      </c>
      <c r="Q37" s="776">
        <v>3</v>
      </c>
      <c r="R37" s="776">
        <v>3</v>
      </c>
      <c r="S37" s="788">
        <v>3</v>
      </c>
      <c r="T37" s="788">
        <v>3</v>
      </c>
      <c r="U37" s="776">
        <v>3</v>
      </c>
      <c r="V37" s="776">
        <v>5</v>
      </c>
      <c r="W37" s="788">
        <v>3</v>
      </c>
      <c r="X37" s="776">
        <v>3</v>
      </c>
      <c r="Y37" s="788">
        <v>3</v>
      </c>
      <c r="Z37" s="815" t="s">
        <v>293</v>
      </c>
      <c r="AA37" s="788">
        <v>8</v>
      </c>
      <c r="AB37" s="815" t="s">
        <v>293</v>
      </c>
      <c r="AC37" s="815" t="s">
        <v>293</v>
      </c>
      <c r="AD37" s="776">
        <v>3</v>
      </c>
      <c r="AE37" s="776">
        <v>3</v>
      </c>
    </row>
    <row r="38" spans="1:31" ht="15.75" customHeight="1">
      <c r="A38" s="682" t="s">
        <v>608</v>
      </c>
      <c r="B38" s="815" t="s">
        <v>293</v>
      </c>
      <c r="C38" s="776">
        <v>1800</v>
      </c>
      <c r="D38" s="815" t="s">
        <v>293</v>
      </c>
      <c r="E38" s="788">
        <v>1800</v>
      </c>
      <c r="F38" s="788">
        <v>1800</v>
      </c>
      <c r="G38" s="788">
        <v>1800</v>
      </c>
      <c r="H38" s="788">
        <v>1800</v>
      </c>
      <c r="I38" s="788">
        <v>1800</v>
      </c>
      <c r="J38" s="776">
        <v>1800</v>
      </c>
      <c r="K38" s="790" t="s">
        <v>293</v>
      </c>
      <c r="L38" s="790" t="s">
        <v>293</v>
      </c>
      <c r="M38" s="790" t="s">
        <v>293</v>
      </c>
      <c r="N38" s="815" t="s">
        <v>293</v>
      </c>
      <c r="O38" s="815" t="s">
        <v>293</v>
      </c>
      <c r="P38" s="776">
        <v>1800</v>
      </c>
      <c r="Q38" s="776">
        <v>1800</v>
      </c>
      <c r="R38" s="776">
        <v>1800</v>
      </c>
      <c r="S38" s="776">
        <v>1800</v>
      </c>
      <c r="T38" s="776">
        <v>1800</v>
      </c>
      <c r="U38" s="776">
        <v>1800</v>
      </c>
      <c r="V38" s="776">
        <v>1800</v>
      </c>
      <c r="W38" s="815" t="s">
        <v>293</v>
      </c>
      <c r="X38" s="815" t="s">
        <v>293</v>
      </c>
      <c r="Y38" s="815" t="s">
        <v>293</v>
      </c>
      <c r="Z38" s="776">
        <v>1800</v>
      </c>
      <c r="AA38" s="815" t="s">
        <v>293</v>
      </c>
      <c r="AB38" s="815" t="s">
        <v>293</v>
      </c>
      <c r="AC38" s="815" t="s">
        <v>293</v>
      </c>
      <c r="AD38" s="815" t="s">
        <v>293</v>
      </c>
      <c r="AE38" s="815" t="s">
        <v>293</v>
      </c>
    </row>
    <row r="39" spans="1:31" ht="15.75" customHeight="1">
      <c r="A39" s="661" t="s">
        <v>609</v>
      </c>
      <c r="B39" s="776">
        <v>4.6600000000000003E-2</v>
      </c>
      <c r="C39" s="776">
        <v>0.17909900000000001</v>
      </c>
      <c r="D39" s="776">
        <v>2.2100000000000002E-2</v>
      </c>
      <c r="E39" s="788">
        <v>7.3599999999999999E-2</v>
      </c>
      <c r="F39" s="776">
        <v>5.6599999999999998E-2</v>
      </c>
      <c r="G39" s="788">
        <v>7.51E-2</v>
      </c>
      <c r="H39" s="776">
        <v>2.1600000000000001E-2</v>
      </c>
      <c r="I39" s="776">
        <v>1.4999999999999999E-2</v>
      </c>
      <c r="J39" s="776">
        <v>4.1099999999999998E-2</v>
      </c>
      <c r="K39" s="776">
        <v>8.6599999999999996E-2</v>
      </c>
      <c r="L39" s="776">
        <v>8.6599999999999996E-2</v>
      </c>
      <c r="M39" s="776">
        <v>8.6599999999999996E-2</v>
      </c>
      <c r="N39" s="776">
        <v>8.6599999999999996E-2</v>
      </c>
      <c r="O39" s="788">
        <v>8.6599999999999996E-2</v>
      </c>
      <c r="P39" s="776">
        <v>1.6E-2</v>
      </c>
      <c r="Q39" s="776">
        <v>1.6E-2</v>
      </c>
      <c r="R39" s="776">
        <v>6.3600000000000004E-2</v>
      </c>
      <c r="S39" s="776">
        <v>6.3600000000000004E-2</v>
      </c>
      <c r="T39" s="788">
        <v>1.2E-2</v>
      </c>
      <c r="U39" s="788">
        <v>1.2E-2</v>
      </c>
      <c r="V39" s="776">
        <v>0.1376</v>
      </c>
      <c r="W39" s="788">
        <v>8.6599999999999996E-2</v>
      </c>
      <c r="X39" s="776">
        <v>8.6599999999999996E-2</v>
      </c>
      <c r="Y39" s="788">
        <v>0.20599999999999999</v>
      </c>
      <c r="Z39" s="776">
        <v>0.1036</v>
      </c>
      <c r="AA39" s="815" t="s">
        <v>293</v>
      </c>
      <c r="AB39" s="815" t="s">
        <v>293</v>
      </c>
      <c r="AC39" s="815" t="s">
        <v>293</v>
      </c>
      <c r="AD39" s="776">
        <v>2.46E-2</v>
      </c>
      <c r="AE39" s="776">
        <v>2.46E-2</v>
      </c>
    </row>
    <row r="40" spans="1:31" ht="15.75" customHeight="1">
      <c r="A40" s="661" t="s">
        <v>611</v>
      </c>
      <c r="B40" s="776">
        <v>0</v>
      </c>
      <c r="C40" s="776">
        <v>0</v>
      </c>
      <c r="D40" s="776">
        <v>0</v>
      </c>
      <c r="E40" s="776">
        <v>0</v>
      </c>
      <c r="F40" s="776">
        <v>0</v>
      </c>
      <c r="G40" s="776">
        <v>0</v>
      </c>
      <c r="H40" s="776">
        <v>0</v>
      </c>
      <c r="I40" s="776">
        <v>0</v>
      </c>
      <c r="J40" s="776">
        <v>0</v>
      </c>
      <c r="K40" s="776">
        <v>0</v>
      </c>
      <c r="L40" s="776">
        <v>0</v>
      </c>
      <c r="M40" s="776">
        <v>0</v>
      </c>
      <c r="N40" s="776">
        <v>0</v>
      </c>
      <c r="O40" s="788">
        <v>0</v>
      </c>
      <c r="P40" s="776">
        <v>0</v>
      </c>
      <c r="Q40" s="776">
        <v>0</v>
      </c>
      <c r="R40" s="776">
        <v>0</v>
      </c>
      <c r="S40" s="776">
        <v>0</v>
      </c>
      <c r="T40" s="776">
        <v>0</v>
      </c>
      <c r="U40" s="776">
        <v>0</v>
      </c>
      <c r="V40" s="776">
        <v>0</v>
      </c>
      <c r="W40" s="788">
        <v>0</v>
      </c>
      <c r="X40" s="776">
        <v>0</v>
      </c>
      <c r="Y40" s="788">
        <v>0</v>
      </c>
      <c r="Z40" s="776">
        <v>0</v>
      </c>
      <c r="AA40" s="815" t="s">
        <v>293</v>
      </c>
      <c r="AB40" s="815" t="s">
        <v>293</v>
      </c>
      <c r="AC40" s="815" t="s">
        <v>293</v>
      </c>
      <c r="AD40" s="776">
        <v>0</v>
      </c>
      <c r="AE40" s="776">
        <v>0</v>
      </c>
    </row>
    <row r="41" spans="1:31" ht="15.75" customHeight="1">
      <c r="A41" s="661" t="s">
        <v>613</v>
      </c>
      <c r="B41" s="776">
        <v>0</v>
      </c>
      <c r="C41" s="776">
        <v>0</v>
      </c>
      <c r="D41" s="776">
        <v>0</v>
      </c>
      <c r="E41" s="776">
        <v>0</v>
      </c>
      <c r="F41" s="776">
        <v>0</v>
      </c>
      <c r="G41" s="776">
        <v>0</v>
      </c>
      <c r="H41" s="776">
        <v>0</v>
      </c>
      <c r="I41" s="776">
        <v>0</v>
      </c>
      <c r="J41" s="776">
        <v>0</v>
      </c>
      <c r="K41" s="776">
        <v>0</v>
      </c>
      <c r="L41" s="776">
        <v>0</v>
      </c>
      <c r="M41" s="776">
        <v>0</v>
      </c>
      <c r="N41" s="776">
        <v>0</v>
      </c>
      <c r="O41" s="788">
        <v>0</v>
      </c>
      <c r="P41" s="776">
        <v>0</v>
      </c>
      <c r="Q41" s="776">
        <v>0</v>
      </c>
      <c r="R41" s="776">
        <v>0</v>
      </c>
      <c r="S41" s="776">
        <v>0</v>
      </c>
      <c r="T41" s="776">
        <v>0</v>
      </c>
      <c r="U41" s="776">
        <v>0</v>
      </c>
      <c r="V41" s="776">
        <v>0</v>
      </c>
      <c r="W41" s="788">
        <v>0</v>
      </c>
      <c r="X41" s="776">
        <v>0</v>
      </c>
      <c r="Y41" s="788">
        <v>0</v>
      </c>
      <c r="Z41" s="776">
        <v>0</v>
      </c>
      <c r="AA41" s="815" t="s">
        <v>293</v>
      </c>
      <c r="AB41" s="815" t="s">
        <v>293</v>
      </c>
      <c r="AC41" s="815" t="s">
        <v>293</v>
      </c>
      <c r="AD41" s="776">
        <v>0</v>
      </c>
      <c r="AE41" s="776">
        <v>0</v>
      </c>
    </row>
    <row r="42" spans="1:31" ht="15.75" customHeight="1">
      <c r="A42" s="661" t="s">
        <v>615</v>
      </c>
      <c r="B42" s="776">
        <v>1.5E-3</v>
      </c>
      <c r="C42" s="776">
        <v>3.5999999999999999E-3</v>
      </c>
      <c r="D42" s="776">
        <v>4.0000000000000002E-4</v>
      </c>
      <c r="E42" s="788">
        <v>1.8E-3</v>
      </c>
      <c r="F42" s="776">
        <v>1.2999999999999999E-3</v>
      </c>
      <c r="G42" s="788">
        <v>1.9E-3</v>
      </c>
      <c r="H42" s="776">
        <v>5.0000000000000001E-4</v>
      </c>
      <c r="I42" s="776">
        <v>1E-4</v>
      </c>
      <c r="J42" s="776">
        <v>8.9999999999999998E-4</v>
      </c>
      <c r="K42" s="776">
        <v>1.6999999999999999E-3</v>
      </c>
      <c r="L42" s="776">
        <v>1.6999999999999999E-3</v>
      </c>
      <c r="M42" s="776">
        <v>1.6999999999999999E-3</v>
      </c>
      <c r="N42" s="776">
        <v>1.6999999999999999E-3</v>
      </c>
      <c r="O42" s="788">
        <v>1.6999999999999999E-3</v>
      </c>
      <c r="P42" s="776">
        <v>1.1000000000000001E-3</v>
      </c>
      <c r="Q42" s="776">
        <v>1.1000000000000001E-3</v>
      </c>
      <c r="R42" s="776">
        <v>1.4E-3</v>
      </c>
      <c r="S42" s="776">
        <v>1.4E-3</v>
      </c>
      <c r="T42" s="788">
        <v>3.5E-4</v>
      </c>
      <c r="U42" s="788">
        <v>3.5E-4</v>
      </c>
      <c r="V42" s="776">
        <v>1.2999999999999999E-3</v>
      </c>
      <c r="W42" s="788">
        <v>1.6999999999999999E-3</v>
      </c>
      <c r="X42" s="776">
        <v>1.6999999999999999E-3</v>
      </c>
      <c r="Y42" s="788">
        <v>2.0000000000000001E-4</v>
      </c>
      <c r="Z42" s="776">
        <v>5.9999999999999995E-4</v>
      </c>
      <c r="AA42" s="815" t="s">
        <v>293</v>
      </c>
      <c r="AB42" s="815" t="s">
        <v>293</v>
      </c>
      <c r="AC42" s="815" t="s">
        <v>293</v>
      </c>
      <c r="AD42" s="776">
        <v>5.0000000000000001E-4</v>
      </c>
      <c r="AE42" s="776">
        <v>5.0000000000000001E-4</v>
      </c>
    </row>
    <row r="43" spans="1:31" ht="24" customHeight="1">
      <c r="A43" s="803" t="s">
        <v>617</v>
      </c>
      <c r="B43" s="791"/>
      <c r="C43" s="791"/>
      <c r="D43" s="791"/>
      <c r="E43" s="791"/>
      <c r="F43" s="791"/>
      <c r="G43" s="791"/>
      <c r="H43" s="791"/>
      <c r="I43" s="791"/>
      <c r="J43" s="791"/>
      <c r="K43" s="791"/>
      <c r="L43" s="791"/>
      <c r="M43" s="791"/>
      <c r="N43" s="791"/>
      <c r="O43" s="791"/>
      <c r="P43" s="791"/>
      <c r="Q43" s="791"/>
      <c r="R43" s="791"/>
      <c r="S43" s="791"/>
      <c r="T43" s="791"/>
      <c r="U43" s="791"/>
      <c r="V43" s="791"/>
      <c r="W43" s="791"/>
      <c r="X43" s="791"/>
      <c r="Y43" s="791"/>
      <c r="Z43" s="791"/>
      <c r="AA43" s="791"/>
      <c r="AB43" s="791"/>
      <c r="AC43" s="791"/>
      <c r="AD43" s="791"/>
      <c r="AE43" s="791"/>
    </row>
    <row r="44" spans="1:31" ht="15.75" customHeight="1">
      <c r="A44" s="728" t="s">
        <v>1130</v>
      </c>
      <c r="B44" s="815" t="s">
        <v>293</v>
      </c>
      <c r="C44" s="776">
        <v>5</v>
      </c>
      <c r="D44" s="815" t="s">
        <v>293</v>
      </c>
      <c r="E44" s="776">
        <v>5</v>
      </c>
      <c r="F44" s="776">
        <v>5</v>
      </c>
      <c r="G44" s="776">
        <v>5</v>
      </c>
      <c r="H44" s="776">
        <v>5</v>
      </c>
      <c r="I44" s="776">
        <v>5</v>
      </c>
      <c r="J44" s="776">
        <v>5</v>
      </c>
      <c r="K44" s="790" t="s">
        <v>293</v>
      </c>
      <c r="L44" s="790" t="s">
        <v>293</v>
      </c>
      <c r="M44" s="790" t="s">
        <v>293</v>
      </c>
      <c r="N44" s="815" t="s">
        <v>293</v>
      </c>
      <c r="O44" s="815" t="s">
        <v>293</v>
      </c>
      <c r="P44" s="776">
        <v>5</v>
      </c>
      <c r="Q44" s="776">
        <v>5</v>
      </c>
      <c r="R44" s="776">
        <v>5</v>
      </c>
      <c r="S44" s="776">
        <v>5</v>
      </c>
      <c r="T44" s="776">
        <v>5</v>
      </c>
      <c r="U44" s="776">
        <v>5</v>
      </c>
      <c r="V44" s="776">
        <v>5</v>
      </c>
      <c r="W44" s="815" t="s">
        <v>293</v>
      </c>
      <c r="X44" s="815" t="s">
        <v>293</v>
      </c>
      <c r="Y44" s="815" t="s">
        <v>293</v>
      </c>
      <c r="Z44" s="812">
        <v>5</v>
      </c>
      <c r="AA44" s="815" t="s">
        <v>293</v>
      </c>
      <c r="AB44" s="815" t="s">
        <v>293</v>
      </c>
      <c r="AC44" s="815" t="s">
        <v>293</v>
      </c>
      <c r="AD44" s="815" t="s">
        <v>293</v>
      </c>
      <c r="AE44" s="815" t="s">
        <v>293</v>
      </c>
    </row>
    <row r="45" spans="1:31" ht="15.75" customHeight="1">
      <c r="A45" s="712" t="s">
        <v>868</v>
      </c>
      <c r="B45" s="776"/>
      <c r="C45" s="776"/>
      <c r="D45" s="776"/>
      <c r="E45" s="776"/>
      <c r="F45" s="815" t="s">
        <v>293</v>
      </c>
      <c r="G45" s="815" t="s">
        <v>293</v>
      </c>
      <c r="H45" s="815" t="s">
        <v>293</v>
      </c>
      <c r="I45" s="815" t="s">
        <v>293</v>
      </c>
      <c r="J45" s="815" t="s">
        <v>293</v>
      </c>
      <c r="K45" s="815" t="s">
        <v>293</v>
      </c>
      <c r="L45" s="815" t="s">
        <v>293</v>
      </c>
      <c r="M45" s="815" t="s">
        <v>293</v>
      </c>
      <c r="N45" s="815" t="s">
        <v>293</v>
      </c>
      <c r="O45" s="815" t="s">
        <v>293</v>
      </c>
      <c r="P45" s="815" t="s">
        <v>293</v>
      </c>
      <c r="Q45" s="815" t="s">
        <v>293</v>
      </c>
      <c r="R45" s="815" t="s">
        <v>293</v>
      </c>
      <c r="S45" s="815" t="s">
        <v>293</v>
      </c>
      <c r="T45" s="815" t="s">
        <v>293</v>
      </c>
      <c r="U45" s="815" t="s">
        <v>293</v>
      </c>
      <c r="V45" s="815" t="s">
        <v>293</v>
      </c>
      <c r="W45" s="815" t="s">
        <v>293</v>
      </c>
      <c r="X45" s="815" t="s">
        <v>293</v>
      </c>
      <c r="Y45" s="815" t="s">
        <v>293</v>
      </c>
      <c r="Z45" s="815" t="s">
        <v>293</v>
      </c>
      <c r="AA45" s="776">
        <v>0.25</v>
      </c>
      <c r="AB45" s="776">
        <v>1</v>
      </c>
      <c r="AC45" s="776">
        <v>1</v>
      </c>
      <c r="AD45" s="815" t="s">
        <v>293</v>
      </c>
      <c r="AE45" s="815" t="s">
        <v>293</v>
      </c>
    </row>
    <row r="46" spans="1:31" ht="15.75" customHeight="1">
      <c r="A46" s="728" t="s">
        <v>618</v>
      </c>
      <c r="B46" s="776">
        <f>90*0.15</f>
        <v>13.5</v>
      </c>
      <c r="C46" s="776">
        <f>90*0.1</f>
        <v>9</v>
      </c>
      <c r="D46" s="776">
        <f>90*0.125</f>
        <v>11.25</v>
      </c>
      <c r="E46" s="776">
        <f>90*0.125</f>
        <v>11.25</v>
      </c>
      <c r="F46" s="776">
        <f>90*0.125</f>
        <v>11.25</v>
      </c>
      <c r="G46" s="776">
        <f>90*0.125</f>
        <v>11.25</v>
      </c>
      <c r="H46" s="790" t="s">
        <v>293</v>
      </c>
      <c r="I46" s="790" t="s">
        <v>293</v>
      </c>
      <c r="J46" s="776">
        <f>90*0.125</f>
        <v>11.25</v>
      </c>
      <c r="K46" s="776">
        <f>90*0.15</f>
        <v>13.5</v>
      </c>
      <c r="L46" s="776">
        <f>90*0.15</f>
        <v>13.5</v>
      </c>
      <c r="M46" s="776">
        <f>90*0.15</f>
        <v>13.5</v>
      </c>
      <c r="N46" s="776">
        <f>90*0.15</f>
        <v>13.5</v>
      </c>
      <c r="O46" s="776">
        <f>90*0.15</f>
        <v>13.5</v>
      </c>
      <c r="P46" s="815" t="s">
        <v>293</v>
      </c>
      <c r="Q46" s="815" t="s">
        <v>293</v>
      </c>
      <c r="R46" s="776">
        <f>90*0.2</f>
        <v>18</v>
      </c>
      <c r="S46" s="776">
        <f>90*0.2</f>
        <v>18</v>
      </c>
      <c r="T46" s="815" t="s">
        <v>293</v>
      </c>
      <c r="U46" s="815" t="s">
        <v>293</v>
      </c>
      <c r="V46" s="776">
        <f>90*0.07</f>
        <v>6.3000000000000007</v>
      </c>
      <c r="W46" s="776">
        <f>90*0.15</f>
        <v>13.5</v>
      </c>
      <c r="X46" s="776">
        <f>90*0.15</f>
        <v>13.5</v>
      </c>
      <c r="Y46" s="776">
        <f>90*0.15</f>
        <v>13.5</v>
      </c>
      <c r="Z46" s="776">
        <f>90*0.1</f>
        <v>9</v>
      </c>
      <c r="AA46" s="815" t="s">
        <v>293</v>
      </c>
      <c r="AB46" s="815" t="s">
        <v>293</v>
      </c>
      <c r="AC46" s="815" t="s">
        <v>293</v>
      </c>
      <c r="AD46" s="776">
        <f>90*0.15</f>
        <v>13.5</v>
      </c>
      <c r="AE46" s="776">
        <f>90*0.15</f>
        <v>13.5</v>
      </c>
    </row>
    <row r="47" spans="1:31" ht="15.75" customHeight="1">
      <c r="A47" s="728" t="s">
        <v>866</v>
      </c>
      <c r="B47" s="815" t="s">
        <v>293</v>
      </c>
      <c r="C47" s="815" t="s">
        <v>293</v>
      </c>
      <c r="D47" s="815" t="s">
        <v>293</v>
      </c>
      <c r="E47" s="815" t="s">
        <v>293</v>
      </c>
      <c r="F47" s="815" t="s">
        <v>293</v>
      </c>
      <c r="G47" s="815" t="s">
        <v>293</v>
      </c>
      <c r="H47" s="815" t="s">
        <v>293</v>
      </c>
      <c r="I47" s="815" t="s">
        <v>293</v>
      </c>
      <c r="J47" s="815" t="s">
        <v>293</v>
      </c>
      <c r="K47" s="815" t="s">
        <v>293</v>
      </c>
      <c r="L47" s="815" t="s">
        <v>293</v>
      </c>
      <c r="M47" s="815" t="s">
        <v>293</v>
      </c>
      <c r="N47" s="815" t="s">
        <v>293</v>
      </c>
      <c r="O47" s="815" t="s">
        <v>293</v>
      </c>
      <c r="P47" s="815" t="s">
        <v>293</v>
      </c>
      <c r="Q47" s="815" t="s">
        <v>293</v>
      </c>
      <c r="R47" s="815" t="s">
        <v>293</v>
      </c>
      <c r="S47" s="815" t="s">
        <v>293</v>
      </c>
      <c r="T47" s="815" t="s">
        <v>293</v>
      </c>
      <c r="U47" s="815" t="s">
        <v>293</v>
      </c>
      <c r="V47" s="815" t="s">
        <v>293</v>
      </c>
      <c r="W47" s="815" t="s">
        <v>293</v>
      </c>
      <c r="X47" s="815" t="s">
        <v>293</v>
      </c>
      <c r="Y47" s="815" t="s">
        <v>293</v>
      </c>
      <c r="Z47" s="815" t="s">
        <v>293</v>
      </c>
      <c r="AA47" s="788">
        <v>3</v>
      </c>
      <c r="AB47" s="776">
        <v>10</v>
      </c>
      <c r="AC47" s="776">
        <v>10</v>
      </c>
      <c r="AD47" s="815" t="s">
        <v>293</v>
      </c>
      <c r="AE47" s="815" t="s">
        <v>293</v>
      </c>
    </row>
    <row r="48" spans="1:31" ht="15.75" customHeight="1">
      <c r="A48" s="728" t="s">
        <v>621</v>
      </c>
      <c r="B48" s="776">
        <v>3.25</v>
      </c>
      <c r="C48" s="788">
        <v>1.1499999999999999</v>
      </c>
      <c r="D48" s="776">
        <v>2.4500000000000002</v>
      </c>
      <c r="E48" s="788">
        <v>1.1000000000000001</v>
      </c>
      <c r="F48" s="788">
        <v>1.1000000000000001</v>
      </c>
      <c r="G48" s="788">
        <v>1.1000000000000001</v>
      </c>
      <c r="H48" s="776">
        <v>2.25</v>
      </c>
      <c r="I48" s="776">
        <v>2.5</v>
      </c>
      <c r="J48" s="776">
        <v>2.85</v>
      </c>
      <c r="K48" s="776">
        <v>2.1</v>
      </c>
      <c r="L48" s="776">
        <v>2.1</v>
      </c>
      <c r="M48" s="776">
        <v>2.1</v>
      </c>
      <c r="N48" s="776">
        <v>2.1</v>
      </c>
      <c r="O48" s="776">
        <v>2.1</v>
      </c>
      <c r="P48" s="776">
        <v>2.25</v>
      </c>
      <c r="Q48" s="776">
        <v>2.25</v>
      </c>
      <c r="R48" s="776">
        <v>1.25</v>
      </c>
      <c r="S48" s="788">
        <v>1.25</v>
      </c>
      <c r="T48" s="776">
        <v>2.25</v>
      </c>
      <c r="U48" s="776">
        <v>2.25</v>
      </c>
      <c r="V48" s="788">
        <v>1.1499999999999999</v>
      </c>
      <c r="W48" s="776">
        <v>2.1</v>
      </c>
      <c r="X48" s="776">
        <v>2.1</v>
      </c>
      <c r="Y48" s="776">
        <v>2.75</v>
      </c>
      <c r="Z48" s="776">
        <v>1.1000000000000001</v>
      </c>
      <c r="AA48" s="788">
        <v>2.8</v>
      </c>
      <c r="AB48" s="776">
        <v>2.4500000000000002</v>
      </c>
      <c r="AC48" s="776">
        <v>2.4500000000000002</v>
      </c>
      <c r="AD48" s="776">
        <v>2.75</v>
      </c>
      <c r="AE48" s="776">
        <v>2.75</v>
      </c>
    </row>
    <row r="49" spans="1:31" ht="15.75" customHeight="1">
      <c r="A49" s="776" t="s">
        <v>622</v>
      </c>
      <c r="B49" s="815" t="s">
        <v>293</v>
      </c>
      <c r="C49" s="776">
        <v>400</v>
      </c>
      <c r="D49" s="776">
        <v>64</v>
      </c>
      <c r="E49" s="788">
        <v>55</v>
      </c>
      <c r="F49" s="776">
        <v>55</v>
      </c>
      <c r="G49" s="788">
        <v>55</v>
      </c>
      <c r="H49" s="776">
        <v>70</v>
      </c>
      <c r="I49" s="776">
        <v>10</v>
      </c>
      <c r="J49" s="776">
        <v>75</v>
      </c>
      <c r="K49" s="776">
        <v>55</v>
      </c>
      <c r="L49" s="788">
        <v>55</v>
      </c>
      <c r="M49" s="776">
        <v>55</v>
      </c>
      <c r="N49" s="776">
        <v>55</v>
      </c>
      <c r="O49" s="788">
        <v>52</v>
      </c>
      <c r="P49" s="776">
        <v>20</v>
      </c>
      <c r="Q49" s="776">
        <v>20</v>
      </c>
      <c r="R49" s="776">
        <v>81.381600000000006</v>
      </c>
      <c r="S49" s="788">
        <v>81.381600000000006</v>
      </c>
      <c r="T49" s="788">
        <v>75</v>
      </c>
      <c r="U49" s="776">
        <v>75</v>
      </c>
      <c r="V49" s="776">
        <v>10</v>
      </c>
      <c r="W49" s="788">
        <v>55</v>
      </c>
      <c r="X49" s="776">
        <v>55</v>
      </c>
      <c r="Y49" s="788">
        <v>72</v>
      </c>
      <c r="Z49" s="776">
        <v>93</v>
      </c>
      <c r="AA49" s="668" t="s">
        <v>293</v>
      </c>
      <c r="AB49" s="776">
        <v>10</v>
      </c>
      <c r="AC49" s="776">
        <v>10</v>
      </c>
      <c r="AD49" s="776">
        <v>60</v>
      </c>
      <c r="AE49" s="776">
        <v>60</v>
      </c>
    </row>
    <row r="50" spans="1:31" ht="15.75" customHeight="1">
      <c r="A50" s="776" t="s">
        <v>623</v>
      </c>
      <c r="B50" s="776">
        <v>224</v>
      </c>
      <c r="C50" s="776">
        <v>400</v>
      </c>
      <c r="D50" s="776">
        <v>248</v>
      </c>
      <c r="E50" s="788">
        <v>550</v>
      </c>
      <c r="F50" s="776">
        <v>550</v>
      </c>
      <c r="G50" s="788">
        <v>550</v>
      </c>
      <c r="H50" s="776">
        <v>220</v>
      </c>
      <c r="I50" s="776">
        <v>130</v>
      </c>
      <c r="J50" s="776">
        <v>305</v>
      </c>
      <c r="K50" s="776">
        <v>299</v>
      </c>
      <c r="L50" s="788">
        <v>296</v>
      </c>
      <c r="M50" s="776">
        <v>329</v>
      </c>
      <c r="N50" s="776">
        <v>329</v>
      </c>
      <c r="O50" s="788">
        <v>309</v>
      </c>
      <c r="P50" s="776">
        <v>250</v>
      </c>
      <c r="Q50" s="776">
        <v>250</v>
      </c>
      <c r="R50" s="776">
        <v>286</v>
      </c>
      <c r="S50" s="788">
        <v>286</v>
      </c>
      <c r="T50" s="788">
        <v>200</v>
      </c>
      <c r="U50" s="776">
        <v>185</v>
      </c>
      <c r="V50" s="776">
        <v>450</v>
      </c>
      <c r="W50" s="788">
        <v>296</v>
      </c>
      <c r="X50" s="776">
        <v>329</v>
      </c>
      <c r="Y50" s="788">
        <v>250</v>
      </c>
      <c r="Z50" s="776">
        <v>550</v>
      </c>
      <c r="AA50" s="788">
        <v>220</v>
      </c>
      <c r="AB50" s="776">
        <v>185</v>
      </c>
      <c r="AC50" s="776">
        <v>185</v>
      </c>
      <c r="AD50" s="776">
        <v>200</v>
      </c>
      <c r="AE50" s="776">
        <v>200</v>
      </c>
    </row>
    <row r="51" spans="1:31" ht="15.75" customHeight="1">
      <c r="A51" s="728" t="s">
        <v>625</v>
      </c>
      <c r="B51" s="812">
        <v>3.3</v>
      </c>
      <c r="C51" s="812">
        <v>4</v>
      </c>
      <c r="D51" s="812">
        <v>3</v>
      </c>
      <c r="E51" s="780">
        <v>5</v>
      </c>
      <c r="F51" s="780">
        <v>6</v>
      </c>
      <c r="G51" s="812">
        <v>6</v>
      </c>
      <c r="H51" s="780">
        <v>3</v>
      </c>
      <c r="I51" s="780">
        <v>3.2</v>
      </c>
      <c r="J51" s="812">
        <v>5.5</v>
      </c>
      <c r="K51" s="662">
        <v>3</v>
      </c>
      <c r="L51" s="662">
        <v>3.75</v>
      </c>
      <c r="M51" s="662">
        <v>3.75</v>
      </c>
      <c r="N51" s="812">
        <v>3.75</v>
      </c>
      <c r="O51" s="812">
        <v>3.75</v>
      </c>
      <c r="P51" s="662">
        <v>4</v>
      </c>
      <c r="Q51" s="662">
        <v>4</v>
      </c>
      <c r="R51" s="812">
        <v>3.2</v>
      </c>
      <c r="S51" s="812">
        <v>3.2</v>
      </c>
      <c r="T51" s="662">
        <v>2</v>
      </c>
      <c r="U51" s="662">
        <v>2</v>
      </c>
      <c r="V51" s="815" t="s">
        <v>293</v>
      </c>
      <c r="W51" s="662">
        <v>3.75</v>
      </c>
      <c r="X51" s="662">
        <v>3.75</v>
      </c>
      <c r="Y51" s="662">
        <v>2.2000000000000002</v>
      </c>
      <c r="Z51" s="815" t="s">
        <v>293</v>
      </c>
      <c r="AA51" s="815" t="s">
        <v>293</v>
      </c>
      <c r="AB51" s="815" t="s">
        <v>293</v>
      </c>
      <c r="AC51" s="815" t="s">
        <v>293</v>
      </c>
      <c r="AD51" s="664">
        <v>4</v>
      </c>
      <c r="AE51" s="812">
        <v>4</v>
      </c>
    </row>
    <row r="52" spans="1:31" ht="15.75" customHeight="1">
      <c r="A52" s="728" t="s">
        <v>984</v>
      </c>
      <c r="B52" s="815" t="s">
        <v>293</v>
      </c>
      <c r="C52" s="815" t="s">
        <v>293</v>
      </c>
      <c r="D52" s="815" t="s">
        <v>293</v>
      </c>
      <c r="E52" s="790" t="s">
        <v>293</v>
      </c>
      <c r="F52" s="790" t="s">
        <v>293</v>
      </c>
      <c r="G52" s="815" t="s">
        <v>293</v>
      </c>
      <c r="H52" s="790" t="s">
        <v>293</v>
      </c>
      <c r="I52" s="790" t="s">
        <v>293</v>
      </c>
      <c r="J52" s="668" t="s">
        <v>293</v>
      </c>
      <c r="K52" s="668" t="s">
        <v>293</v>
      </c>
      <c r="L52" s="668" t="s">
        <v>293</v>
      </c>
      <c r="M52" s="668" t="s">
        <v>293</v>
      </c>
      <c r="N52" s="815" t="s">
        <v>293</v>
      </c>
      <c r="O52" s="815" t="s">
        <v>293</v>
      </c>
      <c r="P52" s="668" t="s">
        <v>293</v>
      </c>
      <c r="Q52" s="668" t="s">
        <v>293</v>
      </c>
      <c r="R52" s="812">
        <v>3</v>
      </c>
      <c r="S52" s="812">
        <v>3</v>
      </c>
      <c r="T52" s="668" t="s">
        <v>293</v>
      </c>
      <c r="U52" s="668" t="s">
        <v>293</v>
      </c>
      <c r="V52" s="790" t="s">
        <v>293</v>
      </c>
      <c r="W52" s="668" t="s">
        <v>293</v>
      </c>
      <c r="X52" s="668" t="s">
        <v>293</v>
      </c>
      <c r="Y52" s="668" t="s">
        <v>293</v>
      </c>
      <c r="Z52" s="815" t="s">
        <v>293</v>
      </c>
      <c r="AA52" s="668" t="s">
        <v>293</v>
      </c>
      <c r="AB52" s="668" t="s">
        <v>293</v>
      </c>
      <c r="AC52" s="668" t="s">
        <v>293</v>
      </c>
      <c r="AD52" s="670" t="s">
        <v>293</v>
      </c>
      <c r="AE52" s="815" t="s">
        <v>293</v>
      </c>
    </row>
    <row r="53" spans="1:31" ht="15.75" customHeight="1">
      <c r="A53" s="661" t="s">
        <v>629</v>
      </c>
      <c r="B53" s="776">
        <v>30</v>
      </c>
      <c r="C53" s="776">
        <v>30</v>
      </c>
      <c r="D53" s="776">
        <v>30</v>
      </c>
      <c r="E53" s="788">
        <v>30</v>
      </c>
      <c r="F53" s="776">
        <v>30</v>
      </c>
      <c r="G53" s="788">
        <v>30</v>
      </c>
      <c r="H53" s="776">
        <v>30</v>
      </c>
      <c r="I53" s="776">
        <v>30</v>
      </c>
      <c r="J53" s="776">
        <v>30</v>
      </c>
      <c r="K53" s="776">
        <v>30</v>
      </c>
      <c r="L53" s="788">
        <v>30</v>
      </c>
      <c r="M53" s="776">
        <v>30</v>
      </c>
      <c r="N53" s="776">
        <v>30</v>
      </c>
      <c r="O53" s="788">
        <v>30</v>
      </c>
      <c r="P53" s="776">
        <v>30</v>
      </c>
      <c r="Q53" s="776">
        <v>30</v>
      </c>
      <c r="R53" s="776">
        <v>30</v>
      </c>
      <c r="S53" s="788">
        <v>30</v>
      </c>
      <c r="T53" s="788">
        <v>30</v>
      </c>
      <c r="U53" s="776">
        <v>30</v>
      </c>
      <c r="V53" s="776">
        <v>30</v>
      </c>
      <c r="W53" s="788">
        <v>30</v>
      </c>
      <c r="X53" s="776">
        <v>30</v>
      </c>
      <c r="Y53" s="788">
        <v>30</v>
      </c>
      <c r="Z53" s="776">
        <v>100</v>
      </c>
      <c r="AA53" s="788">
        <v>100</v>
      </c>
      <c r="AB53" s="776">
        <v>150</v>
      </c>
      <c r="AC53" s="776">
        <v>150</v>
      </c>
      <c r="AD53" s="776">
        <v>30</v>
      </c>
      <c r="AE53" s="776">
        <v>30</v>
      </c>
    </row>
    <row r="54" spans="1:31" ht="15.75" customHeight="1">
      <c r="A54" s="776" t="s">
        <v>759</v>
      </c>
      <c r="B54" s="776">
        <v>3</v>
      </c>
      <c r="C54" s="776">
        <v>4</v>
      </c>
      <c r="D54" s="776">
        <v>4</v>
      </c>
      <c r="E54" s="788">
        <v>5</v>
      </c>
      <c r="F54" s="776">
        <v>6</v>
      </c>
      <c r="G54" s="788">
        <v>6</v>
      </c>
      <c r="H54" s="776">
        <v>3</v>
      </c>
      <c r="I54" s="776">
        <v>3.2</v>
      </c>
      <c r="J54" s="776">
        <v>5.5</v>
      </c>
      <c r="K54" s="776">
        <v>3</v>
      </c>
      <c r="L54" s="788">
        <v>3.75</v>
      </c>
      <c r="M54" s="776">
        <v>3.75</v>
      </c>
      <c r="N54" s="776">
        <v>3.75</v>
      </c>
      <c r="O54" s="788">
        <v>3.75</v>
      </c>
      <c r="P54" s="776">
        <v>4</v>
      </c>
      <c r="Q54" s="776">
        <v>4</v>
      </c>
      <c r="R54" s="776">
        <v>3.2</v>
      </c>
      <c r="S54" s="788">
        <v>3.2</v>
      </c>
      <c r="T54" s="788">
        <v>2</v>
      </c>
      <c r="U54" s="776">
        <v>2</v>
      </c>
      <c r="V54" s="776">
        <v>4</v>
      </c>
      <c r="W54" s="788">
        <v>3.75</v>
      </c>
      <c r="X54" s="776">
        <v>3.75</v>
      </c>
      <c r="Y54" s="788">
        <v>2.2000000000000002</v>
      </c>
      <c r="Z54" s="776">
        <v>4</v>
      </c>
      <c r="AA54" s="788">
        <v>3.5</v>
      </c>
      <c r="AB54" s="776">
        <v>4</v>
      </c>
      <c r="AC54" s="776">
        <v>4</v>
      </c>
      <c r="AD54" s="776">
        <v>4</v>
      </c>
      <c r="AE54" s="776">
        <v>4</v>
      </c>
    </row>
    <row r="55" spans="1:31" ht="15.75" customHeight="1">
      <c r="A55" s="776" t="s">
        <v>1174</v>
      </c>
      <c r="B55" s="776">
        <v>5</v>
      </c>
      <c r="C55" s="776">
        <v>5</v>
      </c>
      <c r="D55" s="776">
        <v>7.5</v>
      </c>
      <c r="E55" s="788">
        <v>15</v>
      </c>
      <c r="F55" s="776">
        <v>15</v>
      </c>
      <c r="G55" s="788">
        <v>15</v>
      </c>
      <c r="H55" s="776">
        <v>7</v>
      </c>
      <c r="I55" s="776">
        <v>3.5</v>
      </c>
      <c r="J55" s="776">
        <v>10</v>
      </c>
      <c r="K55" s="776">
        <v>10</v>
      </c>
      <c r="L55" s="788">
        <v>10</v>
      </c>
      <c r="M55" s="776">
        <v>10</v>
      </c>
      <c r="N55" s="776">
        <v>10</v>
      </c>
      <c r="O55" s="788">
        <v>10</v>
      </c>
      <c r="P55" s="776">
        <v>7</v>
      </c>
      <c r="Q55" s="776">
        <v>7</v>
      </c>
      <c r="R55" s="776">
        <v>4</v>
      </c>
      <c r="S55" s="788">
        <v>4</v>
      </c>
      <c r="T55" s="788">
        <v>7</v>
      </c>
      <c r="U55" s="776">
        <v>7</v>
      </c>
      <c r="V55" s="776">
        <v>5</v>
      </c>
      <c r="W55" s="788">
        <v>10</v>
      </c>
      <c r="X55" s="776">
        <v>10</v>
      </c>
      <c r="Y55" s="788">
        <v>15</v>
      </c>
      <c r="Z55" s="776">
        <v>5</v>
      </c>
      <c r="AA55" s="815" t="s">
        <v>293</v>
      </c>
      <c r="AB55" s="815" t="s">
        <v>293</v>
      </c>
      <c r="AC55" s="815" t="s">
        <v>293</v>
      </c>
      <c r="AD55" s="776">
        <v>9</v>
      </c>
      <c r="AE55" s="776">
        <v>9</v>
      </c>
    </row>
    <row r="56" spans="1:31" ht="15.75" customHeight="1">
      <c r="A56" s="661" t="s">
        <v>756</v>
      </c>
      <c r="B56" s="815" t="s">
        <v>293</v>
      </c>
      <c r="C56" s="815" t="s">
        <v>293</v>
      </c>
      <c r="D56" s="815" t="s">
        <v>293</v>
      </c>
      <c r="E56" s="815" t="s">
        <v>293</v>
      </c>
      <c r="F56" s="815" t="s">
        <v>293</v>
      </c>
      <c r="G56" s="815" t="s">
        <v>293</v>
      </c>
      <c r="H56" s="815" t="s">
        <v>293</v>
      </c>
      <c r="I56" s="812" t="s">
        <v>1199</v>
      </c>
      <c r="J56" s="668" t="s">
        <v>293</v>
      </c>
      <c r="K56" s="668" t="s">
        <v>293</v>
      </c>
      <c r="L56" s="668" t="s">
        <v>293</v>
      </c>
      <c r="M56" s="668" t="s">
        <v>293</v>
      </c>
      <c r="N56" s="668" t="s">
        <v>293</v>
      </c>
      <c r="O56" s="668" t="s">
        <v>293</v>
      </c>
      <c r="P56" s="815" t="s">
        <v>293</v>
      </c>
      <c r="Q56" s="815" t="s">
        <v>293</v>
      </c>
      <c r="R56" s="668" t="s">
        <v>293</v>
      </c>
      <c r="S56" s="668" t="s">
        <v>293</v>
      </c>
      <c r="T56" s="815" t="s">
        <v>293</v>
      </c>
      <c r="U56" s="815" t="s">
        <v>293</v>
      </c>
      <c r="V56" s="668" t="s">
        <v>293</v>
      </c>
      <c r="W56" s="668" t="s">
        <v>293</v>
      </c>
      <c r="X56" s="668" t="s">
        <v>293</v>
      </c>
      <c r="Y56" s="668" t="s">
        <v>293</v>
      </c>
      <c r="Z56" s="668" t="s">
        <v>293</v>
      </c>
      <c r="AA56" s="668" t="s">
        <v>293</v>
      </c>
      <c r="AB56" s="815" t="s">
        <v>293</v>
      </c>
      <c r="AC56" s="815" t="s">
        <v>293</v>
      </c>
      <c r="AD56" s="815" t="s">
        <v>293</v>
      </c>
      <c r="AE56" s="815" t="s">
        <v>293</v>
      </c>
    </row>
    <row r="57" spans="1:31" ht="15.75" customHeight="1">
      <c r="A57" s="661" t="s">
        <v>756</v>
      </c>
      <c r="B57" s="815" t="s">
        <v>293</v>
      </c>
      <c r="C57" s="815" t="s">
        <v>293</v>
      </c>
      <c r="D57" s="815" t="s">
        <v>293</v>
      </c>
      <c r="E57" s="815" t="s">
        <v>293</v>
      </c>
      <c r="F57" s="815" t="s">
        <v>293</v>
      </c>
      <c r="G57" s="815" t="s">
        <v>293</v>
      </c>
      <c r="H57" s="815" t="s">
        <v>293</v>
      </c>
      <c r="I57" s="812" t="s">
        <v>1198</v>
      </c>
      <c r="J57" s="668" t="s">
        <v>293</v>
      </c>
      <c r="K57" s="668" t="s">
        <v>293</v>
      </c>
      <c r="L57" s="668" t="s">
        <v>293</v>
      </c>
      <c r="M57" s="668" t="s">
        <v>293</v>
      </c>
      <c r="N57" s="668" t="s">
        <v>293</v>
      </c>
      <c r="O57" s="668" t="s">
        <v>293</v>
      </c>
      <c r="P57" s="815" t="s">
        <v>293</v>
      </c>
      <c r="Q57" s="815" t="s">
        <v>293</v>
      </c>
      <c r="R57" s="668" t="s">
        <v>293</v>
      </c>
      <c r="S57" s="668" t="s">
        <v>293</v>
      </c>
      <c r="T57" s="815" t="s">
        <v>293</v>
      </c>
      <c r="U57" s="815" t="s">
        <v>293</v>
      </c>
      <c r="V57" s="668" t="s">
        <v>293</v>
      </c>
      <c r="W57" s="668" t="s">
        <v>293</v>
      </c>
      <c r="X57" s="668" t="s">
        <v>293</v>
      </c>
      <c r="Y57" s="668" t="s">
        <v>293</v>
      </c>
      <c r="Z57" s="668" t="s">
        <v>293</v>
      </c>
      <c r="AA57" s="668" t="s">
        <v>293</v>
      </c>
      <c r="AB57" s="815" t="s">
        <v>293</v>
      </c>
      <c r="AC57" s="815" t="s">
        <v>293</v>
      </c>
      <c r="AD57" s="815" t="s">
        <v>293</v>
      </c>
      <c r="AE57" s="815" t="s">
        <v>293</v>
      </c>
    </row>
    <row r="58" spans="1:31" ht="15.75" customHeight="1">
      <c r="A58" s="661" t="s">
        <v>756</v>
      </c>
      <c r="B58" s="815" t="s">
        <v>293</v>
      </c>
      <c r="C58" s="815" t="s">
        <v>293</v>
      </c>
      <c r="D58" s="815" t="s">
        <v>293</v>
      </c>
      <c r="E58" s="815" t="s">
        <v>293</v>
      </c>
      <c r="F58" s="815" t="s">
        <v>293</v>
      </c>
      <c r="G58" s="815" t="s">
        <v>293</v>
      </c>
      <c r="H58" s="815" t="s">
        <v>293</v>
      </c>
      <c r="I58" s="812" t="s">
        <v>1197</v>
      </c>
      <c r="J58" s="668" t="s">
        <v>293</v>
      </c>
      <c r="K58" s="668" t="s">
        <v>293</v>
      </c>
      <c r="L58" s="668" t="s">
        <v>293</v>
      </c>
      <c r="M58" s="668" t="s">
        <v>293</v>
      </c>
      <c r="N58" s="668" t="s">
        <v>293</v>
      </c>
      <c r="O58" s="668" t="s">
        <v>293</v>
      </c>
      <c r="P58" s="815" t="s">
        <v>293</v>
      </c>
      <c r="Q58" s="815" t="s">
        <v>293</v>
      </c>
      <c r="R58" s="668" t="s">
        <v>293</v>
      </c>
      <c r="S58" s="668" t="s">
        <v>293</v>
      </c>
      <c r="T58" s="815" t="s">
        <v>293</v>
      </c>
      <c r="U58" s="815" t="s">
        <v>293</v>
      </c>
      <c r="V58" s="668" t="s">
        <v>293</v>
      </c>
      <c r="W58" s="668" t="s">
        <v>293</v>
      </c>
      <c r="X58" s="668" t="s">
        <v>293</v>
      </c>
      <c r="Y58" s="668" t="s">
        <v>293</v>
      </c>
      <c r="Z58" s="668" t="s">
        <v>293</v>
      </c>
      <c r="AA58" s="668" t="s">
        <v>293</v>
      </c>
      <c r="AB58" s="815" t="s">
        <v>293</v>
      </c>
      <c r="AC58" s="815" t="s">
        <v>293</v>
      </c>
      <c r="AD58" s="815" t="s">
        <v>293</v>
      </c>
      <c r="AE58" s="815" t="s">
        <v>293</v>
      </c>
    </row>
    <row r="59" spans="1:31" ht="15.75" customHeight="1">
      <c r="A59" s="661" t="s">
        <v>756</v>
      </c>
      <c r="B59" s="815" t="s">
        <v>293</v>
      </c>
      <c r="C59" s="815" t="s">
        <v>293</v>
      </c>
      <c r="D59" s="815" t="s">
        <v>293</v>
      </c>
      <c r="E59" s="815" t="s">
        <v>293</v>
      </c>
      <c r="F59" s="815" t="s">
        <v>293</v>
      </c>
      <c r="G59" s="815" t="s">
        <v>293</v>
      </c>
      <c r="H59" s="815" t="s">
        <v>293</v>
      </c>
      <c r="I59" s="812" t="s">
        <v>755</v>
      </c>
      <c r="J59" s="668" t="s">
        <v>293</v>
      </c>
      <c r="K59" s="668" t="s">
        <v>293</v>
      </c>
      <c r="L59" s="668" t="s">
        <v>293</v>
      </c>
      <c r="M59" s="668" t="s">
        <v>293</v>
      </c>
      <c r="N59" s="668" t="s">
        <v>293</v>
      </c>
      <c r="O59" s="668" t="s">
        <v>293</v>
      </c>
      <c r="P59" s="815" t="s">
        <v>293</v>
      </c>
      <c r="Q59" s="815" t="s">
        <v>293</v>
      </c>
      <c r="R59" s="668" t="s">
        <v>293</v>
      </c>
      <c r="S59" s="668" t="s">
        <v>293</v>
      </c>
      <c r="T59" s="815" t="s">
        <v>293</v>
      </c>
      <c r="U59" s="815" t="s">
        <v>293</v>
      </c>
      <c r="V59" s="668" t="s">
        <v>293</v>
      </c>
      <c r="W59" s="668" t="s">
        <v>293</v>
      </c>
      <c r="X59" s="668" t="s">
        <v>293</v>
      </c>
      <c r="Y59" s="668" t="s">
        <v>293</v>
      </c>
      <c r="Z59" s="668" t="s">
        <v>293</v>
      </c>
      <c r="AA59" s="668" t="s">
        <v>293</v>
      </c>
      <c r="AB59" s="815" t="s">
        <v>293</v>
      </c>
      <c r="AC59" s="815" t="s">
        <v>293</v>
      </c>
      <c r="AD59" s="815" t="s">
        <v>293</v>
      </c>
      <c r="AE59" s="815" t="s">
        <v>293</v>
      </c>
    </row>
    <row r="60" spans="1:31" ht="15.75" customHeight="1">
      <c r="A60" s="776" t="s">
        <v>633</v>
      </c>
      <c r="B60" s="741" t="s">
        <v>324</v>
      </c>
      <c r="C60" s="741" t="s">
        <v>324</v>
      </c>
      <c r="D60" s="741" t="s">
        <v>324</v>
      </c>
      <c r="E60" s="741" t="s">
        <v>324</v>
      </c>
      <c r="F60" s="741" t="s">
        <v>324</v>
      </c>
      <c r="G60" s="741" t="s">
        <v>324</v>
      </c>
      <c r="H60" s="706" t="s">
        <v>328</v>
      </c>
      <c r="I60" s="706" t="s">
        <v>328</v>
      </c>
      <c r="J60" s="741" t="s">
        <v>324</v>
      </c>
      <c r="K60" s="741" t="s">
        <v>324</v>
      </c>
      <c r="L60" s="741" t="s">
        <v>324</v>
      </c>
      <c r="M60" s="741" t="s">
        <v>324</v>
      </c>
      <c r="N60" s="741" t="s">
        <v>324</v>
      </c>
      <c r="O60" s="741" t="s">
        <v>324</v>
      </c>
      <c r="P60" s="706" t="s">
        <v>328</v>
      </c>
      <c r="Q60" s="706" t="s">
        <v>328</v>
      </c>
      <c r="R60" s="741" t="s">
        <v>324</v>
      </c>
      <c r="S60" s="741" t="s">
        <v>324</v>
      </c>
      <c r="T60" s="790" t="s">
        <v>328</v>
      </c>
      <c r="U60" s="790" t="s">
        <v>328</v>
      </c>
      <c r="V60" s="741" t="s">
        <v>324</v>
      </c>
      <c r="W60" s="741" t="s">
        <v>324</v>
      </c>
      <c r="X60" s="741" t="s">
        <v>324</v>
      </c>
      <c r="Y60" s="741" t="s">
        <v>324</v>
      </c>
      <c r="Z60" s="741" t="s">
        <v>324</v>
      </c>
      <c r="AA60" s="741" t="s">
        <v>324</v>
      </c>
      <c r="AB60" s="790" t="s">
        <v>328</v>
      </c>
      <c r="AC60" s="790" t="s">
        <v>328</v>
      </c>
      <c r="AD60" s="741" t="s">
        <v>324</v>
      </c>
      <c r="AE60" s="741" t="s">
        <v>324</v>
      </c>
    </row>
    <row r="61" spans="1:31" ht="15.75" customHeight="1">
      <c r="A61" s="776" t="s">
        <v>634</v>
      </c>
      <c r="B61" s="815" t="s">
        <v>293</v>
      </c>
      <c r="C61" s="815" t="s">
        <v>293</v>
      </c>
      <c r="D61" s="815" t="s">
        <v>293</v>
      </c>
      <c r="E61" s="815" t="s">
        <v>293</v>
      </c>
      <c r="F61" s="815" t="s">
        <v>293</v>
      </c>
      <c r="G61" s="815" t="s">
        <v>293</v>
      </c>
      <c r="H61" s="812" t="s">
        <v>1002</v>
      </c>
      <c r="I61" s="812" t="s">
        <v>1003</v>
      </c>
      <c r="J61" s="815" t="s">
        <v>293</v>
      </c>
      <c r="K61" s="815" t="s">
        <v>293</v>
      </c>
      <c r="L61" s="815" t="s">
        <v>293</v>
      </c>
      <c r="M61" s="815" t="s">
        <v>293</v>
      </c>
      <c r="N61" s="815" t="s">
        <v>293</v>
      </c>
      <c r="O61" s="815" t="s">
        <v>293</v>
      </c>
      <c r="P61" s="812" t="s">
        <v>1001</v>
      </c>
      <c r="Q61" s="812" t="s">
        <v>1001</v>
      </c>
      <c r="R61" s="815" t="s">
        <v>293</v>
      </c>
      <c r="S61" s="815" t="s">
        <v>293</v>
      </c>
      <c r="T61" s="780" t="s">
        <v>1196</v>
      </c>
      <c r="U61" s="780" t="s">
        <v>1196</v>
      </c>
      <c r="V61" s="815" t="s">
        <v>293</v>
      </c>
      <c r="W61" s="815" t="s">
        <v>293</v>
      </c>
      <c r="X61" s="815" t="s">
        <v>293</v>
      </c>
      <c r="Y61" s="815" t="s">
        <v>293</v>
      </c>
      <c r="Z61" s="815" t="s">
        <v>293</v>
      </c>
      <c r="AA61" s="815" t="s">
        <v>293</v>
      </c>
      <c r="AB61" s="780" t="s">
        <v>1195</v>
      </c>
      <c r="AC61" s="780" t="s">
        <v>1195</v>
      </c>
      <c r="AD61" s="815" t="s">
        <v>293</v>
      </c>
      <c r="AE61" s="815" t="s">
        <v>293</v>
      </c>
    </row>
    <row r="62" spans="1:31" ht="15.75" customHeight="1">
      <c r="A62" s="775" t="s">
        <v>864</v>
      </c>
      <c r="B62" s="706" t="s">
        <v>328</v>
      </c>
      <c r="C62" s="706" t="s">
        <v>328</v>
      </c>
      <c r="D62" s="706" t="s">
        <v>328</v>
      </c>
      <c r="E62" s="706" t="s">
        <v>328</v>
      </c>
      <c r="F62" s="706" t="s">
        <v>328</v>
      </c>
      <c r="G62" s="706" t="s">
        <v>328</v>
      </c>
      <c r="H62" s="706" t="s">
        <v>328</v>
      </c>
      <c r="I62" s="706" t="s">
        <v>328</v>
      </c>
      <c r="J62" s="706" t="s">
        <v>328</v>
      </c>
      <c r="K62" s="706" t="s">
        <v>328</v>
      </c>
      <c r="L62" s="706" t="s">
        <v>328</v>
      </c>
      <c r="M62" s="706" t="s">
        <v>328</v>
      </c>
      <c r="N62" s="706" t="s">
        <v>328</v>
      </c>
      <c r="O62" s="706" t="s">
        <v>328</v>
      </c>
      <c r="P62" s="706" t="s">
        <v>328</v>
      </c>
      <c r="Q62" s="706" t="s">
        <v>328</v>
      </c>
      <c r="R62" s="706" t="s">
        <v>328</v>
      </c>
      <c r="S62" s="706" t="s">
        <v>328</v>
      </c>
      <c r="T62" s="706" t="s">
        <v>328</v>
      </c>
      <c r="U62" s="706" t="s">
        <v>328</v>
      </c>
      <c r="V62" s="706" t="s">
        <v>328</v>
      </c>
      <c r="W62" s="706" t="s">
        <v>328</v>
      </c>
      <c r="X62" s="706" t="s">
        <v>328</v>
      </c>
      <c r="Y62" s="706" t="s">
        <v>328</v>
      </c>
      <c r="Z62" s="706" t="s">
        <v>328</v>
      </c>
      <c r="AA62" s="706" t="s">
        <v>328</v>
      </c>
      <c r="AB62" s="706" t="s">
        <v>328</v>
      </c>
      <c r="AC62" s="706" t="s">
        <v>328</v>
      </c>
      <c r="AD62" s="706" t="s">
        <v>328</v>
      </c>
      <c r="AE62" s="706" t="s">
        <v>328</v>
      </c>
    </row>
    <row r="63" spans="1:31" ht="123.75" customHeight="1">
      <c r="A63" s="722" t="s">
        <v>635</v>
      </c>
      <c r="B63" s="815"/>
      <c r="C63" s="815"/>
      <c r="D63" s="815"/>
      <c r="E63" s="790"/>
      <c r="F63" s="815"/>
      <c r="G63" s="790"/>
      <c r="H63" s="815"/>
      <c r="I63" s="815"/>
      <c r="J63" s="815"/>
      <c r="K63" s="815"/>
      <c r="L63" s="790"/>
      <c r="M63" s="815"/>
      <c r="N63" s="815"/>
      <c r="O63" s="790" t="s">
        <v>1192</v>
      </c>
      <c r="P63" s="815"/>
      <c r="Q63" s="815"/>
      <c r="R63" s="815" t="s">
        <v>1194</v>
      </c>
      <c r="S63" s="815" t="s">
        <v>1194</v>
      </c>
      <c r="T63" s="790"/>
      <c r="U63" s="815"/>
      <c r="V63" s="815"/>
      <c r="W63" s="815" t="s">
        <v>1193</v>
      </c>
      <c r="X63" s="815" t="s">
        <v>995</v>
      </c>
      <c r="Y63" s="790" t="s">
        <v>1192</v>
      </c>
      <c r="Z63" s="815"/>
      <c r="AA63" s="790"/>
      <c r="AB63" s="815"/>
      <c r="AC63" s="815"/>
      <c r="AD63" s="815"/>
      <c r="AE63" s="845"/>
    </row>
    <row r="64" spans="1:31" ht="83.25" customHeight="1">
      <c r="A64" s="776"/>
      <c r="B64" s="844"/>
      <c r="C64" s="844"/>
      <c r="D64" s="844"/>
      <c r="E64" s="844"/>
      <c r="F64" s="844"/>
      <c r="G64" s="844"/>
      <c r="H64" s="844"/>
      <c r="I64" s="844"/>
      <c r="J64" s="844"/>
      <c r="K64" s="844"/>
      <c r="L64" s="844"/>
      <c r="M64" s="844"/>
      <c r="N64" s="844"/>
      <c r="O64" s="844"/>
      <c r="P64" s="844"/>
      <c r="Q64" s="844"/>
      <c r="R64" s="844"/>
      <c r="S64" s="844"/>
      <c r="T64" s="844"/>
      <c r="U64" s="844"/>
      <c r="V64" s="844"/>
      <c r="W64" s="776"/>
      <c r="X64" s="844"/>
      <c r="Y64" s="663"/>
      <c r="Z64" s="844"/>
      <c r="AA64" s="844"/>
      <c r="AB64" s="815"/>
      <c r="AC64" s="815"/>
      <c r="AD64" s="815"/>
      <c r="AE64" s="815"/>
    </row>
    <row r="65" spans="1:31" ht="12.75">
      <c r="A65" s="776"/>
      <c r="B65" s="776"/>
      <c r="C65" s="776"/>
      <c r="D65" s="776"/>
      <c r="E65" s="788"/>
      <c r="F65" s="776"/>
      <c r="G65" s="788"/>
      <c r="H65" s="776"/>
      <c r="I65" s="776"/>
      <c r="J65" s="776"/>
      <c r="K65" s="776"/>
      <c r="L65" s="788"/>
      <c r="M65" s="776"/>
      <c r="N65" s="776"/>
      <c r="O65" s="788"/>
      <c r="P65" s="776"/>
      <c r="Q65" s="776"/>
      <c r="R65" s="776"/>
      <c r="S65" s="788"/>
      <c r="T65" s="788"/>
      <c r="U65" s="776"/>
      <c r="V65" s="776"/>
      <c r="W65" s="788"/>
      <c r="X65" s="776"/>
      <c r="Y65" s="788"/>
      <c r="Z65" s="776"/>
      <c r="AA65" s="788"/>
      <c r="AB65" s="776"/>
      <c r="AC65" s="776"/>
      <c r="AD65" s="776"/>
      <c r="AE65" s="776"/>
    </row>
    <row r="66" spans="1:31" ht="12.75">
      <c r="A66" s="776"/>
      <c r="B66" s="776"/>
      <c r="C66" s="776"/>
      <c r="D66" s="776"/>
      <c r="E66" s="788"/>
      <c r="F66" s="776"/>
      <c r="G66" s="788"/>
      <c r="H66" s="776"/>
      <c r="I66" s="776"/>
      <c r="J66" s="776"/>
      <c r="K66" s="776"/>
      <c r="L66" s="788"/>
      <c r="M66" s="776"/>
      <c r="N66" s="776"/>
      <c r="O66" s="788"/>
      <c r="P66" s="776"/>
      <c r="Q66" s="776"/>
      <c r="R66" s="776"/>
      <c r="S66" s="788"/>
      <c r="T66" s="788"/>
      <c r="U66" s="776"/>
      <c r="V66" s="776"/>
      <c r="W66" s="788"/>
      <c r="X66" s="776"/>
      <c r="Y66" s="788"/>
      <c r="Z66" s="776"/>
      <c r="AA66" s="788"/>
      <c r="AB66" s="776"/>
      <c r="AC66" s="776"/>
      <c r="AD66" s="776"/>
      <c r="AE66" s="776"/>
    </row>
    <row r="67" spans="1:31" ht="12.75">
      <c r="A67" s="776"/>
      <c r="B67" s="776"/>
      <c r="C67" s="776"/>
      <c r="D67" s="682"/>
      <c r="E67" s="774"/>
      <c r="F67" s="682"/>
      <c r="G67" s="774"/>
      <c r="H67" s="776"/>
      <c r="I67" s="776"/>
      <c r="J67" s="776"/>
      <c r="K67" s="776"/>
      <c r="L67" s="788"/>
      <c r="M67" s="776"/>
      <c r="N67" s="776"/>
      <c r="O67" s="788"/>
      <c r="P67" s="776"/>
      <c r="Q67" s="776"/>
      <c r="R67" s="776"/>
      <c r="S67" s="788"/>
      <c r="T67" s="788"/>
      <c r="U67" s="776"/>
      <c r="V67" s="776"/>
      <c r="W67" s="788"/>
      <c r="X67" s="776"/>
      <c r="Y67" s="788"/>
      <c r="Z67" s="776"/>
      <c r="AA67" s="788"/>
      <c r="AB67" s="776"/>
      <c r="AC67" s="776"/>
      <c r="AD67" s="776"/>
      <c r="AE67" s="776"/>
    </row>
    <row r="68" spans="1:31" ht="12.75">
      <c r="A68" s="776"/>
      <c r="B68" s="776"/>
      <c r="C68" s="776"/>
      <c r="D68" s="682"/>
      <c r="E68" s="774"/>
      <c r="F68" s="682"/>
      <c r="G68" s="774"/>
      <c r="H68" s="776"/>
      <c r="I68" s="776"/>
      <c r="J68" s="776"/>
      <c r="K68" s="776"/>
      <c r="L68" s="788"/>
      <c r="M68" s="776"/>
      <c r="N68" s="776"/>
      <c r="O68" s="788"/>
      <c r="P68" s="776"/>
      <c r="Q68" s="776"/>
      <c r="R68" s="776"/>
      <c r="S68" s="788"/>
      <c r="T68" s="788"/>
      <c r="U68" s="776"/>
      <c r="V68" s="776"/>
      <c r="W68" s="788"/>
      <c r="X68" s="776"/>
      <c r="Y68" s="788"/>
      <c r="Z68" s="776"/>
      <c r="AA68" s="788"/>
      <c r="AB68" s="776"/>
      <c r="AC68" s="776"/>
      <c r="AD68" s="776"/>
      <c r="AE68" s="776"/>
    </row>
    <row r="69" spans="1:31" ht="12.75">
      <c r="A69" s="776"/>
      <c r="B69" s="776"/>
      <c r="C69" s="776"/>
      <c r="D69" s="682"/>
      <c r="E69" s="774"/>
      <c r="F69" s="682"/>
      <c r="G69" s="774"/>
      <c r="H69" s="776"/>
      <c r="I69" s="776"/>
      <c r="J69" s="776"/>
      <c r="K69" s="776"/>
      <c r="L69" s="788"/>
      <c r="M69" s="776"/>
      <c r="N69" s="776"/>
      <c r="O69" s="788"/>
      <c r="P69" s="776"/>
      <c r="Q69" s="776"/>
      <c r="R69" s="776"/>
      <c r="S69" s="788"/>
      <c r="T69" s="788"/>
      <c r="U69" s="776"/>
      <c r="V69" s="776"/>
      <c r="W69" s="788"/>
      <c r="X69" s="776"/>
      <c r="Y69" s="788"/>
      <c r="Z69" s="776"/>
      <c r="AA69" s="788"/>
      <c r="AB69" s="776"/>
      <c r="AC69" s="776"/>
      <c r="AD69" s="776"/>
      <c r="AE69" s="776"/>
    </row>
    <row r="70" spans="1:31" ht="12.75">
      <c r="A70" s="776"/>
      <c r="B70" s="776"/>
      <c r="C70" s="776"/>
      <c r="D70" s="682"/>
      <c r="E70" s="774"/>
      <c r="F70" s="682"/>
      <c r="G70" s="774"/>
      <c r="H70" s="776"/>
      <c r="I70" s="776"/>
      <c r="J70" s="776"/>
      <c r="K70" s="776"/>
      <c r="L70" s="788"/>
      <c r="M70" s="776"/>
      <c r="N70" s="776"/>
      <c r="O70" s="788"/>
      <c r="P70" s="776"/>
      <c r="Q70" s="776"/>
      <c r="R70" s="776"/>
      <c r="S70" s="788"/>
      <c r="T70" s="788"/>
      <c r="U70" s="776"/>
      <c r="V70" s="776"/>
      <c r="W70" s="788"/>
      <c r="X70" s="776"/>
      <c r="Y70" s="788"/>
      <c r="Z70" s="776"/>
      <c r="AA70" s="788"/>
      <c r="AB70" s="776"/>
      <c r="AC70" s="776"/>
      <c r="AD70" s="776"/>
      <c r="AE70" s="776"/>
    </row>
    <row r="71" spans="1:31" ht="12.75">
      <c r="A71" s="776"/>
      <c r="B71" s="776"/>
      <c r="C71" s="776"/>
      <c r="D71" s="682"/>
      <c r="E71" s="774"/>
      <c r="F71" s="682"/>
      <c r="G71" s="774"/>
      <c r="H71" s="776"/>
      <c r="I71" s="776"/>
      <c r="J71" s="776"/>
      <c r="K71" s="776"/>
      <c r="L71" s="788"/>
      <c r="M71" s="776"/>
      <c r="N71" s="776"/>
      <c r="O71" s="788"/>
      <c r="P71" s="776"/>
      <c r="Q71" s="776"/>
      <c r="R71" s="776"/>
      <c r="S71" s="788"/>
      <c r="T71" s="788"/>
      <c r="U71" s="776"/>
      <c r="V71" s="776"/>
      <c r="W71" s="788"/>
      <c r="X71" s="776"/>
      <c r="Y71" s="788"/>
      <c r="Z71" s="776"/>
      <c r="AA71" s="788"/>
      <c r="AB71" s="776"/>
      <c r="AC71" s="776"/>
      <c r="AD71" s="776"/>
      <c r="AE71" s="776"/>
    </row>
    <row r="72" spans="1:31" ht="12.75">
      <c r="A72" s="776"/>
      <c r="B72" s="776"/>
      <c r="C72" s="776"/>
      <c r="D72" s="682"/>
      <c r="E72" s="774"/>
      <c r="F72" s="682"/>
      <c r="G72" s="774"/>
      <c r="H72" s="776"/>
      <c r="I72" s="776"/>
      <c r="J72" s="776"/>
      <c r="K72" s="776"/>
      <c r="L72" s="788"/>
      <c r="M72" s="776"/>
      <c r="N72" s="776"/>
      <c r="O72" s="788"/>
      <c r="P72" s="776"/>
      <c r="Q72" s="776"/>
      <c r="R72" s="776"/>
      <c r="S72" s="788"/>
      <c r="T72" s="788"/>
      <c r="U72" s="776"/>
      <c r="V72" s="776"/>
      <c r="W72" s="788"/>
      <c r="X72" s="776"/>
      <c r="Y72" s="788"/>
      <c r="Z72" s="776"/>
      <c r="AA72" s="788"/>
      <c r="AB72" s="776"/>
      <c r="AC72" s="776"/>
      <c r="AD72" s="776"/>
      <c r="AE72" s="776"/>
    </row>
    <row r="73" spans="1:31" ht="12.75">
      <c r="A73" s="776"/>
      <c r="B73" s="776"/>
      <c r="C73" s="776"/>
      <c r="D73" s="682"/>
      <c r="E73" s="774"/>
      <c r="F73" s="682"/>
      <c r="G73" s="774"/>
      <c r="H73" s="776"/>
      <c r="I73" s="776"/>
      <c r="J73" s="776"/>
      <c r="K73" s="776"/>
      <c r="L73" s="788"/>
      <c r="M73" s="776"/>
      <c r="N73" s="776"/>
      <c r="O73" s="788"/>
      <c r="P73" s="776"/>
      <c r="Q73" s="776"/>
      <c r="R73" s="776"/>
      <c r="S73" s="788"/>
      <c r="T73" s="788"/>
      <c r="U73" s="776"/>
      <c r="V73" s="776"/>
      <c r="W73" s="788"/>
      <c r="X73" s="776"/>
      <c r="Y73" s="788"/>
      <c r="Z73" s="776"/>
      <c r="AA73" s="788"/>
      <c r="AB73" s="776"/>
      <c r="AC73" s="776"/>
      <c r="AD73" s="776"/>
      <c r="AE73" s="776"/>
    </row>
    <row r="74" spans="1:31" ht="12.75">
      <c r="A74" s="776"/>
      <c r="B74" s="776"/>
      <c r="C74" s="776"/>
      <c r="D74" s="682"/>
      <c r="E74" s="774"/>
      <c r="F74" s="682"/>
      <c r="G74" s="774"/>
      <c r="H74" s="776"/>
      <c r="I74" s="776"/>
      <c r="J74" s="776"/>
      <c r="K74" s="776"/>
      <c r="L74" s="788"/>
      <c r="M74" s="776"/>
      <c r="N74" s="776"/>
      <c r="O74" s="788"/>
      <c r="P74" s="776"/>
      <c r="Q74" s="776"/>
      <c r="R74" s="776"/>
      <c r="S74" s="788"/>
      <c r="T74" s="788"/>
      <c r="U74" s="776"/>
      <c r="V74" s="776"/>
      <c r="W74" s="788"/>
      <c r="X74" s="776"/>
      <c r="Y74" s="788"/>
      <c r="Z74" s="776"/>
      <c r="AA74" s="788"/>
      <c r="AB74" s="776"/>
      <c r="AC74" s="776"/>
      <c r="AD74" s="776"/>
      <c r="AE74" s="776"/>
    </row>
    <row r="75" spans="1:31" ht="12.75">
      <c r="A75" s="776"/>
      <c r="B75" s="776"/>
      <c r="C75" s="776"/>
      <c r="D75" s="682"/>
      <c r="E75" s="774"/>
      <c r="F75" s="682"/>
      <c r="G75" s="774"/>
      <c r="H75" s="776"/>
      <c r="I75" s="776"/>
      <c r="J75" s="776"/>
      <c r="K75" s="776"/>
      <c r="L75" s="788"/>
      <c r="M75" s="776"/>
      <c r="N75" s="776"/>
      <c r="O75" s="788"/>
      <c r="P75" s="776"/>
      <c r="Q75" s="776"/>
      <c r="R75" s="776"/>
      <c r="S75" s="788"/>
      <c r="T75" s="788"/>
      <c r="U75" s="776"/>
      <c r="V75" s="776"/>
      <c r="W75" s="788"/>
      <c r="X75" s="776"/>
      <c r="Y75" s="788"/>
      <c r="Z75" s="776"/>
      <c r="AA75" s="788"/>
      <c r="AB75" s="776"/>
      <c r="AC75" s="776"/>
      <c r="AD75" s="776"/>
      <c r="AE75" s="776"/>
    </row>
    <row r="76" spans="1:31" ht="12.75">
      <c r="A76" s="776"/>
      <c r="B76" s="776"/>
      <c r="C76" s="776"/>
      <c r="D76" s="682"/>
      <c r="E76" s="774"/>
      <c r="F76" s="682"/>
      <c r="G76" s="774"/>
      <c r="H76" s="776"/>
      <c r="I76" s="776"/>
      <c r="J76" s="776"/>
      <c r="K76" s="776"/>
      <c r="L76" s="788"/>
      <c r="M76" s="776"/>
      <c r="N76" s="776"/>
      <c r="O76" s="788"/>
      <c r="P76" s="776"/>
      <c r="Q76" s="776"/>
      <c r="R76" s="776"/>
      <c r="S76" s="788"/>
      <c r="T76" s="788"/>
      <c r="U76" s="776"/>
      <c r="V76" s="776"/>
      <c r="W76" s="788"/>
      <c r="X76" s="776"/>
      <c r="Y76" s="788"/>
      <c r="Z76" s="776"/>
      <c r="AA76" s="788"/>
      <c r="AB76" s="776"/>
      <c r="AC76" s="776"/>
      <c r="AD76" s="776"/>
      <c r="AE76" s="776"/>
    </row>
    <row r="77" spans="1:31" ht="12.75">
      <c r="A77" s="776"/>
      <c r="B77" s="776"/>
      <c r="C77" s="776"/>
      <c r="D77" s="682"/>
      <c r="E77" s="774"/>
      <c r="F77" s="682"/>
      <c r="G77" s="774"/>
      <c r="H77" s="776"/>
      <c r="I77" s="776"/>
      <c r="J77" s="776"/>
      <c r="K77" s="776"/>
      <c r="L77" s="788"/>
      <c r="M77" s="776"/>
      <c r="N77" s="776"/>
      <c r="O77" s="788"/>
      <c r="P77" s="776"/>
      <c r="Q77" s="776"/>
      <c r="R77" s="776"/>
      <c r="S77" s="788"/>
      <c r="T77" s="788"/>
      <c r="U77" s="776"/>
      <c r="V77" s="776"/>
      <c r="W77" s="788"/>
      <c r="X77" s="776"/>
      <c r="Y77" s="788"/>
      <c r="Z77" s="776"/>
      <c r="AA77" s="788"/>
      <c r="AB77" s="776"/>
      <c r="AC77" s="776"/>
      <c r="AD77" s="776"/>
      <c r="AE77" s="776"/>
    </row>
    <row r="78" spans="1:31" ht="12.75">
      <c r="A78" s="776"/>
      <c r="B78" s="776"/>
      <c r="C78" s="776"/>
      <c r="D78" s="682"/>
      <c r="E78" s="774"/>
      <c r="F78" s="682"/>
      <c r="G78" s="774"/>
      <c r="H78" s="776"/>
      <c r="I78" s="776"/>
      <c r="J78" s="776"/>
      <c r="K78" s="776"/>
      <c r="L78" s="788"/>
      <c r="M78" s="776"/>
      <c r="N78" s="776"/>
      <c r="O78" s="788"/>
      <c r="P78" s="776"/>
      <c r="Q78" s="776"/>
      <c r="R78" s="776"/>
      <c r="S78" s="788"/>
      <c r="T78" s="788"/>
      <c r="U78" s="776"/>
      <c r="V78" s="776"/>
      <c r="W78" s="788"/>
      <c r="X78" s="776"/>
      <c r="Y78" s="788"/>
      <c r="Z78" s="776"/>
      <c r="AA78" s="788"/>
      <c r="AB78" s="776"/>
      <c r="AC78" s="776"/>
      <c r="AD78" s="776"/>
      <c r="AE78" s="776"/>
    </row>
    <row r="79" spans="1:31" ht="12.75">
      <c r="A79" s="776"/>
      <c r="B79" s="776"/>
      <c r="C79" s="776"/>
      <c r="D79" s="682"/>
      <c r="E79" s="774"/>
      <c r="F79" s="682"/>
      <c r="G79" s="774"/>
      <c r="H79" s="776"/>
      <c r="I79" s="776"/>
      <c r="J79" s="776"/>
      <c r="K79" s="776"/>
      <c r="L79" s="788"/>
      <c r="M79" s="776"/>
      <c r="N79" s="776"/>
      <c r="O79" s="788"/>
      <c r="P79" s="776"/>
      <c r="Q79" s="776"/>
      <c r="R79" s="776"/>
      <c r="S79" s="788"/>
      <c r="T79" s="788"/>
      <c r="U79" s="776"/>
      <c r="V79" s="776"/>
      <c r="W79" s="788"/>
      <c r="X79" s="776"/>
      <c r="Y79" s="788"/>
      <c r="Z79" s="776"/>
      <c r="AA79" s="788"/>
      <c r="AB79" s="776"/>
      <c r="AC79" s="776"/>
      <c r="AD79" s="776"/>
      <c r="AE79" s="776"/>
    </row>
    <row r="80" spans="1:31" ht="12.75">
      <c r="A80" s="776"/>
      <c r="B80" s="776"/>
      <c r="C80" s="776"/>
      <c r="D80" s="682"/>
      <c r="E80" s="774"/>
      <c r="F80" s="682"/>
      <c r="G80" s="774"/>
      <c r="H80" s="776"/>
      <c r="I80" s="776"/>
      <c r="J80" s="776"/>
      <c r="K80" s="776"/>
      <c r="L80" s="788"/>
      <c r="M80" s="776"/>
      <c r="N80" s="776"/>
      <c r="O80" s="788"/>
      <c r="P80" s="776"/>
      <c r="Q80" s="776"/>
      <c r="R80" s="776"/>
      <c r="S80" s="788"/>
      <c r="T80" s="788"/>
      <c r="U80" s="776"/>
      <c r="V80" s="776"/>
      <c r="W80" s="788"/>
      <c r="X80" s="776"/>
      <c r="Y80" s="788"/>
      <c r="Z80" s="776"/>
      <c r="AA80" s="788"/>
      <c r="AB80" s="776"/>
      <c r="AC80" s="776"/>
      <c r="AD80" s="776"/>
      <c r="AE80" s="776"/>
    </row>
    <row r="81" spans="1:31" ht="12.75">
      <c r="A81" s="776"/>
      <c r="B81" s="776"/>
      <c r="C81" s="776"/>
      <c r="D81" s="682"/>
      <c r="E81" s="774"/>
      <c r="F81" s="682"/>
      <c r="G81" s="774"/>
      <c r="H81" s="776"/>
      <c r="I81" s="776"/>
      <c r="J81" s="776"/>
      <c r="K81" s="776"/>
      <c r="L81" s="788"/>
      <c r="M81" s="776"/>
      <c r="N81" s="776"/>
      <c r="O81" s="788"/>
      <c r="P81" s="776"/>
      <c r="Q81" s="776"/>
      <c r="R81" s="776"/>
      <c r="S81" s="788"/>
      <c r="T81" s="788"/>
      <c r="U81" s="776"/>
      <c r="V81" s="776"/>
      <c r="W81" s="788"/>
      <c r="X81" s="776"/>
      <c r="Y81" s="788"/>
      <c r="Z81" s="776"/>
      <c r="AA81" s="788"/>
      <c r="AB81" s="776"/>
      <c r="AC81" s="776"/>
      <c r="AD81" s="776"/>
      <c r="AE81" s="776"/>
    </row>
    <row r="82" spans="1:31" ht="12.75">
      <c r="A82" s="776"/>
      <c r="B82" s="776"/>
      <c r="C82" s="776"/>
      <c r="D82" s="682"/>
      <c r="E82" s="774"/>
      <c r="F82" s="682"/>
      <c r="G82" s="774"/>
      <c r="H82" s="776"/>
      <c r="I82" s="776"/>
      <c r="J82" s="776"/>
      <c r="K82" s="776"/>
      <c r="L82" s="788"/>
      <c r="M82" s="776"/>
      <c r="N82" s="776"/>
      <c r="O82" s="788"/>
      <c r="P82" s="776"/>
      <c r="Q82" s="776"/>
      <c r="R82" s="776"/>
      <c r="S82" s="788"/>
      <c r="T82" s="788"/>
      <c r="U82" s="776"/>
      <c r="V82" s="776"/>
      <c r="W82" s="788"/>
      <c r="X82" s="776"/>
      <c r="Y82" s="788"/>
      <c r="Z82" s="776"/>
      <c r="AA82" s="788"/>
      <c r="AB82" s="776"/>
      <c r="AC82" s="776"/>
      <c r="AD82" s="776"/>
      <c r="AE82" s="776"/>
    </row>
    <row r="83" spans="1:31" ht="12.75">
      <c r="A83" s="776"/>
      <c r="B83" s="776"/>
      <c r="C83" s="776"/>
      <c r="D83" s="682"/>
      <c r="E83" s="774"/>
      <c r="F83" s="682"/>
      <c r="G83" s="774"/>
      <c r="H83" s="776"/>
      <c r="I83" s="776"/>
      <c r="J83" s="776"/>
      <c r="K83" s="776"/>
      <c r="L83" s="788"/>
      <c r="M83" s="776"/>
      <c r="N83" s="776"/>
      <c r="O83" s="788"/>
      <c r="P83" s="776"/>
      <c r="Q83" s="776"/>
      <c r="R83" s="776"/>
      <c r="S83" s="788"/>
      <c r="T83" s="788"/>
      <c r="U83" s="776"/>
      <c r="V83" s="776"/>
      <c r="W83" s="788"/>
      <c r="X83" s="776"/>
      <c r="Y83" s="788"/>
      <c r="Z83" s="776"/>
      <c r="AA83" s="788"/>
      <c r="AB83" s="776"/>
      <c r="AC83" s="776"/>
      <c r="AD83" s="776"/>
      <c r="AE83" s="776"/>
    </row>
    <row r="84" spans="1:31" ht="12.75">
      <c r="A84" s="776"/>
      <c r="B84" s="776"/>
      <c r="C84" s="776"/>
      <c r="D84" s="682"/>
      <c r="E84" s="774"/>
      <c r="F84" s="682"/>
      <c r="G84" s="774"/>
      <c r="H84" s="776"/>
      <c r="I84" s="776"/>
      <c r="J84" s="776"/>
      <c r="K84" s="776"/>
      <c r="L84" s="788"/>
      <c r="M84" s="776"/>
      <c r="N84" s="776"/>
      <c r="O84" s="788"/>
      <c r="P84" s="776"/>
      <c r="Q84" s="776"/>
      <c r="R84" s="776"/>
      <c r="S84" s="788"/>
      <c r="T84" s="788"/>
      <c r="U84" s="776"/>
      <c r="V84" s="776"/>
      <c r="W84" s="788"/>
      <c r="X84" s="776"/>
      <c r="Y84" s="788"/>
      <c r="Z84" s="776"/>
      <c r="AA84" s="788"/>
      <c r="AB84" s="776"/>
      <c r="AC84" s="776"/>
      <c r="AD84" s="776"/>
      <c r="AE84" s="776"/>
    </row>
    <row r="85" spans="1:31" ht="12.75">
      <c r="A85" s="776"/>
      <c r="B85" s="776"/>
      <c r="C85" s="776"/>
      <c r="D85" s="682"/>
      <c r="E85" s="774"/>
      <c r="F85" s="682"/>
      <c r="G85" s="774"/>
      <c r="H85" s="776"/>
      <c r="I85" s="776"/>
      <c r="J85" s="776"/>
      <c r="K85" s="776"/>
      <c r="L85" s="788"/>
      <c r="M85" s="776"/>
      <c r="N85" s="776"/>
      <c r="O85" s="788"/>
      <c r="P85" s="776"/>
      <c r="Q85" s="776"/>
      <c r="R85" s="776"/>
      <c r="S85" s="788"/>
      <c r="T85" s="788"/>
      <c r="U85" s="776"/>
      <c r="V85" s="776"/>
      <c r="W85" s="788"/>
      <c r="X85" s="776"/>
      <c r="Y85" s="788"/>
      <c r="Z85" s="776"/>
      <c r="AA85" s="788"/>
      <c r="AB85" s="776"/>
      <c r="AC85" s="776"/>
      <c r="AD85" s="776"/>
      <c r="AE85" s="776"/>
    </row>
    <row r="86" spans="1:31" ht="12.75">
      <c r="A86" s="776"/>
      <c r="B86" s="776"/>
      <c r="C86" s="776"/>
      <c r="D86" s="682"/>
      <c r="E86" s="774"/>
      <c r="F86" s="682"/>
      <c r="G86" s="774"/>
      <c r="H86" s="776"/>
      <c r="I86" s="776"/>
      <c r="J86" s="776"/>
      <c r="K86" s="776"/>
      <c r="L86" s="788"/>
      <c r="M86" s="776"/>
      <c r="N86" s="776"/>
      <c r="O86" s="788"/>
      <c r="P86" s="776"/>
      <c r="Q86" s="776"/>
      <c r="R86" s="776"/>
      <c r="S86" s="788"/>
      <c r="T86" s="788"/>
      <c r="U86" s="776"/>
      <c r="V86" s="776"/>
      <c r="W86" s="788"/>
      <c r="X86" s="776"/>
      <c r="Y86" s="788"/>
      <c r="Z86" s="776"/>
      <c r="AA86" s="788"/>
      <c r="AB86" s="776"/>
      <c r="AC86" s="776"/>
      <c r="AD86" s="776"/>
      <c r="AE86" s="776"/>
    </row>
    <row r="87" spans="1:31" ht="12.75">
      <c r="A87" s="776"/>
      <c r="B87" s="776"/>
      <c r="C87" s="776"/>
      <c r="D87" s="682"/>
      <c r="E87" s="774"/>
      <c r="F87" s="682"/>
      <c r="G87" s="774"/>
      <c r="H87" s="776"/>
      <c r="I87" s="776"/>
      <c r="J87" s="776"/>
      <c r="K87" s="776"/>
      <c r="L87" s="788"/>
      <c r="M87" s="776"/>
      <c r="N87" s="776"/>
      <c r="O87" s="788"/>
      <c r="P87" s="776"/>
      <c r="Q87" s="776"/>
      <c r="R87" s="776"/>
      <c r="S87" s="788"/>
      <c r="T87" s="788"/>
      <c r="U87" s="776"/>
      <c r="V87" s="776"/>
      <c r="W87" s="788"/>
      <c r="X87" s="776"/>
      <c r="Y87" s="788"/>
      <c r="Z87" s="776"/>
      <c r="AA87" s="788"/>
      <c r="AB87" s="776"/>
      <c r="AC87" s="776"/>
      <c r="AD87" s="776"/>
      <c r="AE87" s="776"/>
    </row>
  </sheetData>
  <conditionalFormatting sqref="A1:AE1 A3:AE7 A9:AE19 A21:AE29 A31:AE42 A44:AE87">
    <cfRule type="expression" dxfId="24" priority="1">
      <formula>ISODD(COLUMN())</formula>
    </cfRule>
    <cfRule type="expression" dxfId="23" priority="2">
      <formula>ISEVEN(COLUMN())</formula>
    </cfRule>
  </conditionalFormatting>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4C35-0A86-45DA-9884-31AF03BDC192}">
  <sheetPr>
    <tabColor rgb="FF38761D"/>
    <outlinePr summaryBelow="0" summaryRight="0"/>
  </sheetPr>
  <dimension ref="A1:F48"/>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6" width="16.7109375" customWidth="1"/>
  </cols>
  <sheetData>
    <row r="1" spans="1:6" ht="35.25" customHeight="1">
      <c r="A1" s="811" t="s">
        <v>551</v>
      </c>
      <c r="B1" s="653" t="s">
        <v>1227</v>
      </c>
      <c r="C1" s="653" t="s">
        <v>1226</v>
      </c>
      <c r="D1" s="655" t="s">
        <v>1225</v>
      </c>
      <c r="E1" s="653" t="s">
        <v>1015</v>
      </c>
      <c r="F1" s="653" t="s">
        <v>1224</v>
      </c>
    </row>
    <row r="2" spans="1:6" ht="53.25" customHeight="1">
      <c r="A2" s="810" t="s">
        <v>562</v>
      </c>
      <c r="B2" s="660"/>
      <c r="C2" s="660"/>
      <c r="D2" s="660"/>
      <c r="E2" s="660"/>
      <c r="F2" s="660"/>
    </row>
    <row r="3" spans="1:6" ht="15.75" customHeight="1">
      <c r="A3" s="776" t="s">
        <v>563</v>
      </c>
      <c r="B3" s="788">
        <v>10.9</v>
      </c>
      <c r="C3" s="788">
        <v>10.9</v>
      </c>
      <c r="D3" s="776">
        <v>15.7</v>
      </c>
      <c r="E3" s="788">
        <v>29.99</v>
      </c>
      <c r="F3" s="788">
        <v>29.99</v>
      </c>
    </row>
    <row r="4" spans="1:6" ht="15.75" customHeight="1">
      <c r="A4" s="728" t="s">
        <v>564</v>
      </c>
      <c r="B4" s="780">
        <v>10</v>
      </c>
      <c r="C4" s="780">
        <v>10</v>
      </c>
      <c r="D4" s="812">
        <v>14.98</v>
      </c>
      <c r="E4" s="780">
        <v>28.35</v>
      </c>
      <c r="F4" s="780">
        <v>28.35</v>
      </c>
    </row>
    <row r="5" spans="1:6" ht="15.75" customHeight="1">
      <c r="A5" s="728" t="s">
        <v>565</v>
      </c>
      <c r="B5" s="780">
        <v>8</v>
      </c>
      <c r="C5" s="780">
        <v>8</v>
      </c>
      <c r="D5" s="812">
        <v>14.45</v>
      </c>
      <c r="E5" s="780">
        <v>24.2</v>
      </c>
      <c r="F5" s="780">
        <v>24.2</v>
      </c>
    </row>
    <row r="6" spans="1:6" ht="15.75" customHeight="1">
      <c r="A6" s="776" t="s">
        <v>566</v>
      </c>
      <c r="B6" s="788">
        <v>125</v>
      </c>
      <c r="C6" s="788">
        <v>125</v>
      </c>
      <c r="D6" s="776">
        <v>120</v>
      </c>
      <c r="E6" s="788">
        <v>164</v>
      </c>
      <c r="F6" s="788">
        <v>164</v>
      </c>
    </row>
    <row r="7" spans="1:6" ht="15.75" customHeight="1">
      <c r="A7" s="776" t="s">
        <v>567</v>
      </c>
      <c r="B7" s="788">
        <v>0.86</v>
      </c>
      <c r="C7" s="788">
        <v>0.86</v>
      </c>
      <c r="D7" s="776">
        <v>1.02</v>
      </c>
      <c r="E7" s="788">
        <v>1.21</v>
      </c>
      <c r="F7" s="788">
        <v>1.21</v>
      </c>
    </row>
    <row r="8" spans="1:6" ht="20.25" customHeight="1">
      <c r="A8" s="809" t="s">
        <v>568</v>
      </c>
      <c r="B8" s="822"/>
      <c r="C8" s="794"/>
      <c r="D8" s="794"/>
      <c r="E8" s="794"/>
      <c r="F8" s="794"/>
    </row>
    <row r="9" spans="1:6" ht="15.75" customHeight="1">
      <c r="A9" s="776" t="s">
        <v>569</v>
      </c>
      <c r="B9" s="788">
        <v>1500</v>
      </c>
      <c r="C9" s="788">
        <v>1500</v>
      </c>
      <c r="D9" s="776">
        <v>1606</v>
      </c>
      <c r="E9" s="788">
        <v>3200</v>
      </c>
      <c r="F9" s="788">
        <v>3200</v>
      </c>
    </row>
    <row r="10" spans="1:6" ht="15.75" customHeight="1">
      <c r="A10" s="776" t="s">
        <v>570</v>
      </c>
      <c r="B10" s="788">
        <v>0.9</v>
      </c>
      <c r="C10" s="788">
        <v>0.9</v>
      </c>
      <c r="D10" s="776">
        <v>0.8</v>
      </c>
      <c r="E10" s="788">
        <v>1</v>
      </c>
      <c r="F10" s="788">
        <v>1</v>
      </c>
    </row>
    <row r="11" spans="1:6" ht="15.75" customHeight="1">
      <c r="A11" s="776" t="str">
        <f>"Raw acceleration at ignition: [m/s"&amp;CHAR(178)&amp;"]"</f>
        <v>Raw acceleration at ignition: [m/s²]</v>
      </c>
      <c r="B11" s="777">
        <f>B9/B3</f>
        <v>137.61467889908258</v>
      </c>
      <c r="C11" s="777">
        <f>C9/C3</f>
        <v>137.61467889908258</v>
      </c>
      <c r="D11" s="806">
        <f>D9/D3</f>
        <v>102.29299363057325</v>
      </c>
      <c r="E11" s="777">
        <f>E9/E3</f>
        <v>106.70223407802601</v>
      </c>
      <c r="F11" s="777">
        <f>F9/F3</f>
        <v>106.70223407802601</v>
      </c>
    </row>
    <row r="12" spans="1:6" ht="15.75" customHeight="1">
      <c r="A12" s="728" t="s">
        <v>571</v>
      </c>
      <c r="B12" s="781">
        <f>B10*B9/(9.81*(B3-B4))</f>
        <v>152.90519877675834</v>
      </c>
      <c r="C12" s="781">
        <f>C10*C9/(9.81*(C3-C4))</f>
        <v>152.90519877675834</v>
      </c>
      <c r="D12" s="781">
        <f>D10*D9/(9.81*(D3-D4))</f>
        <v>181.90055498924031</v>
      </c>
      <c r="E12" s="781">
        <f>E10*E9/(9.81*(E3-E4))</f>
        <v>198.90107157952349</v>
      </c>
      <c r="F12" s="781">
        <f>F10*F9/(9.81*(F3-F4))</f>
        <v>198.90107157952349</v>
      </c>
    </row>
    <row r="13" spans="1:6" ht="15.75" customHeight="1">
      <c r="A13" s="661" t="s">
        <v>572</v>
      </c>
      <c r="B13" s="678">
        <f>B12*9.81*LN(B3/B4)</f>
        <v>129.26654436157855</v>
      </c>
      <c r="C13" s="678">
        <f>C12*9.81*LN(C3/C4)</f>
        <v>129.26654436157855</v>
      </c>
      <c r="D13" s="678">
        <f>D12*9.81*LN(D3/D4)</f>
        <v>83.770270255437168</v>
      </c>
      <c r="E13" s="678">
        <f>E12*9.81*LN(E3/E4)</f>
        <v>109.73065870664698</v>
      </c>
      <c r="F13" s="678">
        <f>F12*9.81*LN(F3/F4)</f>
        <v>109.73065870664698</v>
      </c>
    </row>
    <row r="14" spans="1:6" ht="15.75" customHeight="1">
      <c r="A14" s="776" t="s">
        <v>574</v>
      </c>
      <c r="B14" s="780">
        <v>40</v>
      </c>
      <c r="C14" s="780">
        <v>40</v>
      </c>
      <c r="D14" s="780">
        <v>37.979999999999997</v>
      </c>
      <c r="E14" s="788">
        <v>470</v>
      </c>
      <c r="F14" s="788">
        <v>470</v>
      </c>
    </row>
    <row r="15" spans="1:6" ht="15.75" customHeight="1">
      <c r="A15" s="776" t="s">
        <v>575</v>
      </c>
      <c r="B15" s="780">
        <v>27</v>
      </c>
      <c r="C15" s="780">
        <v>27</v>
      </c>
      <c r="D15" s="780">
        <v>25</v>
      </c>
      <c r="E15" s="788">
        <v>17.5</v>
      </c>
      <c r="F15" s="788">
        <v>17.5</v>
      </c>
    </row>
    <row r="16" spans="1:6" ht="15.75" customHeight="1">
      <c r="A16" s="728" t="s">
        <v>576</v>
      </c>
      <c r="B16" s="777">
        <f>B15*B14/(9.81*(B4-B5))</f>
        <v>55.045871559633028</v>
      </c>
      <c r="C16" s="777">
        <f>C15*C14/(9.81*(C4-C5))</f>
        <v>55.045871559633028</v>
      </c>
      <c r="D16" s="777">
        <f>D15*D14/(9.81*(D4-D5))</f>
        <v>182.6207374069582</v>
      </c>
      <c r="E16" s="777">
        <f>E15*E14/(9.81*(E4-E5))</f>
        <v>202.03136705844776</v>
      </c>
      <c r="F16" s="777">
        <f>F15*F14/(9.81*(F4-F5))</f>
        <v>202.03136705844776</v>
      </c>
    </row>
    <row r="17" spans="1:6" ht="15.75" customHeight="1">
      <c r="A17" s="728" t="s">
        <v>577</v>
      </c>
      <c r="B17" s="777">
        <f>B16*9.81*LN(B4/B5)</f>
        <v>120.49751770967328</v>
      </c>
      <c r="C17" s="777">
        <f>C16*9.81*LN(C4/C5)</f>
        <v>120.49751770967328</v>
      </c>
      <c r="D17" s="777">
        <f>D16*9.81*LN(D4/D5)</f>
        <v>64.532970891198772</v>
      </c>
      <c r="E17" s="777">
        <f>E16*9.81*LN(E4/E5)</f>
        <v>313.68841335336521</v>
      </c>
      <c r="F17" s="777">
        <f>F16*9.81*LN(F4/F5)</f>
        <v>313.68841335336521</v>
      </c>
    </row>
    <row r="18" spans="1:6" ht="15.75" customHeight="1">
      <c r="A18" s="728" t="s">
        <v>578</v>
      </c>
      <c r="B18" s="692">
        <f>IF(ISNUMBER(B17),B13+B17,B13)</f>
        <v>249.76406207125183</v>
      </c>
      <c r="C18" s="692">
        <f>IF(ISNUMBER(C17),C13+C17,C13)</f>
        <v>249.76406207125183</v>
      </c>
      <c r="D18" s="692">
        <f>IF(ISNUMBER(D17),D13+D17,D13)</f>
        <v>148.30324114663594</v>
      </c>
      <c r="E18" s="692">
        <f>IF(ISNUMBER(E17),E13+E17,E13)</f>
        <v>423.41907206001218</v>
      </c>
      <c r="F18" s="692">
        <f>IF(ISNUMBER(F17),F13+F17,F13)</f>
        <v>423.41907206001218</v>
      </c>
    </row>
    <row r="19" spans="1:6" ht="20.25" customHeight="1">
      <c r="A19" s="817" t="s">
        <v>579</v>
      </c>
      <c r="B19" s="792"/>
      <c r="C19" s="792"/>
      <c r="D19" s="792"/>
      <c r="E19" s="792"/>
      <c r="F19" s="792"/>
    </row>
    <row r="20" spans="1:6" ht="15.75" customHeight="1">
      <c r="A20" s="776" t="s">
        <v>580</v>
      </c>
      <c r="B20" s="776">
        <f>1.25*2.6</f>
        <v>3.25</v>
      </c>
      <c r="C20" s="788">
        <f>1.25*2.6</f>
        <v>3.25</v>
      </c>
      <c r="D20" s="776">
        <f>1.31*3.47</f>
        <v>4.5457000000000001</v>
      </c>
      <c r="E20" s="776">
        <f>1.31*1.53</f>
        <v>2.0043000000000002</v>
      </c>
      <c r="F20" s="776">
        <f>1.31*1.53</f>
        <v>2.0043000000000002</v>
      </c>
    </row>
    <row r="21" spans="1:6" ht="15.75" customHeight="1">
      <c r="A21" s="775" t="s">
        <v>764</v>
      </c>
      <c r="B21" s="790" t="s">
        <v>894</v>
      </c>
      <c r="C21" s="790" t="s">
        <v>894</v>
      </c>
      <c r="D21" s="790" t="s">
        <v>894</v>
      </c>
      <c r="E21" s="790" t="s">
        <v>894</v>
      </c>
      <c r="F21" s="790" t="s">
        <v>894</v>
      </c>
    </row>
    <row r="22" spans="1:6" ht="15.75" customHeight="1">
      <c r="A22" s="776" t="s">
        <v>762</v>
      </c>
      <c r="B22" s="788">
        <v>400</v>
      </c>
      <c r="C22" s="788">
        <v>400</v>
      </c>
      <c r="D22" s="776">
        <v>500</v>
      </c>
      <c r="E22" s="788">
        <v>600</v>
      </c>
      <c r="F22" s="788">
        <v>600</v>
      </c>
    </row>
    <row r="23" spans="1:6" ht="15.75" customHeight="1">
      <c r="A23" s="661" t="s">
        <v>761</v>
      </c>
      <c r="B23" s="788">
        <v>0.1</v>
      </c>
      <c r="C23" s="788">
        <v>0.1</v>
      </c>
      <c r="D23" s="788">
        <v>0.1</v>
      </c>
      <c r="E23" s="788">
        <v>0.1</v>
      </c>
      <c r="F23" s="788">
        <v>0.1</v>
      </c>
    </row>
    <row r="24" spans="1:6" ht="15.75" customHeight="1">
      <c r="A24" s="661" t="s">
        <v>760</v>
      </c>
      <c r="B24" s="788">
        <v>0.05</v>
      </c>
      <c r="C24" s="788">
        <v>0.05</v>
      </c>
      <c r="D24" s="788">
        <v>0.05</v>
      </c>
      <c r="E24" s="788">
        <v>0.05</v>
      </c>
      <c r="F24" s="788">
        <v>0.05</v>
      </c>
    </row>
    <row r="25" spans="1:6" ht="20.25" customHeight="1">
      <c r="A25" s="839" t="s">
        <v>585</v>
      </c>
      <c r="B25" s="816"/>
      <c r="C25" s="816"/>
      <c r="D25" s="816"/>
      <c r="E25" s="816"/>
      <c r="F25" s="816"/>
    </row>
    <row r="26" spans="1:6" ht="15.75" customHeight="1">
      <c r="A26" s="837" t="s">
        <v>586</v>
      </c>
      <c r="B26" s="668" t="s">
        <v>875</v>
      </c>
      <c r="C26" s="668" t="s">
        <v>875</v>
      </c>
      <c r="D26" s="670" t="s">
        <v>875</v>
      </c>
      <c r="E26" s="668" t="s">
        <v>875</v>
      </c>
      <c r="F26" s="668" t="s">
        <v>875</v>
      </c>
    </row>
    <row r="27" spans="1:6" ht="15.75" customHeight="1">
      <c r="A27" s="837" t="s">
        <v>588</v>
      </c>
      <c r="B27" s="662">
        <v>30</v>
      </c>
      <c r="C27" s="662">
        <v>30</v>
      </c>
      <c r="D27" s="664">
        <v>25</v>
      </c>
      <c r="E27" s="664">
        <v>18.5</v>
      </c>
      <c r="F27" s="664">
        <v>18.5</v>
      </c>
    </row>
    <row r="28" spans="1:6" ht="15.75" customHeight="1">
      <c r="A28" s="776" t="s">
        <v>872</v>
      </c>
      <c r="B28" s="788">
        <v>3</v>
      </c>
      <c r="C28" s="788">
        <v>3</v>
      </c>
      <c r="D28" s="776">
        <v>1.8</v>
      </c>
      <c r="E28" s="788">
        <v>3.5</v>
      </c>
      <c r="F28" s="788">
        <v>3.5</v>
      </c>
    </row>
    <row r="29" spans="1:6" ht="15.75" customHeight="1">
      <c r="A29" s="728" t="s">
        <v>1010</v>
      </c>
      <c r="B29" s="788">
        <v>8</v>
      </c>
      <c r="C29" s="788">
        <v>8</v>
      </c>
      <c r="D29" s="776">
        <v>8</v>
      </c>
      <c r="E29" s="788">
        <v>8</v>
      </c>
      <c r="F29" s="788">
        <v>8</v>
      </c>
    </row>
    <row r="30" spans="1:6" ht="24" customHeight="1">
      <c r="A30" s="803" t="s">
        <v>617</v>
      </c>
      <c r="B30" s="791"/>
      <c r="C30" s="791"/>
      <c r="D30" s="791"/>
      <c r="E30" s="791"/>
      <c r="F30" s="791"/>
    </row>
    <row r="31" spans="1:6" ht="15.75" customHeight="1">
      <c r="A31" s="728" t="s">
        <v>868</v>
      </c>
      <c r="B31" s="788">
        <v>0.25</v>
      </c>
      <c r="C31" s="788">
        <v>0.25</v>
      </c>
      <c r="D31" s="788">
        <v>0.25</v>
      </c>
      <c r="E31" s="788">
        <v>0.5</v>
      </c>
      <c r="F31" s="788">
        <v>0.25</v>
      </c>
    </row>
    <row r="32" spans="1:6" ht="15.75" customHeight="1">
      <c r="A32" s="728" t="s">
        <v>986</v>
      </c>
      <c r="B32" s="788">
        <v>3</v>
      </c>
      <c r="C32" s="788">
        <v>3</v>
      </c>
      <c r="D32" s="776">
        <v>3</v>
      </c>
      <c r="E32" s="788">
        <v>10</v>
      </c>
      <c r="F32" s="788">
        <v>3</v>
      </c>
    </row>
    <row r="33" spans="1:6" ht="15.75" customHeight="1">
      <c r="A33" s="728" t="s">
        <v>621</v>
      </c>
      <c r="B33" s="788">
        <v>1.5</v>
      </c>
      <c r="C33" s="788">
        <v>1.5</v>
      </c>
      <c r="D33" s="776">
        <v>3.5</v>
      </c>
      <c r="E33" s="788">
        <v>2.8</v>
      </c>
      <c r="F33" s="788">
        <v>2.8</v>
      </c>
    </row>
    <row r="34" spans="1:6" ht="15.75" customHeight="1">
      <c r="A34" s="776" t="s">
        <v>622</v>
      </c>
      <c r="B34" s="788">
        <v>10</v>
      </c>
      <c r="C34" s="788">
        <v>10</v>
      </c>
      <c r="D34" s="668" t="s">
        <v>293</v>
      </c>
      <c r="E34" s="668" t="s">
        <v>293</v>
      </c>
      <c r="F34" s="668" t="s">
        <v>293</v>
      </c>
    </row>
    <row r="35" spans="1:6" ht="15.75" customHeight="1">
      <c r="A35" s="776" t="s">
        <v>623</v>
      </c>
      <c r="B35" s="788">
        <v>140</v>
      </c>
      <c r="C35" s="788">
        <v>140</v>
      </c>
      <c r="D35" s="776">
        <v>85</v>
      </c>
      <c r="E35" s="788">
        <v>220</v>
      </c>
      <c r="F35" s="788">
        <v>220</v>
      </c>
    </row>
    <row r="36" spans="1:6" ht="15.75" customHeight="1">
      <c r="A36" s="661" t="s">
        <v>629</v>
      </c>
      <c r="B36" s="788">
        <v>30</v>
      </c>
      <c r="C36" s="788">
        <v>30</v>
      </c>
      <c r="D36" s="776">
        <v>30</v>
      </c>
      <c r="E36" s="788">
        <v>100</v>
      </c>
      <c r="F36" s="788">
        <v>100</v>
      </c>
    </row>
    <row r="37" spans="1:6" ht="15.75" customHeight="1">
      <c r="A37" s="776" t="s">
        <v>759</v>
      </c>
      <c r="B37" s="788">
        <v>4</v>
      </c>
      <c r="C37" s="788">
        <v>3.5</v>
      </c>
      <c r="D37" s="776">
        <v>2</v>
      </c>
      <c r="E37" s="788">
        <v>3.5</v>
      </c>
      <c r="F37" s="788">
        <v>3.5</v>
      </c>
    </row>
    <row r="38" spans="1:6" ht="15.75" customHeight="1">
      <c r="A38" s="775" t="s">
        <v>864</v>
      </c>
      <c r="B38" s="706" t="s">
        <v>328</v>
      </c>
      <c r="C38" s="706" t="s">
        <v>328</v>
      </c>
      <c r="D38" s="706" t="s">
        <v>328</v>
      </c>
      <c r="E38" s="706" t="s">
        <v>328</v>
      </c>
      <c r="F38" s="706" t="s">
        <v>328</v>
      </c>
    </row>
    <row r="39" spans="1:6" ht="123.75" customHeight="1">
      <c r="A39" s="722" t="s">
        <v>635</v>
      </c>
      <c r="B39" s="790"/>
      <c r="C39" s="790" t="s">
        <v>1223</v>
      </c>
      <c r="D39" s="815"/>
      <c r="E39" s="790"/>
      <c r="F39" s="790"/>
    </row>
    <row r="40" spans="1:6" ht="83.25" customHeight="1">
      <c r="A40" s="776"/>
      <c r="B40" s="844"/>
      <c r="C40" s="844"/>
      <c r="D40" s="844"/>
      <c r="E40" s="844"/>
      <c r="F40" s="844"/>
    </row>
    <row r="41" spans="1:6" ht="12.75">
      <c r="A41" s="776"/>
      <c r="B41" s="788"/>
      <c r="C41" s="788"/>
      <c r="D41" s="776"/>
      <c r="E41" s="788"/>
      <c r="F41" s="788"/>
    </row>
    <row r="42" spans="1:6" ht="12.75">
      <c r="A42" s="776"/>
      <c r="B42" s="788"/>
      <c r="C42" s="788"/>
      <c r="D42" s="776"/>
      <c r="E42" s="788"/>
      <c r="F42" s="788"/>
    </row>
    <row r="43" spans="1:6" ht="12.75">
      <c r="A43" s="776"/>
      <c r="B43" s="774"/>
      <c r="C43" s="788"/>
      <c r="D43" s="776"/>
      <c r="E43" s="788"/>
      <c r="F43" s="788"/>
    </row>
    <row r="44" spans="1:6" ht="12.75">
      <c r="A44" s="776"/>
      <c r="B44" s="774"/>
      <c r="C44" s="788"/>
      <c r="D44" s="776"/>
      <c r="E44" s="788"/>
      <c r="F44" s="788"/>
    </row>
    <row r="45" spans="1:6" ht="12.75">
      <c r="A45" s="776"/>
      <c r="B45" s="774"/>
      <c r="C45" s="788"/>
      <c r="D45" s="776"/>
      <c r="E45" s="788"/>
      <c r="F45" s="788"/>
    </row>
    <row r="46" spans="1:6" ht="12.75">
      <c r="A46" s="776"/>
      <c r="B46" s="774"/>
      <c r="C46" s="788"/>
      <c r="D46" s="776"/>
      <c r="E46" s="788"/>
      <c r="F46" s="788"/>
    </row>
    <row r="47" spans="1:6" ht="12.75">
      <c r="A47" s="776"/>
      <c r="B47" s="774"/>
      <c r="C47" s="788"/>
      <c r="D47" s="776"/>
      <c r="E47" s="788"/>
      <c r="F47" s="788"/>
    </row>
    <row r="48" spans="1:6" ht="12.75">
      <c r="A48" s="776"/>
      <c r="B48" s="774"/>
      <c r="C48" s="788"/>
      <c r="D48" s="776"/>
      <c r="E48" s="788"/>
      <c r="F48" s="788"/>
    </row>
  </sheetData>
  <conditionalFormatting sqref="A1:F1 A3:F7 A9:F18 A20:F24 A26:F29 A31:F48">
    <cfRule type="expression" dxfId="22" priority="1">
      <formula>ISODD(COLUMN())</formula>
    </cfRule>
    <cfRule type="expression" dxfId="21" priority="2">
      <formula>ISEVEN(COLUMN())</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A8776-8DCE-4016-B824-6511B480EF5F}">
  <sheetPr>
    <tabColor rgb="FF1155CC"/>
    <outlinePr summaryBelow="0" summaryRight="0"/>
  </sheetPr>
  <dimension ref="A1:C10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39.5703125" customWidth="1"/>
    <col min="2" max="2" width="17.5703125" customWidth="1"/>
    <col min="3" max="3" width="19.42578125" customWidth="1"/>
  </cols>
  <sheetData>
    <row r="1" spans="1:3" ht="35.25" customHeight="1">
      <c r="A1" s="811" t="s">
        <v>551</v>
      </c>
      <c r="B1" s="653" t="s">
        <v>1857</v>
      </c>
      <c r="C1" s="653" t="s">
        <v>1856</v>
      </c>
    </row>
    <row r="2" spans="1:3" ht="86.25" customHeight="1">
      <c r="A2" s="810" t="s">
        <v>562</v>
      </c>
      <c r="B2" s="660"/>
      <c r="C2" s="660"/>
    </row>
    <row r="3" spans="1:3" ht="15.75" customHeight="1">
      <c r="A3" s="776" t="s">
        <v>563</v>
      </c>
      <c r="B3" s="788">
        <v>600</v>
      </c>
      <c r="C3" s="788">
        <v>735</v>
      </c>
    </row>
    <row r="4" spans="1:3" ht="15.75" customHeight="1">
      <c r="A4" s="728" t="s">
        <v>564</v>
      </c>
      <c r="B4" s="780">
        <v>587.75</v>
      </c>
      <c r="C4" s="780">
        <v>625</v>
      </c>
    </row>
    <row r="5" spans="1:3" ht="15.75" customHeight="1">
      <c r="A5" s="728" t="s">
        <v>565</v>
      </c>
      <c r="B5" s="812">
        <v>460</v>
      </c>
      <c r="C5" s="812">
        <v>475</v>
      </c>
    </row>
    <row r="6" spans="1:3" ht="15.75" customHeight="1">
      <c r="A6" s="776" t="s">
        <v>566</v>
      </c>
      <c r="B6" s="788">
        <v>345</v>
      </c>
      <c r="C6" s="788">
        <v>350</v>
      </c>
    </row>
    <row r="7" spans="1:3" ht="15.75" customHeight="1">
      <c r="A7" s="776" t="s">
        <v>567</v>
      </c>
      <c r="B7" s="788">
        <v>4.4000000000000004</v>
      </c>
      <c r="C7" s="788">
        <v>4.7</v>
      </c>
    </row>
    <row r="8" spans="1:3" ht="20.25" customHeight="1">
      <c r="A8" s="809" t="s">
        <v>568</v>
      </c>
      <c r="B8" s="794"/>
      <c r="C8" s="794"/>
    </row>
    <row r="9" spans="1:3" ht="15.75" customHeight="1">
      <c r="A9" s="776" t="s">
        <v>569</v>
      </c>
      <c r="B9" s="788">
        <v>26950</v>
      </c>
      <c r="C9" s="788">
        <v>120000</v>
      </c>
    </row>
    <row r="10" spans="1:3" ht="15.75" customHeight="1">
      <c r="A10" s="776" t="s">
        <v>570</v>
      </c>
      <c r="B10" s="788">
        <v>1</v>
      </c>
      <c r="C10" s="788">
        <v>2</v>
      </c>
    </row>
    <row r="11" spans="1:3" ht="15.75" customHeight="1">
      <c r="A11" s="776" t="str">
        <f>"Raw acceleration at ignition: [m/s"&amp;CHAR(178)&amp;"]"</f>
        <v>Raw acceleration at ignition: [m/s²]</v>
      </c>
      <c r="B11" s="777">
        <f>B9/B3</f>
        <v>44.916666666666664</v>
      </c>
      <c r="C11" s="777">
        <f>C9/C3</f>
        <v>163.26530612244898</v>
      </c>
    </row>
    <row r="12" spans="1:3" ht="15.75" customHeight="1">
      <c r="A12" s="728" t="s">
        <v>571</v>
      </c>
      <c r="B12" s="781">
        <f>B10*B9/(9.81*(B3-B4))</f>
        <v>224.26095820591235</v>
      </c>
      <c r="C12" s="781">
        <f>C10*C9/(9.81*(C3-C4))</f>
        <v>222.4075618571031</v>
      </c>
    </row>
    <row r="13" spans="1:3" ht="15.75" customHeight="1">
      <c r="A13" s="661" t="s">
        <v>572</v>
      </c>
      <c r="B13" s="678">
        <f>B12*9.81*LN(B3/B4)</f>
        <v>45.381529151128611</v>
      </c>
      <c r="C13" s="678">
        <f>C12*9.81*LN(C3/C4)</f>
        <v>353.71385340313111</v>
      </c>
    </row>
    <row r="14" spans="1:3" ht="15.75" customHeight="1">
      <c r="A14" s="728" t="s">
        <v>573</v>
      </c>
      <c r="B14" s="790" t="s">
        <v>293</v>
      </c>
      <c r="C14" s="790" t="s">
        <v>293</v>
      </c>
    </row>
    <row r="15" spans="1:3" ht="15.75" customHeight="1">
      <c r="A15" s="776" t="s">
        <v>574</v>
      </c>
      <c r="B15" s="780">
        <v>2810.5</v>
      </c>
      <c r="C15" s="780">
        <v>2900</v>
      </c>
    </row>
    <row r="16" spans="1:3" ht="15.75" customHeight="1">
      <c r="A16" s="776" t="s">
        <v>575</v>
      </c>
      <c r="B16" s="780">
        <v>100</v>
      </c>
      <c r="C16" s="780">
        <v>120</v>
      </c>
    </row>
    <row r="17" spans="1:3" ht="15.75" customHeight="1">
      <c r="A17" s="728" t="s">
        <v>576</v>
      </c>
      <c r="B17" s="777">
        <f>B16*B15/(9.81*(B4-B5))</f>
        <v>224.26095820591235</v>
      </c>
      <c r="C17" s="777">
        <f>C16*C15/(9.81*(C4-C5))</f>
        <v>236.49337410805302</v>
      </c>
    </row>
    <row r="18" spans="1:3" ht="15.75" customHeight="1">
      <c r="A18" s="728" t="s">
        <v>577</v>
      </c>
      <c r="B18" s="777">
        <f>B17*9.81*LN(B4/B5)</f>
        <v>539.16543546148398</v>
      </c>
      <c r="C18" s="777">
        <f>C17*9.81*LN(C4/C5)</f>
        <v>636.69348202808408</v>
      </c>
    </row>
    <row r="19" spans="1:3" ht="15.75" customHeight="1">
      <c r="A19" s="728" t="s">
        <v>578</v>
      </c>
      <c r="B19" s="692">
        <f>IF(ISNUMBER(B18),B13+B18,B13)</f>
        <v>584.54696461261256</v>
      </c>
      <c r="C19" s="692">
        <f>IF(ISNUMBER(C18),C13+C18,C13)</f>
        <v>990.40733543121519</v>
      </c>
    </row>
    <row r="20" spans="1:3" ht="20.25" customHeight="1">
      <c r="A20" s="817" t="s">
        <v>579</v>
      </c>
      <c r="B20" s="792"/>
      <c r="C20" s="792"/>
    </row>
    <row r="21" spans="1:3" ht="15.75" customHeight="1">
      <c r="A21" s="776" t="s">
        <v>580</v>
      </c>
      <c r="B21" s="776">
        <f>56*1.31</f>
        <v>73.36</v>
      </c>
      <c r="C21" s="776">
        <f>80*1.31</f>
        <v>104.80000000000001</v>
      </c>
    </row>
    <row r="22" spans="1:3" ht="15.75" customHeight="1">
      <c r="A22" s="775" t="s">
        <v>764</v>
      </c>
      <c r="B22" s="790" t="s">
        <v>763</v>
      </c>
      <c r="C22" s="790" t="s">
        <v>763</v>
      </c>
    </row>
    <row r="23" spans="1:3" ht="15.75" customHeight="1">
      <c r="A23" s="776" t="s">
        <v>762</v>
      </c>
      <c r="B23" s="788">
        <v>75.004000000000005</v>
      </c>
      <c r="C23" s="788">
        <v>79.72</v>
      </c>
    </row>
    <row r="24" spans="1:3" ht="15.75" customHeight="1">
      <c r="A24" s="661" t="s">
        <v>761</v>
      </c>
      <c r="B24" s="788">
        <v>0.5</v>
      </c>
      <c r="C24" s="788">
        <v>0.5</v>
      </c>
    </row>
    <row r="25" spans="1:3" ht="15.75" customHeight="1">
      <c r="A25" s="661" t="s">
        <v>760</v>
      </c>
      <c r="B25" s="788">
        <v>5</v>
      </c>
      <c r="C25" s="788">
        <v>5</v>
      </c>
    </row>
    <row r="26" spans="1:3" ht="20.25" customHeight="1">
      <c r="A26" s="839" t="s">
        <v>585</v>
      </c>
      <c r="B26" s="816"/>
      <c r="C26" s="816"/>
    </row>
    <row r="27" spans="1:3" ht="15.75" customHeight="1">
      <c r="A27" s="837" t="s">
        <v>586</v>
      </c>
      <c r="B27" s="668" t="s">
        <v>1855</v>
      </c>
      <c r="C27" s="668" t="s">
        <v>1855</v>
      </c>
    </row>
    <row r="28" spans="1:3" ht="15.75" customHeight="1">
      <c r="A28" s="712" t="s">
        <v>587</v>
      </c>
      <c r="B28" s="790" t="s">
        <v>293</v>
      </c>
      <c r="C28" s="790" t="s">
        <v>293</v>
      </c>
    </row>
    <row r="29" spans="1:3" ht="15.75" customHeight="1">
      <c r="A29" s="837" t="s">
        <v>588</v>
      </c>
      <c r="B29" s="662">
        <v>101</v>
      </c>
      <c r="C29" s="662">
        <v>180</v>
      </c>
    </row>
    <row r="30" spans="1:3" ht="15.75" customHeight="1">
      <c r="A30" s="776" t="s">
        <v>872</v>
      </c>
      <c r="B30" s="790" t="s">
        <v>293</v>
      </c>
      <c r="C30" s="790" t="s">
        <v>293</v>
      </c>
    </row>
    <row r="31" spans="1:3" ht="15.75" customHeight="1">
      <c r="A31" s="712" t="s">
        <v>589</v>
      </c>
      <c r="B31" s="788">
        <v>0.5</v>
      </c>
      <c r="C31" s="788">
        <v>1</v>
      </c>
    </row>
    <row r="32" spans="1:3" ht="15.75" customHeight="1">
      <c r="A32" s="712" t="s">
        <v>590</v>
      </c>
      <c r="B32" s="788">
        <v>100</v>
      </c>
      <c r="C32" s="788">
        <v>180</v>
      </c>
    </row>
    <row r="33" spans="1:3" ht="15.75" customHeight="1">
      <c r="A33" s="712" t="s">
        <v>592</v>
      </c>
      <c r="B33" s="788">
        <v>45</v>
      </c>
      <c r="C33" s="788">
        <v>45</v>
      </c>
    </row>
    <row r="34" spans="1:3" ht="15.75" customHeight="1">
      <c r="A34" s="712" t="s">
        <v>593</v>
      </c>
      <c r="B34" s="788">
        <v>20</v>
      </c>
      <c r="C34" s="788">
        <v>20</v>
      </c>
    </row>
    <row r="35" spans="1:3" ht="15.75" customHeight="1">
      <c r="A35" s="712" t="s">
        <v>594</v>
      </c>
      <c r="B35" s="790" t="s">
        <v>328</v>
      </c>
      <c r="C35" s="790" t="s">
        <v>328</v>
      </c>
    </row>
    <row r="36" spans="1:3" ht="15.75" customHeight="1">
      <c r="A36" s="712" t="s">
        <v>595</v>
      </c>
      <c r="B36" s="788">
        <v>15</v>
      </c>
      <c r="C36" s="788">
        <v>15</v>
      </c>
    </row>
    <row r="37" spans="1:3" ht="15.75" customHeight="1">
      <c r="A37" s="712" t="s">
        <v>598</v>
      </c>
      <c r="B37" s="788">
        <v>15</v>
      </c>
      <c r="C37" s="788">
        <v>16</v>
      </c>
    </row>
    <row r="38" spans="1:3" ht="15.75" customHeight="1">
      <c r="A38" s="712" t="s">
        <v>1854</v>
      </c>
      <c r="B38" s="788">
        <v>30</v>
      </c>
      <c r="C38" s="788">
        <v>60</v>
      </c>
    </row>
    <row r="39" spans="1:3" ht="15.75" customHeight="1">
      <c r="A39" s="712" t="s">
        <v>606</v>
      </c>
      <c r="B39" s="788">
        <v>101</v>
      </c>
      <c r="C39" s="788">
        <v>120</v>
      </c>
    </row>
    <row r="40" spans="1:3" ht="15.75" customHeight="1">
      <c r="A40" s="712" t="s">
        <v>649</v>
      </c>
      <c r="B40" s="790" t="s">
        <v>328</v>
      </c>
      <c r="C40" s="790" t="s">
        <v>328</v>
      </c>
    </row>
    <row r="41" spans="1:3" ht="15.75" customHeight="1">
      <c r="A41" s="712" t="s">
        <v>650</v>
      </c>
      <c r="B41" s="780" t="s">
        <v>651</v>
      </c>
      <c r="C41" s="780" t="s">
        <v>833</v>
      </c>
    </row>
    <row r="42" spans="1:3" ht="15.75" customHeight="1">
      <c r="A42" s="661" t="s">
        <v>652</v>
      </c>
      <c r="B42" s="780">
        <v>30</v>
      </c>
      <c r="C42" s="780">
        <v>30</v>
      </c>
    </row>
    <row r="43" spans="1:3" ht="15.75" customHeight="1">
      <c r="A43" s="661" t="s">
        <v>653</v>
      </c>
      <c r="B43" s="790" t="s">
        <v>293</v>
      </c>
      <c r="C43" s="790" t="s">
        <v>293</v>
      </c>
    </row>
    <row r="44" spans="1:3" ht="15.75" customHeight="1">
      <c r="A44" s="661" t="s">
        <v>832</v>
      </c>
      <c r="B44" s="790" t="s">
        <v>293</v>
      </c>
      <c r="C44" s="790" t="s">
        <v>293</v>
      </c>
    </row>
    <row r="45" spans="1:3" ht="15.75" customHeight="1">
      <c r="A45" s="712" t="s">
        <v>656</v>
      </c>
      <c r="B45" s="788">
        <v>-80</v>
      </c>
      <c r="C45" s="788">
        <v>-80</v>
      </c>
    </row>
    <row r="46" spans="1:3" ht="15.75" customHeight="1">
      <c r="A46" s="712" t="s">
        <v>657</v>
      </c>
      <c r="B46" s="788">
        <v>2000</v>
      </c>
      <c r="C46" s="788">
        <v>2000</v>
      </c>
    </row>
    <row r="47" spans="1:3" ht="15.75" customHeight="1">
      <c r="A47" s="712" t="s">
        <v>658</v>
      </c>
      <c r="B47" s="788">
        <v>5</v>
      </c>
      <c r="C47" s="788">
        <v>5</v>
      </c>
    </row>
    <row r="48" spans="1:3" ht="15.75" customHeight="1">
      <c r="A48" s="712" t="s">
        <v>659</v>
      </c>
      <c r="B48" s="788">
        <v>-60</v>
      </c>
      <c r="C48" s="788">
        <v>-60</v>
      </c>
    </row>
    <row r="49" spans="1:3" ht="15.75" customHeight="1">
      <c r="A49" s="712" t="s">
        <v>660</v>
      </c>
      <c r="B49" s="788">
        <v>5</v>
      </c>
      <c r="C49" s="788">
        <v>5</v>
      </c>
    </row>
    <row r="50" spans="1:3" ht="15.75" customHeight="1">
      <c r="A50" s="712" t="s">
        <v>661</v>
      </c>
      <c r="B50" s="788">
        <v>-60</v>
      </c>
      <c r="C50" s="788">
        <v>-60</v>
      </c>
    </row>
    <row r="51" spans="1:3" ht="15.75" customHeight="1">
      <c r="A51" s="712" t="s">
        <v>723</v>
      </c>
      <c r="B51" s="788">
        <v>150</v>
      </c>
      <c r="C51" s="788">
        <v>100</v>
      </c>
    </row>
    <row r="52" spans="1:3" ht="15.75" customHeight="1">
      <c r="A52" s="712" t="s">
        <v>1853</v>
      </c>
      <c r="B52" s="788">
        <v>15000</v>
      </c>
      <c r="C52" s="788">
        <v>15000</v>
      </c>
    </row>
    <row r="53" spans="1:3" ht="15.75" customHeight="1">
      <c r="A53" s="712" t="s">
        <v>1852</v>
      </c>
      <c r="B53" s="788">
        <v>150</v>
      </c>
      <c r="C53" s="788">
        <v>150</v>
      </c>
    </row>
    <row r="54" spans="1:3" ht="15.75" customHeight="1">
      <c r="A54" s="712" t="s">
        <v>725</v>
      </c>
      <c r="B54" s="788">
        <v>75</v>
      </c>
      <c r="C54" s="788">
        <v>50</v>
      </c>
    </row>
    <row r="55" spans="1:3" ht="15.75" customHeight="1">
      <c r="A55" s="712" t="s">
        <v>1851</v>
      </c>
      <c r="B55" s="788">
        <v>750</v>
      </c>
      <c r="C55" s="788">
        <v>750</v>
      </c>
    </row>
    <row r="56" spans="1:3" ht="15.75" customHeight="1">
      <c r="A56" s="661" t="s">
        <v>728</v>
      </c>
      <c r="B56" s="790" t="s">
        <v>293</v>
      </c>
      <c r="C56" s="790" t="s">
        <v>293</v>
      </c>
    </row>
    <row r="57" spans="1:3" ht="15.75" customHeight="1">
      <c r="A57" s="661" t="s">
        <v>667</v>
      </c>
      <c r="B57" s="788">
        <v>0.8</v>
      </c>
      <c r="C57" s="788">
        <v>0.8</v>
      </c>
    </row>
    <row r="58" spans="1:3" ht="15.75" customHeight="1">
      <c r="A58" s="661" t="s">
        <v>668</v>
      </c>
      <c r="B58" s="788">
        <v>0.05</v>
      </c>
      <c r="C58" s="788">
        <v>0.05</v>
      </c>
    </row>
    <row r="59" spans="1:3" ht="15.75" customHeight="1">
      <c r="A59" s="661" t="s">
        <v>669</v>
      </c>
      <c r="B59" s="790" t="s">
        <v>293</v>
      </c>
      <c r="C59" s="790" t="s">
        <v>293</v>
      </c>
    </row>
    <row r="60" spans="1:3" ht="15.75" customHeight="1">
      <c r="A60" s="661" t="s">
        <v>670</v>
      </c>
      <c r="B60" s="790" t="s">
        <v>293</v>
      </c>
      <c r="C60" s="790" t="s">
        <v>293</v>
      </c>
    </row>
    <row r="61" spans="1:3" ht="15.75" customHeight="1">
      <c r="A61" s="661" t="s">
        <v>671</v>
      </c>
      <c r="B61" s="790" t="s">
        <v>293</v>
      </c>
      <c r="C61" s="790" t="s">
        <v>293</v>
      </c>
    </row>
    <row r="62" spans="1:3" ht="15.75" customHeight="1">
      <c r="A62" s="661" t="s">
        <v>672</v>
      </c>
      <c r="B62" s="790" t="s">
        <v>293</v>
      </c>
      <c r="C62" s="790" t="s">
        <v>293</v>
      </c>
    </row>
    <row r="63" spans="1:3" ht="15.75" customHeight="1">
      <c r="A63" s="661" t="s">
        <v>673</v>
      </c>
      <c r="B63" s="790" t="s">
        <v>293</v>
      </c>
      <c r="C63" s="790" t="s">
        <v>293</v>
      </c>
    </row>
    <row r="64" spans="1:3" ht="15.75" customHeight="1">
      <c r="A64" s="661" t="s">
        <v>674</v>
      </c>
      <c r="B64" s="790" t="s">
        <v>293</v>
      </c>
      <c r="C64" s="790" t="s">
        <v>293</v>
      </c>
    </row>
    <row r="65" spans="1:3" ht="15.75" customHeight="1">
      <c r="A65" s="661" t="s">
        <v>675</v>
      </c>
      <c r="B65" s="790" t="s">
        <v>293</v>
      </c>
      <c r="C65" s="790" t="s">
        <v>293</v>
      </c>
    </row>
    <row r="66" spans="1:3" ht="15.75" customHeight="1">
      <c r="A66" s="661" t="s">
        <v>676</v>
      </c>
      <c r="B66" s="790" t="s">
        <v>293</v>
      </c>
      <c r="C66" s="790" t="s">
        <v>293</v>
      </c>
    </row>
    <row r="67" spans="1:3" ht="25.5">
      <c r="A67" s="846" t="s">
        <v>607</v>
      </c>
      <c r="B67" s="788">
        <v>6</v>
      </c>
      <c r="C67" s="788">
        <v>5</v>
      </c>
    </row>
    <row r="68" spans="1:3" ht="15.75" customHeight="1">
      <c r="A68" s="846" t="s">
        <v>608</v>
      </c>
      <c r="B68" s="788">
        <v>1800</v>
      </c>
      <c r="C68" s="788">
        <v>1800</v>
      </c>
    </row>
    <row r="69" spans="1:3" ht="15.75" customHeight="1">
      <c r="A69" s="712" t="s">
        <v>609</v>
      </c>
      <c r="B69" s="788">
        <v>2.9499999999999998E-2</v>
      </c>
      <c r="C69" s="788">
        <v>2.9499999999999998E-2</v>
      </c>
    </row>
    <row r="70" spans="1:3" ht="15.75" customHeight="1">
      <c r="A70" s="712" t="s">
        <v>611</v>
      </c>
      <c r="B70" s="788">
        <v>2.2499999999999999E-2</v>
      </c>
      <c r="C70" s="788">
        <v>2.2499999999999999E-2</v>
      </c>
    </row>
    <row r="71" spans="1:3" ht="15.75" customHeight="1">
      <c r="A71" s="712" t="s">
        <v>613</v>
      </c>
      <c r="B71" s="788">
        <v>1</v>
      </c>
      <c r="C71" s="788">
        <v>1</v>
      </c>
    </row>
    <row r="72" spans="1:3" ht="15.75" customHeight="1">
      <c r="A72" s="712" t="s">
        <v>615</v>
      </c>
      <c r="B72" s="788">
        <v>5.7999999999999996E-3</v>
      </c>
      <c r="C72" s="788">
        <v>5.7999999999999996E-3</v>
      </c>
    </row>
    <row r="73" spans="1:3" ht="24" customHeight="1">
      <c r="A73" s="803" t="s">
        <v>617</v>
      </c>
      <c r="B73" s="791"/>
      <c r="C73" s="791"/>
    </row>
    <row r="74" spans="1:3" ht="15.75" customHeight="1">
      <c r="A74" s="728" t="s">
        <v>868</v>
      </c>
      <c r="B74" s="815" t="s">
        <v>293</v>
      </c>
      <c r="C74" s="815" t="s">
        <v>293</v>
      </c>
    </row>
    <row r="75" spans="1:3" ht="15.75" customHeight="1">
      <c r="A75" s="661" t="s">
        <v>618</v>
      </c>
      <c r="B75" s="788">
        <f>0.15*90</f>
        <v>13.5</v>
      </c>
      <c r="C75" s="788">
        <f>0.15*90</f>
        <v>13.5</v>
      </c>
    </row>
    <row r="76" spans="1:3" ht="15.75" customHeight="1">
      <c r="A76" s="728" t="s">
        <v>621</v>
      </c>
      <c r="B76" s="776">
        <v>2.75</v>
      </c>
      <c r="C76" s="776">
        <v>2.75</v>
      </c>
    </row>
    <row r="77" spans="1:3" ht="15.75" customHeight="1">
      <c r="A77" s="776" t="s">
        <v>622</v>
      </c>
      <c r="B77" s="790" t="s">
        <v>293</v>
      </c>
      <c r="C77" s="790" t="s">
        <v>293</v>
      </c>
    </row>
    <row r="78" spans="1:3" ht="15.75" customHeight="1">
      <c r="A78" s="776" t="s">
        <v>623</v>
      </c>
      <c r="B78" s="788">
        <v>1000</v>
      </c>
      <c r="C78" s="780">
        <v>1000</v>
      </c>
    </row>
    <row r="79" spans="1:3" ht="15.75" customHeight="1">
      <c r="A79" s="661" t="s">
        <v>624</v>
      </c>
      <c r="B79" s="788">
        <v>0.95</v>
      </c>
      <c r="C79" s="788">
        <v>0.95</v>
      </c>
    </row>
    <row r="80" spans="1:3" ht="15.75" customHeight="1">
      <c r="A80" s="661" t="s">
        <v>625</v>
      </c>
      <c r="B80" s="788">
        <v>32</v>
      </c>
      <c r="C80" s="788">
        <v>70</v>
      </c>
    </row>
    <row r="81" spans="1:3" ht="15.75" customHeight="1">
      <c r="A81" s="728" t="s">
        <v>984</v>
      </c>
      <c r="B81" s="815" t="s">
        <v>293</v>
      </c>
      <c r="C81" s="815" t="s">
        <v>293</v>
      </c>
    </row>
    <row r="82" spans="1:3" ht="15.75" customHeight="1">
      <c r="A82" s="661" t="s">
        <v>629</v>
      </c>
      <c r="B82" s="788">
        <v>2000</v>
      </c>
      <c r="C82" s="788">
        <v>2000</v>
      </c>
    </row>
    <row r="83" spans="1:3" ht="15.75" customHeight="1">
      <c r="A83" s="776" t="s">
        <v>759</v>
      </c>
      <c r="B83" s="788">
        <v>34</v>
      </c>
      <c r="C83" s="788">
        <v>70</v>
      </c>
    </row>
    <row r="84" spans="1:3" ht="15.75" customHeight="1">
      <c r="A84" s="661" t="s">
        <v>631</v>
      </c>
      <c r="B84" s="788">
        <v>5</v>
      </c>
      <c r="C84" s="788">
        <v>5</v>
      </c>
    </row>
    <row r="85" spans="1:3" ht="15.75" customHeight="1">
      <c r="A85" s="661" t="s">
        <v>632</v>
      </c>
      <c r="B85" s="788">
        <v>2.5</v>
      </c>
      <c r="C85" s="788">
        <v>2.5</v>
      </c>
    </row>
    <row r="86" spans="1:3" ht="15.75" customHeight="1">
      <c r="A86" s="661" t="s">
        <v>686</v>
      </c>
      <c r="B86" s="790" t="s">
        <v>328</v>
      </c>
      <c r="C86" s="815" t="s">
        <v>324</v>
      </c>
    </row>
    <row r="87" spans="1:3" ht="15.75" customHeight="1">
      <c r="A87" s="661" t="s">
        <v>687</v>
      </c>
      <c r="B87" s="788">
        <v>5</v>
      </c>
      <c r="C87" s="815" t="s">
        <v>293</v>
      </c>
    </row>
    <row r="88" spans="1:3" ht="15.75" customHeight="1">
      <c r="A88" s="661" t="s">
        <v>688</v>
      </c>
      <c r="B88" s="788">
        <v>-5</v>
      </c>
      <c r="C88" s="815" t="s">
        <v>293</v>
      </c>
    </row>
    <row r="89" spans="1:3" ht="15.75" customHeight="1">
      <c r="A89" s="746" t="s">
        <v>689</v>
      </c>
      <c r="B89" s="788">
        <v>2</v>
      </c>
      <c r="C89" s="815" t="s">
        <v>293</v>
      </c>
    </row>
    <row r="90" spans="1:3" ht="15.75" customHeight="1">
      <c r="A90" s="661" t="s">
        <v>1228</v>
      </c>
      <c r="B90" s="815" t="s">
        <v>324</v>
      </c>
      <c r="C90" s="790" t="s">
        <v>328</v>
      </c>
    </row>
    <row r="91" spans="1:3" ht="15.75" customHeight="1">
      <c r="A91" s="661" t="s">
        <v>1850</v>
      </c>
      <c r="B91" s="815" t="s">
        <v>293</v>
      </c>
      <c r="C91" s="788">
        <v>15</v>
      </c>
    </row>
    <row r="92" spans="1:3" ht="15.75" customHeight="1">
      <c r="A92" s="661" t="s">
        <v>1849</v>
      </c>
      <c r="B92" s="815" t="s">
        <v>293</v>
      </c>
      <c r="C92" s="788">
        <v>2.5</v>
      </c>
    </row>
    <row r="93" spans="1:3" ht="123.75" customHeight="1">
      <c r="A93" s="722" t="s">
        <v>635</v>
      </c>
      <c r="B93" s="790"/>
      <c r="C93" s="790" t="s">
        <v>1848</v>
      </c>
    </row>
    <row r="94" spans="1:3" ht="83.25" customHeight="1">
      <c r="A94" s="776"/>
      <c r="B94" s="844"/>
      <c r="C94" s="844"/>
    </row>
    <row r="95" spans="1:3" ht="12.75">
      <c r="A95" s="776"/>
      <c r="B95" s="788"/>
      <c r="C95" s="788"/>
    </row>
    <row r="96" spans="1:3" ht="12.75">
      <c r="A96" s="776"/>
      <c r="B96" s="788"/>
      <c r="C96" s="788"/>
    </row>
    <row r="97" spans="1:3" ht="12.75">
      <c r="A97" s="776"/>
      <c r="B97" s="788"/>
      <c r="C97" s="788"/>
    </row>
    <row r="98" spans="1:3" ht="12.75">
      <c r="A98" s="776"/>
      <c r="B98" s="788"/>
      <c r="C98" s="788"/>
    </row>
    <row r="99" spans="1:3" ht="12.75">
      <c r="A99" s="776"/>
      <c r="B99" s="788"/>
      <c r="C99" s="788"/>
    </row>
    <row r="100" spans="1:3" ht="12.75">
      <c r="A100" s="776"/>
      <c r="B100" s="788"/>
      <c r="C100" s="788"/>
    </row>
    <row r="101" spans="1:3" ht="12.75">
      <c r="A101" s="776"/>
      <c r="B101" s="788"/>
      <c r="C101" s="788"/>
    </row>
    <row r="102" spans="1:3" ht="12.75">
      <c r="A102" s="776"/>
      <c r="B102" s="788"/>
      <c r="C102" s="788"/>
    </row>
  </sheetData>
  <conditionalFormatting sqref="A1:C1 A3:C7 A9:C19 A21:C25 A27:C72 A74:C102">
    <cfRule type="expression" dxfId="20" priority="1">
      <formula>ISODD(COLUMN())</formula>
    </cfRule>
    <cfRule type="expression" dxfId="19" priority="2">
      <formula>ISEVEN(COLUMN())</formula>
    </cfRule>
  </conditionalFormatting>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01564-1192-46A5-896C-80073B18C6E2}">
  <sheetPr>
    <tabColor rgb="FF1C4587"/>
    <outlinePr summaryBelow="0" summaryRight="0"/>
  </sheetPr>
  <dimension ref="A1:E74"/>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2" width="18.7109375" customWidth="1"/>
    <col min="3" max="5" width="16.7109375" customWidth="1"/>
  </cols>
  <sheetData>
    <row r="1" spans="1:5" ht="35.25" customHeight="1">
      <c r="A1" s="811" t="s">
        <v>551</v>
      </c>
      <c r="B1" s="653" t="s">
        <v>1235</v>
      </c>
      <c r="C1" s="653" t="s">
        <v>1234</v>
      </c>
      <c r="D1" s="653" t="s">
        <v>1224</v>
      </c>
      <c r="E1" s="653" t="s">
        <v>1233</v>
      </c>
    </row>
    <row r="2" spans="1:5" ht="86.25" customHeight="1">
      <c r="A2" s="810" t="s">
        <v>562</v>
      </c>
      <c r="B2" s="847"/>
      <c r="C2" s="847"/>
      <c r="D2" s="847"/>
      <c r="E2" s="847"/>
    </row>
    <row r="3" spans="1:5" ht="15.75" customHeight="1">
      <c r="A3" s="776" t="s">
        <v>563</v>
      </c>
      <c r="B3" s="776">
        <v>168</v>
      </c>
      <c r="C3" s="776">
        <v>30</v>
      </c>
      <c r="D3" s="776">
        <v>29.99</v>
      </c>
      <c r="E3" s="776">
        <v>661</v>
      </c>
    </row>
    <row r="4" spans="1:5" ht="15.75" customHeight="1">
      <c r="A4" s="728" t="s">
        <v>564</v>
      </c>
      <c r="B4" s="812">
        <v>110</v>
      </c>
      <c r="C4" s="812">
        <v>29.07</v>
      </c>
      <c r="D4" s="812">
        <v>28.35</v>
      </c>
      <c r="E4" s="812">
        <v>480</v>
      </c>
    </row>
    <row r="5" spans="1:5" ht="15.75" customHeight="1">
      <c r="A5" s="728" t="s">
        <v>565</v>
      </c>
      <c r="B5" s="815" t="s">
        <v>293</v>
      </c>
      <c r="C5" s="815" t="s">
        <v>293</v>
      </c>
      <c r="D5" s="812">
        <v>24.2</v>
      </c>
      <c r="E5" s="815" t="s">
        <v>293</v>
      </c>
    </row>
    <row r="6" spans="1:5" ht="15.75" customHeight="1">
      <c r="A6" s="776" t="s">
        <v>566</v>
      </c>
      <c r="B6" s="812">
        <v>201</v>
      </c>
      <c r="C6" s="812">
        <v>164</v>
      </c>
      <c r="D6" s="812">
        <v>164</v>
      </c>
      <c r="E6" s="812">
        <v>350</v>
      </c>
    </row>
    <row r="7" spans="1:5" ht="15.75" customHeight="1">
      <c r="A7" s="776" t="s">
        <v>567</v>
      </c>
      <c r="B7" s="776">
        <v>3.73</v>
      </c>
      <c r="C7" s="776">
        <v>0.68</v>
      </c>
      <c r="D7" s="776">
        <v>1.21</v>
      </c>
      <c r="E7" s="776">
        <v>8</v>
      </c>
    </row>
    <row r="8" spans="1:5" ht="20.25" customHeight="1">
      <c r="A8" s="809" t="s">
        <v>568</v>
      </c>
      <c r="B8" s="794"/>
      <c r="C8" s="794"/>
      <c r="D8" s="794"/>
      <c r="E8" s="794"/>
    </row>
    <row r="9" spans="1:5" ht="15.75" customHeight="1">
      <c r="A9" s="776" t="s">
        <v>569</v>
      </c>
      <c r="B9" s="776">
        <v>20000</v>
      </c>
      <c r="C9" s="776">
        <v>1800</v>
      </c>
      <c r="D9" s="776">
        <v>3200</v>
      </c>
      <c r="E9" s="776">
        <v>25000</v>
      </c>
    </row>
    <row r="10" spans="1:5" ht="15.75" customHeight="1">
      <c r="A10" s="776" t="s">
        <v>570</v>
      </c>
      <c r="B10" s="776">
        <v>5</v>
      </c>
      <c r="C10" s="776">
        <v>20</v>
      </c>
      <c r="D10" s="776">
        <v>1</v>
      </c>
      <c r="E10" s="776">
        <v>30</v>
      </c>
    </row>
    <row r="11" spans="1:5" ht="15.75" customHeight="1">
      <c r="A11" s="776" t="str">
        <f>"Raw acceleration at ignition: [m/s"&amp;CHAR(178)&amp;"]"</f>
        <v>Raw acceleration at ignition: [m/s²]</v>
      </c>
      <c r="B11" s="806">
        <f>B9/B3</f>
        <v>119.04761904761905</v>
      </c>
      <c r="C11" s="806">
        <f>C9/C3</f>
        <v>60</v>
      </c>
      <c r="D11" s="806">
        <f>D9/D3</f>
        <v>106.70223407802601</v>
      </c>
      <c r="E11" s="806">
        <f>E9/E3</f>
        <v>37.821482602118003</v>
      </c>
    </row>
    <row r="12" spans="1:5" ht="15.75" customHeight="1">
      <c r="A12" s="728" t="s">
        <v>571</v>
      </c>
      <c r="B12" s="781">
        <f>B10*B9/(9.81*(B3-B4))</f>
        <v>175.75310204225104</v>
      </c>
      <c r="C12" s="781">
        <f>C10*C9/(9.81*(C3-C4))</f>
        <v>3945.9406135937666</v>
      </c>
      <c r="D12" s="781">
        <f>D10*D9/(9.81*(D3-D4))</f>
        <v>198.90107157952349</v>
      </c>
      <c r="E12" s="781">
        <f>E10*E9/(9.81*(E3-E4))</f>
        <v>422.39005186949834</v>
      </c>
    </row>
    <row r="13" spans="1:5" ht="15.75" customHeight="1">
      <c r="A13" s="661" t="s">
        <v>572</v>
      </c>
      <c r="B13" s="678">
        <f>B12*9.81*LN(B3/B4)</f>
        <v>730.14416139800471</v>
      </c>
      <c r="C13" s="678">
        <f>C12*9.81*LN(C3/C4)</f>
        <v>1218.9935648272608</v>
      </c>
      <c r="D13" s="678">
        <f>D12*9.81*LN(D3/D4)</f>
        <v>109.73065870664698</v>
      </c>
      <c r="E13" s="678">
        <f>E12*9.81*LN(E3/E4)</f>
        <v>1325.8331600127751</v>
      </c>
    </row>
    <row r="14" spans="1:5" ht="15.75" customHeight="1">
      <c r="A14" s="728" t="s">
        <v>573</v>
      </c>
      <c r="B14" s="815" t="s">
        <v>293</v>
      </c>
      <c r="C14" s="815" t="s">
        <v>293</v>
      </c>
      <c r="D14" s="815" t="s">
        <v>293</v>
      </c>
      <c r="E14" s="678">
        <v>0.5</v>
      </c>
    </row>
    <row r="15" spans="1:5" ht="15.75" customHeight="1">
      <c r="A15" s="776" t="s">
        <v>574</v>
      </c>
      <c r="B15" s="815" t="s">
        <v>293</v>
      </c>
      <c r="C15" s="815" t="s">
        <v>293</v>
      </c>
      <c r="D15" s="812">
        <v>470</v>
      </c>
      <c r="E15" s="815" t="s">
        <v>293</v>
      </c>
    </row>
    <row r="16" spans="1:5" ht="15.75" customHeight="1">
      <c r="A16" s="776" t="s">
        <v>575</v>
      </c>
      <c r="B16" s="815" t="s">
        <v>293</v>
      </c>
      <c r="C16" s="815" t="s">
        <v>293</v>
      </c>
      <c r="D16" s="812">
        <v>17.5</v>
      </c>
      <c r="E16" s="815" t="s">
        <v>293</v>
      </c>
    </row>
    <row r="17" spans="1:5" ht="15.75" customHeight="1">
      <c r="A17" s="728" t="s">
        <v>576</v>
      </c>
      <c r="B17" s="790" t="s">
        <v>293</v>
      </c>
      <c r="C17" s="815" t="s">
        <v>293</v>
      </c>
      <c r="D17" s="777">
        <f>D16*D15/(9.81*(D3-D4))</f>
        <v>511.23791054424396</v>
      </c>
      <c r="E17" s="815" t="s">
        <v>293</v>
      </c>
    </row>
    <row r="18" spans="1:5" ht="15.75" customHeight="1">
      <c r="A18" s="728" t="s">
        <v>577</v>
      </c>
      <c r="B18" s="790" t="s">
        <v>293</v>
      </c>
      <c r="C18" s="815" t="s">
        <v>293</v>
      </c>
      <c r="D18" s="777">
        <f>D17*9.81*LN(D3/D4)</f>
        <v>282.04208370692851</v>
      </c>
      <c r="E18" s="815" t="s">
        <v>293</v>
      </c>
    </row>
    <row r="19" spans="1:5" ht="15.75" customHeight="1">
      <c r="A19" s="728" t="s">
        <v>578</v>
      </c>
      <c r="B19" s="692">
        <f>IF(ISNUMBER(B18),B13+B18,B13)</f>
        <v>730.14416139800471</v>
      </c>
      <c r="C19" s="692">
        <f>IF(ISNUMBER(C18),C13+C18,C13)</f>
        <v>1218.9935648272608</v>
      </c>
      <c r="D19" s="692">
        <f>IF(ISNUMBER(D18),D13+D18,D13)</f>
        <v>391.77274241357549</v>
      </c>
      <c r="E19" s="692">
        <f>IF(ISNUMBER(E18),E13+E18,E13)</f>
        <v>1325.8331600127751</v>
      </c>
    </row>
    <row r="20" spans="1:5" ht="20.25" customHeight="1">
      <c r="A20" s="817" t="s">
        <v>579</v>
      </c>
      <c r="B20" s="792"/>
      <c r="C20" s="792"/>
      <c r="D20" s="792"/>
      <c r="E20" s="792"/>
    </row>
    <row r="21" spans="1:5" ht="15.75" customHeight="1">
      <c r="A21" s="776" t="s">
        <v>580</v>
      </c>
      <c r="B21" s="776">
        <f>1.6*6</f>
        <v>9.6000000000000014</v>
      </c>
      <c r="C21" s="776">
        <f>1*3.47</f>
        <v>3.47</v>
      </c>
      <c r="D21" s="776">
        <f>1.31*1.53</f>
        <v>2.0043000000000002</v>
      </c>
      <c r="E21" s="776">
        <f>1*225</f>
        <v>225</v>
      </c>
    </row>
    <row r="22" spans="1:5" ht="15.75" customHeight="1">
      <c r="A22" s="775" t="s">
        <v>764</v>
      </c>
      <c r="B22" s="815" t="s">
        <v>876</v>
      </c>
      <c r="C22" s="815" t="s">
        <v>894</v>
      </c>
      <c r="D22" s="815" t="s">
        <v>894</v>
      </c>
      <c r="E22" s="815" t="s">
        <v>876</v>
      </c>
    </row>
    <row r="23" spans="1:5" ht="15.75" customHeight="1">
      <c r="A23" s="776" t="s">
        <v>762</v>
      </c>
      <c r="B23" s="776">
        <v>61.6</v>
      </c>
      <c r="C23" s="776">
        <v>600</v>
      </c>
      <c r="D23" s="776">
        <v>600</v>
      </c>
      <c r="E23" s="776">
        <v>90.166666666599994</v>
      </c>
    </row>
    <row r="24" spans="1:5" ht="15.75" customHeight="1">
      <c r="A24" s="775" t="s">
        <v>581</v>
      </c>
      <c r="B24" s="815" t="s">
        <v>328</v>
      </c>
      <c r="C24" s="815" t="s">
        <v>324</v>
      </c>
      <c r="D24" s="815" t="s">
        <v>324</v>
      </c>
      <c r="E24" s="815" t="s">
        <v>324</v>
      </c>
    </row>
    <row r="25" spans="1:5" ht="15.75" customHeight="1">
      <c r="A25" s="776" t="s">
        <v>582</v>
      </c>
      <c r="B25" s="776">
        <v>5</v>
      </c>
      <c r="C25" s="815" t="s">
        <v>293</v>
      </c>
      <c r="D25" s="815" t="s">
        <v>293</v>
      </c>
      <c r="E25" s="815" t="s">
        <v>293</v>
      </c>
    </row>
    <row r="26" spans="1:5" ht="15.75" customHeight="1">
      <c r="A26" s="776" t="s">
        <v>931</v>
      </c>
      <c r="B26" s="776">
        <v>300</v>
      </c>
      <c r="C26" s="815" t="s">
        <v>293</v>
      </c>
      <c r="D26" s="815" t="s">
        <v>293</v>
      </c>
      <c r="E26" s="815" t="s">
        <v>293</v>
      </c>
    </row>
    <row r="27" spans="1:5" ht="15.75" customHeight="1">
      <c r="A27" s="775" t="s">
        <v>583</v>
      </c>
      <c r="B27" s="815" t="s">
        <v>324</v>
      </c>
      <c r="C27" s="815" t="s">
        <v>293</v>
      </c>
      <c r="D27" s="815" t="s">
        <v>293</v>
      </c>
      <c r="E27" s="815" t="s">
        <v>293</v>
      </c>
    </row>
    <row r="28" spans="1:5" ht="15.75" customHeight="1">
      <c r="A28" s="775" t="s">
        <v>930</v>
      </c>
      <c r="B28" s="776">
        <v>25</v>
      </c>
      <c r="C28" s="815" t="s">
        <v>293</v>
      </c>
      <c r="D28" s="815" t="s">
        <v>293</v>
      </c>
      <c r="E28" s="815" t="s">
        <v>293</v>
      </c>
    </row>
    <row r="29" spans="1:5" ht="15.75" customHeight="1">
      <c r="A29" s="661" t="s">
        <v>761</v>
      </c>
      <c r="B29" s="776">
        <v>0.1</v>
      </c>
      <c r="C29" s="776">
        <v>0.1</v>
      </c>
      <c r="D29" s="776">
        <v>0.1</v>
      </c>
      <c r="E29" s="815" t="s">
        <v>293</v>
      </c>
    </row>
    <row r="30" spans="1:5" ht="15.75" customHeight="1">
      <c r="A30" s="661" t="s">
        <v>760</v>
      </c>
      <c r="B30" s="815" t="s">
        <v>293</v>
      </c>
      <c r="C30" s="815" t="s">
        <v>293</v>
      </c>
      <c r="D30" s="776">
        <v>0.05</v>
      </c>
      <c r="E30" s="815" t="s">
        <v>293</v>
      </c>
    </row>
    <row r="31" spans="1:5" ht="20.25" customHeight="1">
      <c r="A31" s="839" t="s">
        <v>585</v>
      </c>
      <c r="B31" s="816"/>
      <c r="C31" s="816"/>
      <c r="D31" s="816"/>
      <c r="E31" s="816"/>
    </row>
    <row r="32" spans="1:5" ht="15.75" customHeight="1">
      <c r="A32" s="837" t="s">
        <v>586</v>
      </c>
      <c r="B32" s="670" t="s">
        <v>874</v>
      </c>
      <c r="C32" s="670" t="s">
        <v>874</v>
      </c>
      <c r="D32" s="670" t="s">
        <v>874</v>
      </c>
      <c r="E32" s="670" t="s">
        <v>874</v>
      </c>
    </row>
    <row r="33" spans="1:5" ht="15.75" customHeight="1">
      <c r="A33" s="712" t="s">
        <v>587</v>
      </c>
      <c r="B33" s="670" t="s">
        <v>293</v>
      </c>
      <c r="C33" s="670" t="s">
        <v>293</v>
      </c>
      <c r="D33" s="664">
        <v>0.25</v>
      </c>
      <c r="E33" s="815" t="s">
        <v>293</v>
      </c>
    </row>
    <row r="34" spans="1:5" ht="15.75" customHeight="1">
      <c r="A34" s="837" t="s">
        <v>588</v>
      </c>
      <c r="B34" s="670" t="s">
        <v>293</v>
      </c>
      <c r="C34" s="670" t="s">
        <v>293</v>
      </c>
      <c r="D34" s="664">
        <v>18.5</v>
      </c>
      <c r="E34" s="815" t="s">
        <v>293</v>
      </c>
    </row>
    <row r="35" spans="1:5" ht="15.75" customHeight="1">
      <c r="A35" s="776" t="s">
        <v>872</v>
      </c>
      <c r="B35" s="776">
        <v>10</v>
      </c>
      <c r="C35" s="776">
        <v>3</v>
      </c>
      <c r="D35" s="776">
        <v>3.5</v>
      </c>
      <c r="E35" s="776">
        <v>14</v>
      </c>
    </row>
    <row r="36" spans="1:5" ht="15.75" customHeight="1">
      <c r="A36" s="728" t="s">
        <v>987</v>
      </c>
      <c r="B36" s="670" t="s">
        <v>293</v>
      </c>
      <c r="C36" s="670" t="s">
        <v>293</v>
      </c>
      <c r="D36" s="776">
        <v>10</v>
      </c>
      <c r="E36" s="815" t="s">
        <v>293</v>
      </c>
    </row>
    <row r="37" spans="1:5" ht="15.75" customHeight="1">
      <c r="A37" s="728" t="s">
        <v>871</v>
      </c>
      <c r="B37" s="670" t="s">
        <v>293</v>
      </c>
      <c r="C37" s="670" t="s">
        <v>293</v>
      </c>
      <c r="D37" s="776">
        <v>30</v>
      </c>
      <c r="E37" s="815" t="s">
        <v>293</v>
      </c>
    </row>
    <row r="38" spans="1:5" ht="15.75" customHeight="1">
      <c r="A38" s="728" t="s">
        <v>870</v>
      </c>
      <c r="B38" s="670" t="s">
        <v>293</v>
      </c>
      <c r="C38" s="670" t="s">
        <v>293</v>
      </c>
      <c r="D38" s="776">
        <v>1</v>
      </c>
      <c r="E38" s="815" t="s">
        <v>293</v>
      </c>
    </row>
    <row r="39" spans="1:5" ht="15.75" customHeight="1">
      <c r="A39" s="728" t="s">
        <v>1010</v>
      </c>
      <c r="B39" s="670" t="s">
        <v>293</v>
      </c>
      <c r="C39" s="776">
        <v>50</v>
      </c>
      <c r="D39" s="670" t="s">
        <v>293</v>
      </c>
      <c r="E39" s="776">
        <v>20</v>
      </c>
    </row>
    <row r="40" spans="1:5" ht="15.75" customHeight="1">
      <c r="A40" s="712" t="s">
        <v>606</v>
      </c>
      <c r="B40" s="815" t="s">
        <v>293</v>
      </c>
      <c r="C40" s="670" t="s">
        <v>293</v>
      </c>
      <c r="D40" s="812">
        <v>3</v>
      </c>
      <c r="E40" s="815" t="s">
        <v>293</v>
      </c>
    </row>
    <row r="41" spans="1:5" ht="15.75" customHeight="1">
      <c r="A41" s="846" t="s">
        <v>608</v>
      </c>
      <c r="B41" s="815" t="s">
        <v>293</v>
      </c>
      <c r="C41" s="815" t="s">
        <v>293</v>
      </c>
      <c r="D41" s="812">
        <v>1800</v>
      </c>
      <c r="E41" s="815" t="s">
        <v>293</v>
      </c>
    </row>
    <row r="42" spans="1:5" ht="15.75" customHeight="1">
      <c r="A42" s="712" t="s">
        <v>609</v>
      </c>
      <c r="B42" s="815" t="s">
        <v>293</v>
      </c>
      <c r="C42" s="815" t="s">
        <v>293</v>
      </c>
      <c r="D42" s="812">
        <v>0.01</v>
      </c>
      <c r="E42" s="815" t="s">
        <v>293</v>
      </c>
    </row>
    <row r="43" spans="1:5" ht="15.75" customHeight="1">
      <c r="A43" s="712" t="s">
        <v>611</v>
      </c>
      <c r="B43" s="815" t="s">
        <v>293</v>
      </c>
      <c r="C43" s="815" t="s">
        <v>293</v>
      </c>
      <c r="D43" s="812">
        <v>0</v>
      </c>
      <c r="E43" s="815" t="s">
        <v>293</v>
      </c>
    </row>
    <row r="44" spans="1:5" ht="15.75" customHeight="1">
      <c r="A44" s="712" t="s">
        <v>613</v>
      </c>
      <c r="B44" s="815" t="s">
        <v>293</v>
      </c>
      <c r="C44" s="815" t="s">
        <v>293</v>
      </c>
      <c r="D44" s="812">
        <v>0</v>
      </c>
      <c r="E44" s="815" t="s">
        <v>293</v>
      </c>
    </row>
    <row r="45" spans="1:5" ht="15.75" customHeight="1">
      <c r="A45" s="712" t="s">
        <v>615</v>
      </c>
      <c r="B45" s="815" t="s">
        <v>293</v>
      </c>
      <c r="C45" s="815" t="s">
        <v>293</v>
      </c>
      <c r="D45" s="812">
        <v>5.0000000000000001E-4</v>
      </c>
      <c r="E45" s="815" t="s">
        <v>293</v>
      </c>
    </row>
    <row r="46" spans="1:5" ht="24" customHeight="1">
      <c r="A46" s="803" t="s">
        <v>617</v>
      </c>
      <c r="B46" s="791"/>
      <c r="C46" s="791"/>
      <c r="D46" s="791"/>
      <c r="E46" s="791"/>
    </row>
    <row r="47" spans="1:5" ht="15.75" customHeight="1">
      <c r="A47" s="728" t="s">
        <v>868</v>
      </c>
      <c r="B47" s="776">
        <v>0.5</v>
      </c>
      <c r="C47" s="670" t="s">
        <v>293</v>
      </c>
      <c r="D47" s="670" t="s">
        <v>293</v>
      </c>
      <c r="E47" s="815" t="s">
        <v>293</v>
      </c>
    </row>
    <row r="48" spans="1:5" ht="15.75" customHeight="1">
      <c r="A48" s="728" t="s">
        <v>621</v>
      </c>
      <c r="B48" s="815" t="s">
        <v>293</v>
      </c>
      <c r="C48" s="670" t="s">
        <v>293</v>
      </c>
      <c r="D48" s="812">
        <v>2.35</v>
      </c>
      <c r="E48" s="815" t="s">
        <v>293</v>
      </c>
    </row>
    <row r="49" spans="1:5" ht="15.75" customHeight="1">
      <c r="A49" s="776" t="s">
        <v>622</v>
      </c>
      <c r="B49" s="670" t="s">
        <v>293</v>
      </c>
      <c r="C49" s="776">
        <v>25</v>
      </c>
      <c r="D49" s="670" t="s">
        <v>293</v>
      </c>
      <c r="E49" s="812">
        <v>200</v>
      </c>
    </row>
    <row r="50" spans="1:5" ht="15.75" customHeight="1">
      <c r="A50" s="776" t="s">
        <v>623</v>
      </c>
      <c r="B50" s="776">
        <v>646</v>
      </c>
      <c r="C50" s="776">
        <v>150</v>
      </c>
      <c r="D50" s="670" t="s">
        <v>293</v>
      </c>
      <c r="E50" s="812">
        <v>319.39999999999998</v>
      </c>
    </row>
    <row r="51" spans="1:5" ht="15.75" customHeight="1">
      <c r="A51" s="661" t="s">
        <v>624</v>
      </c>
      <c r="B51" s="815" t="s">
        <v>293</v>
      </c>
      <c r="C51" s="670" t="s">
        <v>293</v>
      </c>
      <c r="D51" s="812">
        <v>220</v>
      </c>
      <c r="E51" s="670" t="s">
        <v>293</v>
      </c>
    </row>
    <row r="52" spans="1:5" ht="15.75" customHeight="1">
      <c r="A52" s="661" t="s">
        <v>625</v>
      </c>
      <c r="B52" s="780">
        <v>10</v>
      </c>
      <c r="C52" s="670" t="s">
        <v>293</v>
      </c>
      <c r="D52" s="670" t="s">
        <v>293</v>
      </c>
      <c r="E52" s="670" t="s">
        <v>293</v>
      </c>
    </row>
    <row r="53" spans="1:5" ht="15.75" customHeight="1">
      <c r="A53" s="728" t="s">
        <v>984</v>
      </c>
      <c r="B53" s="670" t="s">
        <v>293</v>
      </c>
      <c r="C53" s="670" t="s">
        <v>293</v>
      </c>
      <c r="D53" s="780">
        <v>3</v>
      </c>
      <c r="E53" s="670" t="s">
        <v>293</v>
      </c>
    </row>
    <row r="54" spans="1:5" ht="15.75" customHeight="1">
      <c r="A54" s="661" t="s">
        <v>629</v>
      </c>
      <c r="B54" s="776">
        <v>3000</v>
      </c>
      <c r="C54" s="776">
        <v>30</v>
      </c>
      <c r="D54" s="776">
        <v>100</v>
      </c>
      <c r="E54" s="776">
        <v>3000</v>
      </c>
    </row>
    <row r="55" spans="1:5" ht="15.75" customHeight="1">
      <c r="A55" s="776" t="s">
        <v>759</v>
      </c>
      <c r="B55" s="776">
        <v>10</v>
      </c>
      <c r="C55" s="776">
        <v>6.5</v>
      </c>
      <c r="D55" s="776">
        <v>3.5</v>
      </c>
      <c r="E55" s="776">
        <v>15</v>
      </c>
    </row>
    <row r="56" spans="1:5" ht="15.75" customHeight="1">
      <c r="A56" s="661" t="s">
        <v>631</v>
      </c>
      <c r="B56" s="670" t="s">
        <v>293</v>
      </c>
      <c r="C56" s="670" t="s">
        <v>293</v>
      </c>
      <c r="D56" s="776">
        <v>3</v>
      </c>
      <c r="E56" s="670" t="s">
        <v>293</v>
      </c>
    </row>
    <row r="57" spans="1:5" ht="15.75" customHeight="1">
      <c r="A57" s="661" t="s">
        <v>756</v>
      </c>
      <c r="B57" s="670" t="s">
        <v>293</v>
      </c>
      <c r="C57" s="670" t="s">
        <v>293</v>
      </c>
      <c r="D57" s="812" t="s">
        <v>1232</v>
      </c>
      <c r="E57" s="670" t="s">
        <v>293</v>
      </c>
    </row>
    <row r="58" spans="1:5" ht="15.75" customHeight="1">
      <c r="A58" s="661" t="s">
        <v>756</v>
      </c>
      <c r="B58" s="670" t="s">
        <v>293</v>
      </c>
      <c r="C58" s="670" t="s">
        <v>293</v>
      </c>
      <c r="D58" s="812" t="s">
        <v>1231</v>
      </c>
      <c r="E58" s="670" t="s">
        <v>293</v>
      </c>
    </row>
    <row r="59" spans="1:5" ht="15.75" customHeight="1">
      <c r="A59" s="661" t="s">
        <v>756</v>
      </c>
      <c r="B59" s="670" t="s">
        <v>293</v>
      </c>
      <c r="C59" s="670" t="s">
        <v>293</v>
      </c>
      <c r="D59" s="812" t="s">
        <v>1230</v>
      </c>
      <c r="E59" s="670" t="s">
        <v>293</v>
      </c>
    </row>
    <row r="60" spans="1:5" ht="15.75" customHeight="1">
      <c r="A60" s="661" t="s">
        <v>756</v>
      </c>
      <c r="B60" s="670" t="s">
        <v>293</v>
      </c>
      <c r="C60" s="670" t="s">
        <v>293</v>
      </c>
      <c r="D60" s="812" t="s">
        <v>1229</v>
      </c>
      <c r="E60" s="670" t="s">
        <v>293</v>
      </c>
    </row>
    <row r="61" spans="1:5" ht="15.75" customHeight="1">
      <c r="A61" s="776" t="s">
        <v>633</v>
      </c>
      <c r="B61" s="815" t="s">
        <v>324</v>
      </c>
      <c r="C61" s="815" t="s">
        <v>324</v>
      </c>
      <c r="D61" s="815" t="s">
        <v>328</v>
      </c>
      <c r="E61" s="815" t="s">
        <v>324</v>
      </c>
    </row>
    <row r="62" spans="1:5" ht="15.75" customHeight="1">
      <c r="A62" s="776" t="s">
        <v>634</v>
      </c>
      <c r="B62" s="670" t="s">
        <v>293</v>
      </c>
      <c r="C62" s="670" t="s">
        <v>293</v>
      </c>
      <c r="D62" s="812" t="s">
        <v>1000</v>
      </c>
      <c r="E62" s="670" t="s">
        <v>293</v>
      </c>
    </row>
    <row r="63" spans="1:5" ht="15.75" customHeight="1">
      <c r="A63" s="661" t="s">
        <v>1228</v>
      </c>
      <c r="B63" s="815" t="s">
        <v>324</v>
      </c>
      <c r="C63" s="815" t="s">
        <v>324</v>
      </c>
      <c r="D63" s="815" t="s">
        <v>324</v>
      </c>
      <c r="E63" s="815" t="s">
        <v>324</v>
      </c>
    </row>
    <row r="64" spans="1:5" ht="15.75" customHeight="1">
      <c r="A64" s="775" t="s">
        <v>864</v>
      </c>
      <c r="B64" s="815" t="s">
        <v>324</v>
      </c>
      <c r="C64" s="815" t="s">
        <v>324</v>
      </c>
      <c r="D64" s="815" t="s">
        <v>328</v>
      </c>
      <c r="E64" s="815" t="s">
        <v>324</v>
      </c>
    </row>
    <row r="65" spans="1:5" ht="123.75" customHeight="1">
      <c r="A65" s="722" t="s">
        <v>635</v>
      </c>
      <c r="B65" s="815"/>
      <c r="C65" s="815"/>
      <c r="D65" s="815"/>
      <c r="E65" s="815"/>
    </row>
    <row r="66" spans="1:5" ht="83.25" customHeight="1">
      <c r="A66" s="776"/>
      <c r="B66" s="844"/>
      <c r="C66" s="844"/>
      <c r="D66" s="844"/>
      <c r="E66" s="844"/>
    </row>
    <row r="67" spans="1:5" ht="12.75">
      <c r="A67" s="776"/>
      <c r="B67" s="776"/>
      <c r="C67" s="776"/>
      <c r="D67" s="776"/>
      <c r="E67" s="776"/>
    </row>
    <row r="68" spans="1:5" ht="12.75">
      <c r="A68" s="776"/>
      <c r="B68" s="776"/>
      <c r="C68" s="776"/>
      <c r="D68" s="776"/>
      <c r="E68" s="776"/>
    </row>
    <row r="69" spans="1:5" ht="12.75">
      <c r="A69" s="776"/>
      <c r="B69" s="776"/>
      <c r="C69" s="776"/>
      <c r="D69" s="776"/>
      <c r="E69" s="776"/>
    </row>
    <row r="70" spans="1:5" ht="12.75">
      <c r="A70" s="776"/>
      <c r="B70" s="776"/>
      <c r="C70" s="776"/>
      <c r="D70" s="776"/>
      <c r="E70" s="776"/>
    </row>
    <row r="71" spans="1:5" ht="12.75">
      <c r="A71" s="776"/>
      <c r="B71" s="776"/>
      <c r="C71" s="776"/>
      <c r="D71" s="776"/>
      <c r="E71" s="776"/>
    </row>
    <row r="72" spans="1:5" ht="12.75">
      <c r="A72" s="776"/>
      <c r="B72" s="776"/>
      <c r="C72" s="776"/>
      <c r="D72" s="776"/>
      <c r="E72" s="776"/>
    </row>
    <row r="73" spans="1:5" ht="12.75">
      <c r="A73" s="776"/>
      <c r="B73" s="776"/>
      <c r="C73" s="776"/>
      <c r="D73" s="776"/>
      <c r="E73" s="776"/>
    </row>
    <row r="74" spans="1:5" ht="12.75">
      <c r="A74" s="776"/>
      <c r="B74" s="776"/>
      <c r="C74" s="776"/>
      <c r="D74" s="776"/>
      <c r="E74" s="776"/>
    </row>
  </sheetData>
  <conditionalFormatting sqref="A1:E1 A3:E7 A9:E19 A21:E30 A32:E45 A47:E74">
    <cfRule type="expression" dxfId="18" priority="1">
      <formula>ISODD(COLUMN())</formula>
    </cfRule>
    <cfRule type="expression" dxfId="17" priority="2">
      <formula>ISEVEN(COLUMN())</formula>
    </cfRule>
  </conditionalFormatting>
  <conditionalFormatting sqref="E1">
    <cfRule type="notContainsBlanks" dxfId="16" priority="3">
      <formula>LEN(TRIM(E1))&gt;0</formula>
    </cfRule>
  </conditionalFormatting>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E8571-19BB-4201-AC52-19E9BC07820A}">
  <sheetPr>
    <tabColor rgb="FF7F6000"/>
    <outlinePr summaryBelow="0" summaryRight="0"/>
  </sheetPr>
  <dimension ref="A1:C77"/>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2" customWidth="1"/>
    <col min="2" max="3" width="16.7109375" customWidth="1"/>
  </cols>
  <sheetData>
    <row r="1" spans="1:3" ht="35.25" customHeight="1">
      <c r="A1" s="811" t="s">
        <v>551</v>
      </c>
      <c r="B1" s="653" t="s">
        <v>1237</v>
      </c>
      <c r="C1" s="653" t="s">
        <v>1236</v>
      </c>
    </row>
    <row r="2" spans="1:3" ht="53.25" customHeight="1">
      <c r="A2" s="810" t="s">
        <v>562</v>
      </c>
      <c r="B2" s="659"/>
      <c r="C2" s="659"/>
    </row>
    <row r="3" spans="1:3" ht="15.75" customHeight="1">
      <c r="A3" s="728" t="s">
        <v>563</v>
      </c>
      <c r="B3" s="662">
        <v>9.8000000000000007</v>
      </c>
      <c r="C3" s="662">
        <v>10.77</v>
      </c>
    </row>
    <row r="4" spans="1:3" ht="15.75" customHeight="1">
      <c r="A4" s="728" t="s">
        <v>564</v>
      </c>
      <c r="B4" s="662">
        <v>7.3</v>
      </c>
      <c r="C4" s="662">
        <v>7.6849999999999996</v>
      </c>
    </row>
    <row r="5" spans="1:3" ht="15.75" customHeight="1">
      <c r="A5" s="728" t="s">
        <v>565</v>
      </c>
      <c r="B5" s="662">
        <v>5.6</v>
      </c>
      <c r="C5" s="662">
        <v>5.7</v>
      </c>
    </row>
    <row r="6" spans="1:3" ht="15.75" customHeight="1">
      <c r="A6" s="728" t="s">
        <v>566</v>
      </c>
      <c r="B6" s="662">
        <v>72</v>
      </c>
      <c r="C6" s="662">
        <v>71</v>
      </c>
    </row>
    <row r="7" spans="1:3" ht="15.75" customHeight="1">
      <c r="A7" s="728" t="s">
        <v>567</v>
      </c>
      <c r="B7" s="662">
        <v>1.44</v>
      </c>
      <c r="C7" s="662">
        <v>1.4950000000000001</v>
      </c>
    </row>
    <row r="8" spans="1:3" ht="20.25" customHeight="1">
      <c r="A8" s="809" t="s">
        <v>568</v>
      </c>
      <c r="B8" s="673"/>
      <c r="C8" s="673"/>
    </row>
    <row r="9" spans="1:3" ht="15.75" customHeight="1">
      <c r="A9" s="728" t="s">
        <v>569</v>
      </c>
      <c r="B9" s="662">
        <v>2000</v>
      </c>
      <c r="C9" s="662">
        <v>2910</v>
      </c>
    </row>
    <row r="10" spans="1:3" ht="16.5" customHeight="1">
      <c r="A10" s="728" t="s">
        <v>570</v>
      </c>
      <c r="B10" s="662">
        <v>2.2999999999999998</v>
      </c>
      <c r="C10" s="662">
        <v>2</v>
      </c>
    </row>
    <row r="11" spans="1:3" ht="15.75" customHeight="1">
      <c r="A11" s="728" t="str">
        <f>"Raw acceleration at ignition: [m/s"&amp;CHAR(178)&amp;"]"</f>
        <v>Raw acceleration at ignition: [m/s²]</v>
      </c>
      <c r="B11" s="676">
        <f>B9/B3</f>
        <v>204.08163265306121</v>
      </c>
      <c r="C11" s="676">
        <f>C9/C3</f>
        <v>270.19498607242343</v>
      </c>
    </row>
    <row r="12" spans="1:3" ht="15.75" customHeight="1">
      <c r="A12" s="728" t="s">
        <v>571</v>
      </c>
      <c r="B12" s="676">
        <f>B10*B9/(9.81*(B3-B4))</f>
        <v>187.56371049949024</v>
      </c>
      <c r="C12" s="676">
        <f>C10*C9/(9.81*(C3-C4))</f>
        <v>192.30864546315158</v>
      </c>
    </row>
    <row r="13" spans="1:3" ht="15.75" customHeight="1">
      <c r="A13" s="661" t="s">
        <v>572</v>
      </c>
      <c r="B13" s="676">
        <f>B12*9.81*LN(B3/B4)</f>
        <v>541.8947890408125</v>
      </c>
      <c r="C13" s="676">
        <f>C12*9.81*LN(C3/C4)</f>
        <v>636.69878266270189</v>
      </c>
    </row>
    <row r="14" spans="1:3" ht="15.75" customHeight="1">
      <c r="A14" s="728" t="s">
        <v>573</v>
      </c>
      <c r="B14" s="676">
        <v>0.3</v>
      </c>
      <c r="C14" s="676">
        <v>0.4</v>
      </c>
    </row>
    <row r="15" spans="1:3" ht="16.5" customHeight="1">
      <c r="A15" s="776" t="s">
        <v>574</v>
      </c>
      <c r="B15" s="662">
        <v>645</v>
      </c>
      <c r="C15" s="662">
        <v>723</v>
      </c>
    </row>
    <row r="16" spans="1:3" ht="18" customHeight="1">
      <c r="A16" s="776" t="s">
        <v>575</v>
      </c>
      <c r="B16" s="662">
        <v>6.2</v>
      </c>
      <c r="C16" s="662">
        <v>6</v>
      </c>
    </row>
    <row r="17" spans="1:3" ht="18" customHeight="1">
      <c r="A17" s="728" t="s">
        <v>576</v>
      </c>
      <c r="B17" s="777">
        <f>B16*B15/(9.81*(B4-B5))</f>
        <v>239.79132937578697</v>
      </c>
      <c r="C17" s="777">
        <f>C16*C15/(9.81*(C4-C5))</f>
        <v>222.77170522034532</v>
      </c>
    </row>
    <row r="18" spans="1:3" ht="18" customHeight="1">
      <c r="A18" s="728" t="s">
        <v>577</v>
      </c>
      <c r="B18" s="777">
        <f>B17*9.81*LN(B4/B5)</f>
        <v>623.62699641326719</v>
      </c>
      <c r="C18" s="777">
        <f>C17*9.81*LN(C4/C5)</f>
        <v>653.00384328812959</v>
      </c>
    </row>
    <row r="19" spans="1:3" ht="18" customHeight="1">
      <c r="A19" s="728" t="s">
        <v>578</v>
      </c>
      <c r="B19" s="676">
        <f>IF(ISNUMBER(B18),B13+B18,B13)</f>
        <v>1165.5217854540797</v>
      </c>
      <c r="C19" s="676">
        <f>IF(ISNUMBER(C18),C13+C18,C13)</f>
        <v>1289.7026259508316</v>
      </c>
    </row>
    <row r="20" spans="1:3" ht="20.25" customHeight="1">
      <c r="A20" s="805" t="s">
        <v>579</v>
      </c>
      <c r="B20" s="697"/>
      <c r="C20" s="697"/>
    </row>
    <row r="21" spans="1:3" ht="15.75" customHeight="1">
      <c r="A21" s="728" t="s">
        <v>580</v>
      </c>
      <c r="B21" s="662">
        <f>1.54*0.37</f>
        <v>0.56979999999999997</v>
      </c>
      <c r="C21" s="662">
        <f>1.54*0.5</f>
        <v>0.77</v>
      </c>
    </row>
    <row r="22" spans="1:3" ht="15.75" customHeight="1">
      <c r="A22" s="775" t="s">
        <v>764</v>
      </c>
      <c r="B22" s="668" t="s">
        <v>763</v>
      </c>
      <c r="C22" s="668" t="s">
        <v>763</v>
      </c>
    </row>
    <row r="23" spans="1:3" ht="15.75" customHeight="1">
      <c r="A23" s="776" t="s">
        <v>762</v>
      </c>
      <c r="B23" s="662">
        <v>28</v>
      </c>
      <c r="C23" s="662">
        <v>28</v>
      </c>
    </row>
    <row r="24" spans="1:3" ht="15.75" customHeight="1">
      <c r="A24" s="728" t="s">
        <v>581</v>
      </c>
      <c r="B24" s="668" t="s">
        <v>324</v>
      </c>
      <c r="C24" s="668" t="s">
        <v>324</v>
      </c>
    </row>
    <row r="25" spans="1:3" ht="15.75" customHeight="1">
      <c r="A25" s="661" t="s">
        <v>761</v>
      </c>
      <c r="B25" s="662">
        <v>0.1</v>
      </c>
      <c r="C25" s="662">
        <v>0.1</v>
      </c>
    </row>
    <row r="26" spans="1:3" ht="15.75" customHeight="1">
      <c r="A26" s="661" t="s">
        <v>760</v>
      </c>
      <c r="B26" s="662">
        <v>1</v>
      </c>
      <c r="C26" s="662">
        <v>1</v>
      </c>
    </row>
    <row r="27" spans="1:3" ht="20.25" customHeight="1">
      <c r="A27" s="804" t="s">
        <v>585</v>
      </c>
      <c r="B27" s="702"/>
      <c r="C27" s="702"/>
    </row>
    <row r="28" spans="1:3" ht="15.75" customHeight="1">
      <c r="A28" s="728" t="s">
        <v>586</v>
      </c>
      <c r="B28" s="668" t="s">
        <v>323</v>
      </c>
      <c r="C28" s="668" t="s">
        <v>323</v>
      </c>
    </row>
    <row r="29" spans="1:3" ht="15.75" customHeight="1">
      <c r="A29" s="728" t="s">
        <v>587</v>
      </c>
      <c r="B29" s="662">
        <v>0.25</v>
      </c>
      <c r="C29" s="662">
        <v>0.25</v>
      </c>
    </row>
    <row r="30" spans="1:3" ht="15.75" customHeight="1">
      <c r="A30" s="728" t="s">
        <v>588</v>
      </c>
      <c r="B30" s="662">
        <v>14</v>
      </c>
      <c r="C30" s="662">
        <v>16</v>
      </c>
    </row>
    <row r="31" spans="1:3" ht="15.75" customHeight="1">
      <c r="A31" s="728" t="s">
        <v>589</v>
      </c>
      <c r="B31" s="662">
        <v>4</v>
      </c>
      <c r="C31" s="662">
        <v>4</v>
      </c>
    </row>
    <row r="32" spans="1:3" ht="15.75" customHeight="1">
      <c r="A32" s="728" t="s">
        <v>590</v>
      </c>
      <c r="B32" s="662">
        <v>60</v>
      </c>
      <c r="C32" s="662">
        <v>60</v>
      </c>
    </row>
    <row r="33" spans="1:3" ht="15.75" customHeight="1">
      <c r="A33" s="728" t="s">
        <v>591</v>
      </c>
      <c r="B33" s="662">
        <v>1.5</v>
      </c>
      <c r="C33" s="662">
        <v>3</v>
      </c>
    </row>
    <row r="34" spans="1:3" ht="15.75" customHeight="1">
      <c r="A34" s="728" t="s">
        <v>592</v>
      </c>
      <c r="B34" s="662">
        <v>40</v>
      </c>
      <c r="C34" s="662">
        <v>40</v>
      </c>
    </row>
    <row r="35" spans="1:3" ht="15.75" customHeight="1">
      <c r="A35" s="728" t="s">
        <v>593</v>
      </c>
      <c r="B35" s="662">
        <v>12</v>
      </c>
      <c r="C35" s="662">
        <v>12</v>
      </c>
    </row>
    <row r="36" spans="1:3" ht="17.25" customHeight="1">
      <c r="A36" s="728" t="s">
        <v>594</v>
      </c>
      <c r="B36" s="668" t="s">
        <v>328</v>
      </c>
      <c r="C36" s="668" t="s">
        <v>328</v>
      </c>
    </row>
    <row r="37" spans="1:3" ht="17.25" customHeight="1">
      <c r="A37" s="728" t="s">
        <v>595</v>
      </c>
      <c r="B37" s="662">
        <v>15</v>
      </c>
      <c r="C37" s="662">
        <v>15</v>
      </c>
    </row>
    <row r="38" spans="1:3" ht="31.5" customHeight="1">
      <c r="A38" s="776" t="s">
        <v>596</v>
      </c>
      <c r="B38" s="662">
        <v>5</v>
      </c>
      <c r="C38" s="662">
        <v>5</v>
      </c>
    </row>
    <row r="39" spans="1:3" ht="15.75" customHeight="1">
      <c r="A39" s="728" t="s">
        <v>597</v>
      </c>
      <c r="B39" s="662">
        <v>7.4</v>
      </c>
      <c r="C39" s="662">
        <v>11</v>
      </c>
    </row>
    <row r="40" spans="1:3" ht="15.75" customHeight="1">
      <c r="A40" s="728" t="s">
        <v>598</v>
      </c>
      <c r="B40" s="662">
        <v>2</v>
      </c>
      <c r="C40" s="662">
        <v>6</v>
      </c>
    </row>
    <row r="41" spans="1:3" ht="15.75" customHeight="1">
      <c r="A41" s="728" t="s">
        <v>1112</v>
      </c>
      <c r="B41" s="662">
        <v>7.4</v>
      </c>
      <c r="C41" s="662">
        <v>11</v>
      </c>
    </row>
    <row r="42" spans="1:3" ht="15.75" customHeight="1">
      <c r="A42" s="728" t="s">
        <v>600</v>
      </c>
      <c r="B42" s="662">
        <v>7.4</v>
      </c>
      <c r="C42" s="668" t="s">
        <v>293</v>
      </c>
    </row>
    <row r="43" spans="1:3" ht="15.75" customHeight="1">
      <c r="A43" s="728" t="s">
        <v>286</v>
      </c>
      <c r="B43" s="668" t="s">
        <v>293</v>
      </c>
      <c r="C43" s="664">
        <v>1</v>
      </c>
    </row>
    <row r="44" spans="1:3" ht="15.75" customHeight="1">
      <c r="A44" s="837" t="s">
        <v>287</v>
      </c>
      <c r="B44" s="662">
        <v>3</v>
      </c>
      <c r="C44" s="662">
        <v>6</v>
      </c>
    </row>
    <row r="45" spans="1:3" ht="15.75" customHeight="1">
      <c r="A45" s="728" t="s">
        <v>601</v>
      </c>
      <c r="B45" s="668" t="s">
        <v>328</v>
      </c>
      <c r="C45" s="668" t="s">
        <v>328</v>
      </c>
    </row>
    <row r="46" spans="1:3" ht="29.25" customHeight="1">
      <c r="A46" s="728" t="s">
        <v>602</v>
      </c>
      <c r="B46" s="790" t="s">
        <v>367</v>
      </c>
      <c r="C46" s="790" t="s">
        <v>367</v>
      </c>
    </row>
    <row r="47" spans="1:3" ht="15.75" customHeight="1">
      <c r="A47" s="728" t="s">
        <v>603</v>
      </c>
      <c r="B47" s="662">
        <v>1.25</v>
      </c>
      <c r="C47" s="662">
        <v>1.25</v>
      </c>
    </row>
    <row r="48" spans="1:3" ht="15.75" customHeight="1">
      <c r="A48" s="661" t="s">
        <v>604</v>
      </c>
      <c r="B48" s="668" t="s">
        <v>293</v>
      </c>
      <c r="C48" s="668" t="s">
        <v>293</v>
      </c>
    </row>
    <row r="49" spans="1:3" ht="15.75" customHeight="1">
      <c r="A49" s="661" t="s">
        <v>605</v>
      </c>
      <c r="B49" s="668" t="s">
        <v>293</v>
      </c>
      <c r="C49" s="668" t="s">
        <v>293</v>
      </c>
    </row>
    <row r="50" spans="1:3" ht="15.75" customHeight="1">
      <c r="A50" s="835" t="s">
        <v>606</v>
      </c>
      <c r="B50" s="662">
        <v>3</v>
      </c>
      <c r="C50" s="662">
        <v>3</v>
      </c>
    </row>
    <row r="51" spans="1:3" ht="25.5">
      <c r="A51" s="682" t="s">
        <v>607</v>
      </c>
      <c r="B51" s="662">
        <v>4</v>
      </c>
      <c r="C51" s="662">
        <v>4</v>
      </c>
    </row>
    <row r="52" spans="1:3" ht="15.75" customHeight="1">
      <c r="A52" s="682" t="s">
        <v>608</v>
      </c>
      <c r="B52" s="662">
        <v>1800</v>
      </c>
      <c r="C52" s="662">
        <v>1800</v>
      </c>
    </row>
    <row r="53" spans="1:3" ht="15.75" customHeight="1">
      <c r="A53" s="661" t="s">
        <v>609</v>
      </c>
      <c r="B53" s="662">
        <v>4.1000000000000003E-3</v>
      </c>
      <c r="C53" s="662">
        <v>3.5999999999999999E-3</v>
      </c>
    </row>
    <row r="54" spans="1:3" ht="15.75" customHeight="1">
      <c r="A54" s="661" t="s">
        <v>611</v>
      </c>
      <c r="B54" s="662">
        <v>0.10059999999999999</v>
      </c>
      <c r="C54" s="662">
        <v>0.11210000000000001</v>
      </c>
    </row>
    <row r="55" spans="1:3" ht="15.75" customHeight="1">
      <c r="A55" s="661" t="s">
        <v>613</v>
      </c>
      <c r="B55" s="662">
        <v>1</v>
      </c>
      <c r="C55" s="662">
        <v>1</v>
      </c>
    </row>
    <row r="56" spans="1:3" ht="15.75" customHeight="1">
      <c r="A56" s="661" t="s">
        <v>615</v>
      </c>
      <c r="B56" s="662">
        <v>8.0000000000000004E-4</v>
      </c>
      <c r="C56" s="662">
        <v>8.0000000000000004E-4</v>
      </c>
    </row>
    <row r="57" spans="1:3" ht="24" customHeight="1">
      <c r="A57" s="803" t="s">
        <v>617</v>
      </c>
      <c r="B57" s="709"/>
      <c r="C57" s="709"/>
    </row>
    <row r="58" spans="1:3" ht="15.75" customHeight="1">
      <c r="A58" s="661" t="s">
        <v>618</v>
      </c>
      <c r="B58" s="662">
        <f>0.045*90</f>
        <v>4.05</v>
      </c>
      <c r="C58" s="662">
        <f>0.05*90</f>
        <v>4.5</v>
      </c>
    </row>
    <row r="59" spans="1:3" ht="15.75" customHeight="1">
      <c r="A59" s="661" t="s">
        <v>621</v>
      </c>
      <c r="B59" s="662">
        <v>1.05</v>
      </c>
      <c r="C59" s="662">
        <v>1.05</v>
      </c>
    </row>
    <row r="60" spans="1:3" ht="15.75" customHeight="1">
      <c r="A60" s="728" t="s">
        <v>622</v>
      </c>
      <c r="B60" s="662">
        <v>28</v>
      </c>
      <c r="C60" s="662">
        <v>30</v>
      </c>
    </row>
    <row r="61" spans="1:3" ht="15.75" customHeight="1">
      <c r="A61" s="728" t="s">
        <v>623</v>
      </c>
      <c r="B61" s="662">
        <v>500</v>
      </c>
      <c r="C61" s="662">
        <v>600</v>
      </c>
    </row>
    <row r="62" spans="1:3" ht="15.75" customHeight="1">
      <c r="A62" s="728" t="s">
        <v>624</v>
      </c>
      <c r="B62" s="668" t="s">
        <v>293</v>
      </c>
      <c r="C62" s="662">
        <v>1.76</v>
      </c>
    </row>
    <row r="63" spans="1:3" ht="15.75" customHeight="1">
      <c r="A63" s="728" t="s">
        <v>625</v>
      </c>
      <c r="B63" s="662">
        <v>5</v>
      </c>
      <c r="C63" s="662">
        <v>5</v>
      </c>
    </row>
    <row r="64" spans="1:3" ht="15.75" customHeight="1">
      <c r="A64" s="661" t="s">
        <v>629</v>
      </c>
      <c r="B64" s="662">
        <v>30</v>
      </c>
      <c r="C64" s="662">
        <v>30</v>
      </c>
    </row>
    <row r="65" spans="1:3" ht="15.75" customHeight="1">
      <c r="A65" s="728" t="s">
        <v>759</v>
      </c>
      <c r="B65" s="662">
        <v>10</v>
      </c>
      <c r="C65" s="662">
        <v>10</v>
      </c>
    </row>
    <row r="66" spans="1:3" ht="15.75" customHeight="1">
      <c r="A66" s="728" t="s">
        <v>631</v>
      </c>
      <c r="B66" s="662">
        <v>8</v>
      </c>
      <c r="C66" s="662">
        <v>12</v>
      </c>
    </row>
    <row r="67" spans="1:3" ht="15.75" customHeight="1">
      <c r="A67" s="728" t="s">
        <v>632</v>
      </c>
      <c r="B67" s="662">
        <v>8</v>
      </c>
      <c r="C67" s="662">
        <v>12</v>
      </c>
    </row>
    <row r="68" spans="1:3" ht="98.25" customHeight="1">
      <c r="A68" s="722" t="s">
        <v>635</v>
      </c>
      <c r="B68" s="765"/>
      <c r="C68" s="724"/>
    </row>
    <row r="69" spans="1:3" ht="12.75">
      <c r="A69" s="728"/>
      <c r="B69" s="711"/>
      <c r="C69" s="711"/>
    </row>
    <row r="70" spans="1:3" ht="12.75">
      <c r="A70" s="728"/>
      <c r="B70" s="711"/>
      <c r="C70" s="711"/>
    </row>
    <row r="71" spans="1:3" ht="12.75">
      <c r="A71" s="728"/>
      <c r="B71" s="711"/>
      <c r="C71" s="711"/>
    </row>
    <row r="72" spans="1:3" ht="12.75">
      <c r="A72" s="728"/>
      <c r="B72" s="711"/>
      <c r="C72" s="711"/>
    </row>
    <row r="73" spans="1:3" ht="12.75">
      <c r="A73" s="728"/>
      <c r="B73" s="711"/>
      <c r="C73" s="711"/>
    </row>
    <row r="74" spans="1:3" ht="12.75">
      <c r="A74" s="728"/>
      <c r="B74" s="711"/>
      <c r="C74" s="711"/>
    </row>
    <row r="75" spans="1:3" ht="12.75">
      <c r="A75" s="728"/>
      <c r="B75" s="711"/>
      <c r="C75" s="711"/>
    </row>
    <row r="76" spans="1:3" ht="12.75">
      <c r="A76" s="728"/>
      <c r="B76" s="711"/>
      <c r="C76" s="711"/>
    </row>
    <row r="77" spans="1:3" ht="12.75">
      <c r="A77" s="728"/>
      <c r="B77" s="711"/>
      <c r="C77" s="711"/>
    </row>
  </sheetData>
  <conditionalFormatting sqref="A1:C1 A3:C7 A9:C19 A21:C26 A28:C56 A58:C77">
    <cfRule type="expression" dxfId="15" priority="1">
      <formula>ISODD(COLUMN())</formula>
    </cfRule>
    <cfRule type="expression" dxfId="14" priority="2">
      <formula>ISEVEN(COLUMN())</formula>
    </cfRule>
  </conditionalFormatting>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891B-2C93-4B4D-A917-0C4B014305BD}">
  <sheetPr>
    <tabColor rgb="FF7F6000"/>
    <outlinePr summaryBelow="0" summaryRight="0"/>
  </sheetPr>
  <dimension ref="A1:C59"/>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39.5703125" customWidth="1"/>
    <col min="2" max="3" width="16.7109375" customWidth="1"/>
  </cols>
  <sheetData>
    <row r="1" spans="1:3" ht="35.25" customHeight="1">
      <c r="A1" s="811" t="s">
        <v>551</v>
      </c>
      <c r="B1" s="653" t="s">
        <v>1239</v>
      </c>
      <c r="C1" s="655" t="s">
        <v>1238</v>
      </c>
    </row>
    <row r="2" spans="1:3" ht="84" customHeight="1">
      <c r="A2" s="810" t="s">
        <v>562</v>
      </c>
      <c r="B2" s="660"/>
      <c r="C2" s="660"/>
    </row>
    <row r="3" spans="1:3" ht="15.75" customHeight="1">
      <c r="A3" s="776" t="s">
        <v>563</v>
      </c>
      <c r="B3" s="788">
        <v>580</v>
      </c>
      <c r="C3" s="776">
        <v>912</v>
      </c>
    </row>
    <row r="4" spans="1:3" ht="15.75" customHeight="1">
      <c r="A4" s="728" t="s">
        <v>564</v>
      </c>
      <c r="B4" s="780">
        <v>510</v>
      </c>
      <c r="C4" s="812">
        <v>602</v>
      </c>
    </row>
    <row r="5" spans="1:3" ht="15.75" customHeight="1">
      <c r="A5" s="728" t="s">
        <v>565</v>
      </c>
      <c r="B5" s="780">
        <v>350</v>
      </c>
      <c r="C5" s="812">
        <v>477</v>
      </c>
    </row>
    <row r="6" spans="1:3" ht="15.75" customHeight="1">
      <c r="A6" s="776" t="s">
        <v>566</v>
      </c>
      <c r="B6" s="788">
        <v>343</v>
      </c>
      <c r="C6" s="776">
        <v>379</v>
      </c>
    </row>
    <row r="7" spans="1:3" ht="15.75" customHeight="1">
      <c r="A7" s="776" t="s">
        <v>567</v>
      </c>
      <c r="B7" s="788">
        <v>4.57</v>
      </c>
      <c r="C7" s="776">
        <v>3.9</v>
      </c>
    </row>
    <row r="8" spans="1:3" ht="20.25" customHeight="1">
      <c r="A8" s="809" t="s">
        <v>568</v>
      </c>
      <c r="B8" s="794"/>
      <c r="C8" s="794"/>
    </row>
    <row r="9" spans="1:3" ht="15.75" customHeight="1">
      <c r="A9" s="776" t="s">
        <v>569</v>
      </c>
      <c r="B9" s="788">
        <v>55200</v>
      </c>
      <c r="C9" s="776">
        <v>135625</v>
      </c>
    </row>
    <row r="10" spans="1:3" ht="16.5" customHeight="1">
      <c r="A10" s="776" t="s">
        <v>570</v>
      </c>
      <c r="B10" s="788">
        <v>3</v>
      </c>
      <c r="C10" s="776">
        <v>4</v>
      </c>
    </row>
    <row r="11" spans="1:3" ht="15.75" customHeight="1">
      <c r="A11" s="776" t="str">
        <f>"Raw acceleration at ignition: [m/s"&amp;CHAR(178)&amp;"]"</f>
        <v>Raw acceleration at ignition: [m/s²]</v>
      </c>
      <c r="B11" s="793">
        <f>B9/B3</f>
        <v>95.172413793103445</v>
      </c>
      <c r="C11" s="818">
        <f>C9/C3</f>
        <v>148.71162280701753</v>
      </c>
    </row>
    <row r="12" spans="1:3" ht="15.75" customHeight="1">
      <c r="A12" s="728" t="s">
        <v>571</v>
      </c>
      <c r="B12" s="781">
        <f>B10*B9/(9.81*(B3-B4))</f>
        <v>241.15334207077325</v>
      </c>
      <c r="C12" s="781">
        <f>C10*C9/(9.81*(C3-C4))</f>
        <v>178.3893985728848</v>
      </c>
    </row>
    <row r="13" spans="1:3" ht="15.75" customHeight="1">
      <c r="A13" s="661" t="s">
        <v>572</v>
      </c>
      <c r="B13" s="678">
        <f>B12*9.81*LN(B3/B4)</f>
        <v>304.27196810483844</v>
      </c>
      <c r="C13" s="678">
        <f>C12*9.81*LN(C3/C4)</f>
        <v>726.91945333964304</v>
      </c>
    </row>
    <row r="14" spans="1:3" ht="16.5" customHeight="1">
      <c r="A14" s="776" t="s">
        <v>574</v>
      </c>
      <c r="B14" s="780">
        <v>30000</v>
      </c>
      <c r="C14" s="812">
        <v>13125</v>
      </c>
    </row>
    <row r="15" spans="1:3" ht="18" customHeight="1">
      <c r="A15" s="776" t="s">
        <v>575</v>
      </c>
      <c r="B15" s="780">
        <v>12</v>
      </c>
      <c r="C15" s="812">
        <v>20</v>
      </c>
    </row>
    <row r="16" spans="1:3" ht="18" customHeight="1">
      <c r="A16" s="728" t="s">
        <v>576</v>
      </c>
      <c r="B16" s="777">
        <f>B15*B14/(9.81*(B4-B5))</f>
        <v>229.35779816513758</v>
      </c>
      <c r="C16" s="777">
        <f>C15*C14/(9.81*(C4-C5))</f>
        <v>214.06727828746176</v>
      </c>
    </row>
    <row r="17" spans="1:3" ht="18" customHeight="1">
      <c r="A17" s="728" t="s">
        <v>577</v>
      </c>
      <c r="B17" s="777">
        <f>B16*9.81*LN(B4/B5)</f>
        <v>847.07453527855205</v>
      </c>
      <c r="C17" s="777">
        <f>C16*9.81*LN(C4/C5)</f>
        <v>488.75600428300766</v>
      </c>
    </row>
    <row r="18" spans="1:3" ht="18" customHeight="1">
      <c r="A18" s="728" t="s">
        <v>578</v>
      </c>
      <c r="B18" s="692">
        <f>IF(ISNUMBER(B17),B13+B17,B13)</f>
        <v>1151.3465033833904</v>
      </c>
      <c r="C18" s="692">
        <f>IF(ISNUMBER(C17),C13+C17,C13)</f>
        <v>1215.6754576226508</v>
      </c>
    </row>
    <row r="19" spans="1:3" ht="20.25" customHeight="1">
      <c r="A19" s="817" t="s">
        <v>579</v>
      </c>
      <c r="B19" s="792"/>
      <c r="C19" s="792"/>
    </row>
    <row r="20" spans="1:3" ht="15.75" customHeight="1">
      <c r="A20" s="776" t="s">
        <v>580</v>
      </c>
      <c r="B20" s="788">
        <f>1.6*30.8</f>
        <v>49.28</v>
      </c>
      <c r="C20" s="788">
        <f>1.28*33</f>
        <v>42.24</v>
      </c>
    </row>
    <row r="21" spans="1:3" ht="15.75" customHeight="1">
      <c r="A21" s="775" t="s">
        <v>764</v>
      </c>
      <c r="B21" s="790" t="s">
        <v>763</v>
      </c>
      <c r="C21" s="815" t="s">
        <v>763</v>
      </c>
    </row>
    <row r="22" spans="1:3" ht="15.75" customHeight="1">
      <c r="A22" s="776" t="s">
        <v>762</v>
      </c>
      <c r="B22" s="788">
        <v>71.391999999999996</v>
      </c>
      <c r="C22" s="776">
        <v>70.335999999999999</v>
      </c>
    </row>
    <row r="23" spans="1:3" ht="15.75" customHeight="1">
      <c r="A23" s="775" t="s">
        <v>581</v>
      </c>
      <c r="B23" s="790" t="s">
        <v>328</v>
      </c>
      <c r="C23" s="815" t="s">
        <v>328</v>
      </c>
    </row>
    <row r="24" spans="1:3" ht="15.75" customHeight="1">
      <c r="A24" s="776" t="s">
        <v>582</v>
      </c>
      <c r="B24" s="788">
        <v>25</v>
      </c>
      <c r="C24" s="776">
        <v>35</v>
      </c>
    </row>
    <row r="25" spans="1:3" ht="15.75" customHeight="1">
      <c r="A25" s="776" t="s">
        <v>931</v>
      </c>
      <c r="B25" s="788">
        <v>300</v>
      </c>
      <c r="C25" s="776">
        <v>300</v>
      </c>
    </row>
    <row r="26" spans="1:3" ht="15.75" customHeight="1">
      <c r="A26" s="775" t="s">
        <v>930</v>
      </c>
      <c r="B26" s="780">
        <v>25</v>
      </c>
      <c r="C26" s="812">
        <v>50</v>
      </c>
    </row>
    <row r="27" spans="1:3" ht="15.75" customHeight="1">
      <c r="A27" s="775" t="s">
        <v>583</v>
      </c>
      <c r="B27" s="790" t="s">
        <v>324</v>
      </c>
      <c r="C27" s="790" t="s">
        <v>324</v>
      </c>
    </row>
    <row r="28" spans="1:3" ht="15.75" customHeight="1">
      <c r="A28" s="728" t="s">
        <v>584</v>
      </c>
      <c r="B28" s="815" t="s">
        <v>293</v>
      </c>
      <c r="C28" s="815" t="s">
        <v>293</v>
      </c>
    </row>
    <row r="29" spans="1:3" ht="15.75" customHeight="1">
      <c r="A29" s="661" t="s">
        <v>761</v>
      </c>
      <c r="B29" s="812">
        <v>0.1</v>
      </c>
      <c r="C29" s="812">
        <v>0.1</v>
      </c>
    </row>
    <row r="30" spans="1:3" ht="15.75" customHeight="1">
      <c r="A30" s="661" t="s">
        <v>760</v>
      </c>
      <c r="B30" s="815" t="s">
        <v>293</v>
      </c>
      <c r="C30" s="812">
        <v>3</v>
      </c>
    </row>
    <row r="31" spans="1:3" ht="20.25" customHeight="1">
      <c r="A31" s="839" t="s">
        <v>585</v>
      </c>
      <c r="B31" s="816"/>
      <c r="C31" s="816"/>
    </row>
    <row r="32" spans="1:3" ht="15.75" customHeight="1">
      <c r="A32" s="837" t="s">
        <v>586</v>
      </c>
      <c r="B32" s="670" t="s">
        <v>874</v>
      </c>
      <c r="C32" s="670" t="s">
        <v>874</v>
      </c>
    </row>
    <row r="33" spans="1:3" ht="15.75" customHeight="1">
      <c r="A33" s="837" t="s">
        <v>588</v>
      </c>
      <c r="B33" s="664">
        <v>30</v>
      </c>
      <c r="C33" s="664">
        <v>26</v>
      </c>
    </row>
    <row r="34" spans="1:3" ht="15.75" customHeight="1">
      <c r="A34" s="837" t="s">
        <v>872</v>
      </c>
      <c r="B34" s="664">
        <v>14</v>
      </c>
      <c r="C34" s="664">
        <v>16</v>
      </c>
    </row>
    <row r="35" spans="1:3" ht="15.75" customHeight="1">
      <c r="A35" s="728" t="s">
        <v>871</v>
      </c>
      <c r="B35" s="815" t="s">
        <v>293</v>
      </c>
      <c r="C35" s="664">
        <v>30</v>
      </c>
    </row>
    <row r="36" spans="1:3" ht="15.75" customHeight="1">
      <c r="A36" s="712" t="s">
        <v>606</v>
      </c>
      <c r="B36" s="815" t="s">
        <v>293</v>
      </c>
      <c r="C36" s="664">
        <v>20</v>
      </c>
    </row>
    <row r="37" spans="1:3" ht="15.75" customHeight="1">
      <c r="A37" s="846" t="s">
        <v>608</v>
      </c>
      <c r="B37" s="815" t="s">
        <v>293</v>
      </c>
      <c r="C37" s="664">
        <v>1800</v>
      </c>
    </row>
    <row r="38" spans="1:3" ht="15.75" customHeight="1">
      <c r="A38" s="712" t="s">
        <v>609</v>
      </c>
      <c r="B38" s="815" t="s">
        <v>293</v>
      </c>
      <c r="C38" s="664">
        <v>5.11E-2</v>
      </c>
    </row>
    <row r="39" spans="1:3" ht="15.75" customHeight="1">
      <c r="A39" s="712" t="s">
        <v>611</v>
      </c>
      <c r="B39" s="815" t="s">
        <v>293</v>
      </c>
      <c r="C39" s="664">
        <v>0</v>
      </c>
    </row>
    <row r="40" spans="1:3" ht="15.75" customHeight="1">
      <c r="A40" s="712" t="s">
        <v>613</v>
      </c>
      <c r="B40" s="815" t="s">
        <v>293</v>
      </c>
      <c r="C40" s="664">
        <v>0</v>
      </c>
    </row>
    <row r="41" spans="1:3" ht="15.75" customHeight="1">
      <c r="A41" s="712" t="s">
        <v>615</v>
      </c>
      <c r="B41" s="815" t="s">
        <v>293</v>
      </c>
      <c r="C41" s="664">
        <v>2.8E-3</v>
      </c>
    </row>
    <row r="42" spans="1:3" ht="24" customHeight="1">
      <c r="A42" s="803" t="s">
        <v>617</v>
      </c>
      <c r="B42" s="791"/>
      <c r="C42" s="791"/>
    </row>
    <row r="43" spans="1:3" ht="15.75" customHeight="1">
      <c r="A43" s="712" t="s">
        <v>868</v>
      </c>
      <c r="B43" s="788">
        <v>0.23</v>
      </c>
      <c r="C43" s="815" t="s">
        <v>293</v>
      </c>
    </row>
    <row r="44" spans="1:3" ht="15.75" customHeight="1">
      <c r="A44" s="712" t="s">
        <v>618</v>
      </c>
      <c r="B44" s="815" t="s">
        <v>293</v>
      </c>
      <c r="C44" s="776">
        <f>90*0.2</f>
        <v>18</v>
      </c>
    </row>
    <row r="45" spans="1:3" ht="15.75" customHeight="1">
      <c r="A45" s="712" t="s">
        <v>866</v>
      </c>
      <c r="B45" s="788">
        <v>5</v>
      </c>
      <c r="C45" s="790" t="s">
        <v>293</v>
      </c>
    </row>
    <row r="46" spans="1:3" ht="15.75" customHeight="1">
      <c r="A46" s="712" t="s">
        <v>621</v>
      </c>
      <c r="B46" s="788">
        <v>0.5</v>
      </c>
      <c r="C46" s="776">
        <v>1.5</v>
      </c>
    </row>
    <row r="47" spans="1:3" ht="15.75" customHeight="1">
      <c r="A47" s="728" t="s">
        <v>622</v>
      </c>
      <c r="B47" s="812">
        <v>10</v>
      </c>
      <c r="C47" s="776">
        <v>10</v>
      </c>
    </row>
    <row r="48" spans="1:3" ht="15.75" customHeight="1">
      <c r="A48" s="776" t="s">
        <v>623</v>
      </c>
      <c r="B48" s="788">
        <v>620</v>
      </c>
      <c r="C48" s="790" t="s">
        <v>293</v>
      </c>
    </row>
    <row r="49" spans="1:3" ht="15.75" customHeight="1">
      <c r="A49" s="661" t="s">
        <v>625</v>
      </c>
      <c r="B49" s="788">
        <v>14</v>
      </c>
      <c r="C49" s="776">
        <v>16</v>
      </c>
    </row>
    <row r="50" spans="1:3" ht="12.75">
      <c r="A50" s="728" t="s">
        <v>631</v>
      </c>
      <c r="B50" s="790" t="s">
        <v>293</v>
      </c>
      <c r="C50" s="776">
        <v>10</v>
      </c>
    </row>
    <row r="51" spans="1:3" ht="12.75">
      <c r="A51" s="775" t="s">
        <v>864</v>
      </c>
      <c r="B51" s="790" t="s">
        <v>324</v>
      </c>
      <c r="C51" s="790" t="s">
        <v>324</v>
      </c>
    </row>
    <row r="52" spans="1:3" ht="69" customHeight="1">
      <c r="A52" s="722" t="s">
        <v>635</v>
      </c>
      <c r="B52" s="838"/>
      <c r="C52" s="927"/>
    </row>
    <row r="53" spans="1:3" ht="59.25" customHeight="1">
      <c r="A53" s="776" t="s">
        <v>1124</v>
      </c>
      <c r="B53" s="788"/>
      <c r="C53" s="868"/>
    </row>
    <row r="54" spans="1:3" ht="25.5">
      <c r="A54" s="776" t="s">
        <v>977</v>
      </c>
      <c r="B54" s="788"/>
      <c r="C54" s="776"/>
    </row>
    <row r="55" spans="1:3" ht="12.75">
      <c r="A55" s="776"/>
      <c r="B55" s="788"/>
      <c r="C55" s="776"/>
    </row>
    <row r="56" spans="1:3" ht="12.75">
      <c r="A56" s="776"/>
      <c r="B56" s="788"/>
      <c r="C56" s="776"/>
    </row>
    <row r="57" spans="1:3" ht="12.75">
      <c r="A57" s="776"/>
      <c r="B57" s="788"/>
      <c r="C57" s="776"/>
    </row>
    <row r="58" spans="1:3" ht="12.75">
      <c r="A58" s="776"/>
      <c r="B58" s="788"/>
      <c r="C58" s="776"/>
    </row>
    <row r="59" spans="1:3" ht="12.75">
      <c r="A59" s="776"/>
      <c r="B59" s="788"/>
      <c r="C59" s="776"/>
    </row>
  </sheetData>
  <mergeCells count="1">
    <mergeCell ref="C52:C53"/>
  </mergeCells>
  <conditionalFormatting sqref="A1:C1 A3:C7 A9:C18 A20:C30 A32:C41 A43:C59">
    <cfRule type="expression" dxfId="13" priority="1">
      <formula>ISODD(COLUMN())</formula>
    </cfRule>
    <cfRule type="expression" dxfId="12" priority="2">
      <formula>ISEVEN(COLUMN())</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429F-C8F0-4FEE-A791-78988F8750B4}">
  <sheetPr>
    <tabColor rgb="FF674EA7"/>
    <outlinePr summaryBelow="0" summaryRight="0"/>
  </sheetPr>
  <dimension ref="A1:GO34"/>
  <sheetViews>
    <sheetView workbookViewId="0">
      <pane xSplit="1" ySplit="1" topLeftCell="B2" activePane="bottomRight" state="frozen"/>
      <selection activeCell="B3" sqref="B3"/>
      <selection pane="topRight" activeCell="B3" sqref="B3"/>
      <selection pane="bottomLeft" activeCell="B3" sqref="B3"/>
      <selection pane="bottomRight" activeCell="B3" sqref="B3"/>
    </sheetView>
  </sheetViews>
  <sheetFormatPr defaultColWidth="12.5703125" defaultRowHeight="15.75" customHeight="1"/>
  <cols>
    <col min="1" max="1" width="42" customWidth="1"/>
    <col min="2" max="197" width="18.85546875" customWidth="1"/>
  </cols>
  <sheetData>
    <row r="1" spans="1:197" ht="35.25" customHeight="1">
      <c r="A1" s="856" t="s">
        <v>551</v>
      </c>
      <c r="B1" s="655" t="s">
        <v>1578</v>
      </c>
      <c r="C1" s="653" t="s">
        <v>1577</v>
      </c>
      <c r="D1" s="653" t="s">
        <v>1576</v>
      </c>
      <c r="E1" s="653" t="s">
        <v>1575</v>
      </c>
      <c r="F1" s="653" t="s">
        <v>99</v>
      </c>
      <c r="G1" s="655" t="s">
        <v>1574</v>
      </c>
      <c r="H1" s="655" t="s">
        <v>114</v>
      </c>
      <c r="I1" s="653" t="s">
        <v>1573</v>
      </c>
      <c r="J1" s="653" t="s">
        <v>100</v>
      </c>
      <c r="K1" s="653" t="s">
        <v>1572</v>
      </c>
      <c r="L1" s="653" t="s">
        <v>1571</v>
      </c>
      <c r="M1" s="653" t="s">
        <v>58</v>
      </c>
      <c r="N1" s="653" t="s">
        <v>1570</v>
      </c>
      <c r="O1" s="653" t="s">
        <v>1569</v>
      </c>
      <c r="P1" s="655" t="s">
        <v>1568</v>
      </c>
      <c r="Q1" s="653" t="s">
        <v>1567</v>
      </c>
      <c r="R1" s="653" t="s">
        <v>405</v>
      </c>
      <c r="S1" s="653" t="s">
        <v>1566</v>
      </c>
      <c r="T1" s="653" t="s">
        <v>1565</v>
      </c>
      <c r="U1" s="653" t="s">
        <v>1564</v>
      </c>
      <c r="V1" s="653" t="s">
        <v>1563</v>
      </c>
      <c r="W1" s="653" t="s">
        <v>1562</v>
      </c>
      <c r="X1" s="653" t="s">
        <v>1561</v>
      </c>
      <c r="Y1" s="653" t="s">
        <v>398</v>
      </c>
      <c r="Z1" s="653" t="s">
        <v>1560</v>
      </c>
      <c r="AA1" s="653" t="s">
        <v>1559</v>
      </c>
      <c r="AB1" s="653" t="s">
        <v>1558</v>
      </c>
      <c r="AC1" s="653" t="s">
        <v>1557</v>
      </c>
      <c r="AD1" s="653" t="s">
        <v>71</v>
      </c>
      <c r="AE1" s="653" t="s">
        <v>1556</v>
      </c>
      <c r="AF1" s="653" t="s">
        <v>1555</v>
      </c>
      <c r="AG1" s="653" t="s">
        <v>1554</v>
      </c>
      <c r="AH1" s="653" t="s">
        <v>393</v>
      </c>
      <c r="AI1" s="653" t="s">
        <v>1553</v>
      </c>
      <c r="AJ1" s="653" t="s">
        <v>1552</v>
      </c>
      <c r="AK1" s="653" t="s">
        <v>392</v>
      </c>
      <c r="AL1" s="653" t="s">
        <v>1551</v>
      </c>
      <c r="AM1" s="653" t="s">
        <v>1550</v>
      </c>
      <c r="AN1" s="653" t="s">
        <v>1549</v>
      </c>
      <c r="AO1" s="653" t="s">
        <v>1548</v>
      </c>
      <c r="AP1" s="653" t="s">
        <v>1547</v>
      </c>
      <c r="AQ1" s="653" t="s">
        <v>1546</v>
      </c>
      <c r="AR1" s="855" t="s">
        <v>1545</v>
      </c>
      <c r="AS1" s="653" t="s">
        <v>1544</v>
      </c>
      <c r="AT1" s="653" t="s">
        <v>1543</v>
      </c>
      <c r="AU1" s="653" t="s">
        <v>1542</v>
      </c>
      <c r="AV1" s="653" t="s">
        <v>1541</v>
      </c>
      <c r="AW1" s="653" t="s">
        <v>1540</v>
      </c>
      <c r="AX1" s="653" t="s">
        <v>1539</v>
      </c>
      <c r="AY1" s="653" t="s">
        <v>1538</v>
      </c>
      <c r="AZ1" s="653" t="s">
        <v>1537</v>
      </c>
      <c r="BA1" s="653" t="s">
        <v>59</v>
      </c>
      <c r="BB1" s="653" t="s">
        <v>1536</v>
      </c>
      <c r="BC1" s="653" t="s">
        <v>1535</v>
      </c>
      <c r="BD1" s="653" t="s">
        <v>1534</v>
      </c>
      <c r="BE1" s="653" t="s">
        <v>24</v>
      </c>
      <c r="BF1" s="653" t="s">
        <v>109</v>
      </c>
      <c r="BG1" s="653" t="s">
        <v>1533</v>
      </c>
      <c r="BH1" s="653" t="s">
        <v>1532</v>
      </c>
      <c r="BI1" s="653" t="s">
        <v>1531</v>
      </c>
      <c r="BJ1" s="653" t="s">
        <v>1530</v>
      </c>
      <c r="BK1" s="653" t="s">
        <v>1529</v>
      </c>
      <c r="BL1" s="653" t="s">
        <v>1528</v>
      </c>
      <c r="BM1" s="653" t="s">
        <v>1527</v>
      </c>
      <c r="BN1" s="653" t="s">
        <v>1526</v>
      </c>
      <c r="BO1" s="653" t="s">
        <v>33</v>
      </c>
      <c r="BP1" s="653" t="s">
        <v>54</v>
      </c>
      <c r="BQ1" s="653" t="s">
        <v>1525</v>
      </c>
      <c r="BR1" s="653" t="s">
        <v>1524</v>
      </c>
      <c r="BS1" s="653" t="s">
        <v>123</v>
      </c>
      <c r="BT1" s="653" t="s">
        <v>1523</v>
      </c>
      <c r="BU1" s="653" t="s">
        <v>1522</v>
      </c>
      <c r="BV1" s="653" t="s">
        <v>1521</v>
      </c>
      <c r="BW1" s="653" t="s">
        <v>1520</v>
      </c>
      <c r="BX1" s="653" t="s">
        <v>1519</v>
      </c>
      <c r="BY1" s="653" t="s">
        <v>1518</v>
      </c>
      <c r="BZ1" s="653" t="s">
        <v>40</v>
      </c>
      <c r="CA1" s="653" t="s">
        <v>1517</v>
      </c>
      <c r="CB1" s="653" t="s">
        <v>1516</v>
      </c>
      <c r="CC1" s="653" t="s">
        <v>1515</v>
      </c>
      <c r="CD1" s="653" t="s">
        <v>461</v>
      </c>
      <c r="CE1" s="653" t="s">
        <v>1514</v>
      </c>
      <c r="CF1" s="653" t="s">
        <v>1513</v>
      </c>
      <c r="CG1" s="653" t="s">
        <v>1512</v>
      </c>
      <c r="CH1" s="653" t="s">
        <v>1511</v>
      </c>
      <c r="CI1" s="653" t="s">
        <v>1510</v>
      </c>
      <c r="CJ1" s="653" t="s">
        <v>1509</v>
      </c>
      <c r="CK1" s="841" t="s">
        <v>1508</v>
      </c>
      <c r="CL1" s="653" t="s">
        <v>108</v>
      </c>
      <c r="CM1" s="653" t="s">
        <v>1507</v>
      </c>
      <c r="CN1" s="653" t="s">
        <v>1506</v>
      </c>
      <c r="CO1" s="653" t="s">
        <v>1505</v>
      </c>
      <c r="CP1" s="653" t="s">
        <v>1504</v>
      </c>
      <c r="CQ1" s="653" t="s">
        <v>1503</v>
      </c>
      <c r="CR1" s="653" t="s">
        <v>1502</v>
      </c>
      <c r="CS1" s="854" t="s">
        <v>1501</v>
      </c>
      <c r="CT1" s="653" t="s">
        <v>1500</v>
      </c>
      <c r="CU1" s="653" t="s">
        <v>1499</v>
      </c>
      <c r="CV1" s="653" t="s">
        <v>1498</v>
      </c>
      <c r="CW1" s="653" t="s">
        <v>1497</v>
      </c>
      <c r="CX1" s="653" t="s">
        <v>1496</v>
      </c>
      <c r="CY1" s="653" t="s">
        <v>1495</v>
      </c>
      <c r="CZ1" s="653" t="s">
        <v>1494</v>
      </c>
      <c r="DA1" s="653" t="s">
        <v>1493</v>
      </c>
      <c r="DB1" s="653" t="s">
        <v>1492</v>
      </c>
      <c r="DC1" s="653" t="s">
        <v>1491</v>
      </c>
      <c r="DD1" s="653" t="s">
        <v>1490</v>
      </c>
      <c r="DE1" s="653" t="s">
        <v>1489</v>
      </c>
      <c r="DF1" s="853" t="s">
        <v>1488</v>
      </c>
      <c r="DG1" s="653" t="s">
        <v>1487</v>
      </c>
      <c r="DH1" s="653" t="s">
        <v>1486</v>
      </c>
      <c r="DI1" s="653" t="s">
        <v>1485</v>
      </c>
      <c r="DJ1" s="653" t="s">
        <v>1484</v>
      </c>
      <c r="DK1" s="814" t="s">
        <v>1483</v>
      </c>
      <c r="DL1" s="653" t="s">
        <v>1482</v>
      </c>
      <c r="DM1" s="653" t="s">
        <v>1481</v>
      </c>
      <c r="DN1" s="653" t="s">
        <v>1480</v>
      </c>
      <c r="DO1" s="653" t="s">
        <v>1479</v>
      </c>
      <c r="DP1" s="653" t="s">
        <v>1478</v>
      </c>
      <c r="DQ1" s="653" t="s">
        <v>1477</v>
      </c>
      <c r="DR1" s="653" t="s">
        <v>1476</v>
      </c>
      <c r="DS1" s="653" t="s">
        <v>1475</v>
      </c>
      <c r="DT1" s="653" t="s">
        <v>1474</v>
      </c>
      <c r="DU1" s="653" t="s">
        <v>1473</v>
      </c>
      <c r="DV1" s="653" t="s">
        <v>1472</v>
      </c>
      <c r="DW1" s="653" t="s">
        <v>1471</v>
      </c>
      <c r="DX1" s="653" t="s">
        <v>1470</v>
      </c>
      <c r="DY1" s="653" t="s">
        <v>1469</v>
      </c>
      <c r="DZ1" s="653" t="s">
        <v>1468</v>
      </c>
      <c r="EA1" s="653" t="s">
        <v>1467</v>
      </c>
      <c r="EB1" s="653" t="s">
        <v>1466</v>
      </c>
      <c r="EC1" s="653" t="s">
        <v>1465</v>
      </c>
      <c r="ED1" s="653" t="s">
        <v>1464</v>
      </c>
      <c r="EE1" s="653" t="s">
        <v>1463</v>
      </c>
      <c r="EF1" s="653" t="s">
        <v>1462</v>
      </c>
      <c r="EG1" s="653" t="s">
        <v>1461</v>
      </c>
      <c r="EH1" s="653" t="s">
        <v>1460</v>
      </c>
      <c r="EI1" s="653" t="s">
        <v>1459</v>
      </c>
      <c r="EJ1" s="653" t="s">
        <v>1458</v>
      </c>
      <c r="EK1" s="653" t="s">
        <v>1457</v>
      </c>
      <c r="EL1" s="653" t="s">
        <v>1456</v>
      </c>
      <c r="EM1" s="653" t="s">
        <v>1455</v>
      </c>
      <c r="EN1" s="653" t="s">
        <v>1454</v>
      </c>
      <c r="EO1" s="653" t="s">
        <v>1453</v>
      </c>
      <c r="EP1" s="653" t="s">
        <v>1452</v>
      </c>
      <c r="EQ1" s="841" t="s">
        <v>1451</v>
      </c>
      <c r="ER1" s="653" t="s">
        <v>1450</v>
      </c>
      <c r="ES1" s="653" t="s">
        <v>1449</v>
      </c>
      <c r="ET1" s="653" t="s">
        <v>1448</v>
      </c>
      <c r="EU1" s="653" t="s">
        <v>1447</v>
      </c>
      <c r="EV1" s="653" t="s">
        <v>1446</v>
      </c>
      <c r="EW1" s="653" t="s">
        <v>1445</v>
      </c>
      <c r="EX1" s="653" t="s">
        <v>1444</v>
      </c>
      <c r="EY1" s="653" t="s">
        <v>1443</v>
      </c>
      <c r="EZ1" s="653" t="s">
        <v>1442</v>
      </c>
      <c r="FA1" s="653" t="s">
        <v>1441</v>
      </c>
      <c r="FB1" s="653" t="s">
        <v>1440</v>
      </c>
      <c r="FC1" s="653" t="s">
        <v>1439</v>
      </c>
      <c r="FD1" s="653" t="s">
        <v>1438</v>
      </c>
      <c r="FE1" s="653" t="s">
        <v>1437</v>
      </c>
      <c r="FF1" s="653" t="s">
        <v>1436</v>
      </c>
      <c r="FG1" s="653" t="s">
        <v>1435</v>
      </c>
      <c r="FH1" s="653" t="s">
        <v>1434</v>
      </c>
      <c r="FI1" s="653" t="s">
        <v>1433</v>
      </c>
      <c r="FJ1" s="653" t="s">
        <v>1432</v>
      </c>
      <c r="FK1" s="653" t="s">
        <v>1431</v>
      </c>
      <c r="FL1" s="653" t="s">
        <v>1430</v>
      </c>
      <c r="FM1" s="653" t="s">
        <v>1429</v>
      </c>
      <c r="FN1" s="653" t="s">
        <v>1428</v>
      </c>
      <c r="FO1" s="653" t="s">
        <v>1427</v>
      </c>
      <c r="FP1" s="653" t="s">
        <v>1426</v>
      </c>
      <c r="FQ1" s="653" t="s">
        <v>1425</v>
      </c>
      <c r="FR1" s="653" t="s">
        <v>1424</v>
      </c>
      <c r="FS1" s="653" t="s">
        <v>1423</v>
      </c>
      <c r="FT1" s="653" t="s">
        <v>1422</v>
      </c>
      <c r="FU1" s="653" t="s">
        <v>1421</v>
      </c>
      <c r="FV1" s="653" t="s">
        <v>1420</v>
      </c>
      <c r="FW1" s="653" t="s">
        <v>1419</v>
      </c>
      <c r="FX1" s="653" t="s">
        <v>1418</v>
      </c>
      <c r="FY1" s="653" t="s">
        <v>1417</v>
      </c>
      <c r="FZ1" s="653" t="s">
        <v>1416</v>
      </c>
      <c r="GA1" s="653" t="s">
        <v>1415</v>
      </c>
      <c r="GB1" s="653" t="s">
        <v>1414</v>
      </c>
      <c r="GC1" s="653" t="s">
        <v>1413</v>
      </c>
      <c r="GD1" s="653" t="s">
        <v>1412</v>
      </c>
      <c r="GE1" s="653" t="s">
        <v>1411</v>
      </c>
      <c r="GF1" s="653" t="s">
        <v>1410</v>
      </c>
      <c r="GG1" s="653" t="s">
        <v>1409</v>
      </c>
      <c r="GH1" s="653" t="s">
        <v>1408</v>
      </c>
      <c r="GI1" s="653" t="s">
        <v>1407</v>
      </c>
      <c r="GJ1" s="653" t="s">
        <v>1406</v>
      </c>
      <c r="GK1" s="653" t="s">
        <v>1405</v>
      </c>
      <c r="GL1" s="653" t="s">
        <v>1404</v>
      </c>
      <c r="GM1" s="653" t="s">
        <v>1403</v>
      </c>
      <c r="GN1" s="653" t="s">
        <v>1402</v>
      </c>
      <c r="GO1" s="653" t="s">
        <v>1401</v>
      </c>
    </row>
    <row r="2" spans="1:197" ht="27.75" customHeight="1">
      <c r="A2" s="810" t="s">
        <v>1400</v>
      </c>
      <c r="B2" s="660"/>
      <c r="C2" s="819"/>
      <c r="D2" s="819"/>
      <c r="E2" s="819"/>
      <c r="F2" s="819"/>
      <c r="G2" s="819"/>
      <c r="H2" s="819"/>
      <c r="I2" s="819"/>
      <c r="J2" s="819"/>
      <c r="K2" s="819"/>
      <c r="L2" s="819"/>
      <c r="M2" s="819"/>
      <c r="N2" s="819"/>
      <c r="O2" s="819"/>
      <c r="P2" s="660"/>
      <c r="Q2" s="819"/>
      <c r="R2" s="819"/>
      <c r="S2" s="819"/>
      <c r="T2" s="819"/>
      <c r="U2" s="819"/>
      <c r="V2" s="819"/>
      <c r="W2" s="819"/>
      <c r="X2" s="819"/>
      <c r="Y2" s="819"/>
      <c r="Z2" s="819"/>
      <c r="AA2" s="819"/>
      <c r="AB2" s="819"/>
      <c r="AC2" s="819"/>
      <c r="AD2" s="819"/>
      <c r="AE2" s="819"/>
      <c r="AF2" s="819"/>
      <c r="AG2" s="819"/>
      <c r="AH2" s="819"/>
      <c r="AI2" s="819"/>
      <c r="AJ2" s="819"/>
      <c r="AK2" s="819"/>
      <c r="AL2" s="819"/>
      <c r="AM2" s="819"/>
      <c r="AN2" s="819"/>
      <c r="AO2" s="819"/>
      <c r="AP2" s="819"/>
      <c r="AQ2" s="819"/>
      <c r="AR2" s="819"/>
      <c r="AS2" s="819"/>
      <c r="AT2" s="819"/>
      <c r="AU2" s="819"/>
      <c r="AV2" s="819"/>
      <c r="AW2" s="819"/>
      <c r="AX2" s="819"/>
      <c r="AY2" s="819"/>
      <c r="AZ2" s="819"/>
      <c r="BA2" s="819"/>
      <c r="BB2" s="819"/>
      <c r="BC2" s="819"/>
      <c r="BD2" s="819"/>
      <c r="BE2" s="819"/>
      <c r="BF2" s="819"/>
      <c r="BG2" s="819"/>
      <c r="BH2" s="819"/>
      <c r="BI2" s="819"/>
      <c r="BJ2" s="819"/>
      <c r="BK2" s="819"/>
      <c r="BL2" s="819"/>
      <c r="BM2" s="819"/>
      <c r="BN2" s="819"/>
      <c r="BO2" s="819"/>
      <c r="BP2" s="819"/>
      <c r="BQ2" s="819"/>
      <c r="BR2" s="819"/>
      <c r="BS2" s="819"/>
      <c r="BT2" s="819"/>
      <c r="BU2" s="819"/>
      <c r="BV2" s="819"/>
      <c r="BW2" s="819"/>
      <c r="BX2" s="819"/>
      <c r="BY2" s="819"/>
      <c r="BZ2" s="819"/>
      <c r="CA2" s="819"/>
      <c r="CB2" s="819"/>
      <c r="CC2" s="819"/>
      <c r="CD2" s="819"/>
      <c r="CE2" s="819"/>
      <c r="CF2" s="819"/>
      <c r="CG2" s="819"/>
      <c r="CH2" s="819"/>
      <c r="CI2" s="819"/>
      <c r="CJ2" s="819"/>
      <c r="CK2" s="819"/>
      <c r="CL2" s="819"/>
      <c r="CM2" s="819"/>
      <c r="CN2" s="819"/>
      <c r="CO2" s="819"/>
      <c r="CP2" s="819"/>
      <c r="CQ2" s="819"/>
      <c r="CR2" s="819"/>
      <c r="CS2" s="819"/>
      <c r="CT2" s="819"/>
      <c r="CU2" s="819"/>
      <c r="CV2" s="819"/>
      <c r="CW2" s="819"/>
      <c r="CX2" s="819"/>
      <c r="CY2" s="819"/>
      <c r="CZ2" s="819"/>
      <c r="DA2" s="819"/>
      <c r="DB2" s="819"/>
      <c r="DC2" s="819"/>
      <c r="DD2" s="819"/>
      <c r="DE2" s="819"/>
      <c r="DF2" s="819"/>
      <c r="DG2" s="819"/>
      <c r="DH2" s="819"/>
      <c r="DI2" s="819"/>
      <c r="DJ2" s="819"/>
      <c r="DK2" s="819"/>
      <c r="DL2" s="819"/>
      <c r="DM2" s="819"/>
      <c r="DN2" s="819"/>
      <c r="DO2" s="819"/>
      <c r="DP2" s="819"/>
      <c r="DQ2" s="819"/>
      <c r="DR2" s="819"/>
      <c r="DS2" s="819"/>
      <c r="DT2" s="819"/>
      <c r="DU2" s="819"/>
      <c r="DV2" s="819"/>
      <c r="DW2" s="819"/>
      <c r="DX2" s="819"/>
      <c r="DY2" s="819"/>
      <c r="DZ2" s="819"/>
      <c r="EA2" s="819"/>
      <c r="EB2" s="819"/>
      <c r="EC2" s="819"/>
      <c r="ED2" s="819"/>
      <c r="EE2" s="819"/>
      <c r="EF2" s="819"/>
      <c r="EG2" s="819"/>
      <c r="EH2" s="819"/>
      <c r="EI2" s="819"/>
      <c r="EJ2" s="819"/>
      <c r="EK2" s="819"/>
      <c r="EL2" s="819"/>
      <c r="EM2" s="819"/>
      <c r="EN2" s="819"/>
      <c r="EO2" s="819"/>
      <c r="EP2" s="819"/>
      <c r="EQ2" s="819"/>
      <c r="ER2" s="819"/>
      <c r="ES2" s="819"/>
      <c r="ET2" s="819"/>
      <c r="EU2" s="819"/>
      <c r="EV2" s="819"/>
      <c r="EW2" s="819"/>
      <c r="EX2" s="819"/>
      <c r="EY2" s="819"/>
      <c r="EZ2" s="819"/>
      <c r="FA2" s="819"/>
      <c r="FB2" s="819"/>
      <c r="FC2" s="819"/>
      <c r="FD2" s="819"/>
      <c r="FE2" s="819"/>
      <c r="FF2" s="819"/>
      <c r="FG2" s="819"/>
      <c r="FH2" s="819"/>
      <c r="FI2" s="819"/>
      <c r="FJ2" s="819"/>
      <c r="FK2" s="819"/>
      <c r="FL2" s="819"/>
      <c r="FM2" s="819"/>
      <c r="FN2" s="819"/>
      <c r="FO2" s="819"/>
      <c r="FP2" s="819"/>
      <c r="FQ2" s="819"/>
      <c r="FR2" s="819"/>
      <c r="FS2" s="819"/>
      <c r="FT2" s="819"/>
      <c r="FU2" s="819"/>
      <c r="FV2" s="819"/>
      <c r="FW2" s="819"/>
      <c r="FX2" s="819"/>
      <c r="FY2" s="819"/>
      <c r="FZ2" s="819"/>
      <c r="GA2" s="819"/>
      <c r="GB2" s="819"/>
      <c r="GC2" s="819"/>
      <c r="GD2" s="819"/>
      <c r="GE2" s="819"/>
      <c r="GF2" s="819"/>
      <c r="GG2" s="819"/>
      <c r="GH2" s="819"/>
      <c r="GI2" s="819"/>
      <c r="GJ2" s="819"/>
      <c r="GK2" s="819"/>
      <c r="GL2" s="819"/>
      <c r="GM2" s="819"/>
      <c r="GN2" s="819"/>
      <c r="GO2" s="819"/>
    </row>
    <row r="3" spans="1:197" ht="12.75">
      <c r="A3" s="728" t="s">
        <v>1399</v>
      </c>
      <c r="B3" s="668" t="s">
        <v>293</v>
      </c>
      <c r="C3" s="668" t="s">
        <v>293</v>
      </c>
      <c r="D3" s="668" t="s">
        <v>293</v>
      </c>
      <c r="E3" s="668" t="s">
        <v>293</v>
      </c>
      <c r="F3" s="668" t="s">
        <v>1398</v>
      </c>
      <c r="G3" s="668" t="s">
        <v>293</v>
      </c>
      <c r="H3" s="668" t="s">
        <v>293</v>
      </c>
      <c r="I3" s="668" t="s">
        <v>293</v>
      </c>
      <c r="J3" s="668" t="s">
        <v>293</v>
      </c>
      <c r="K3" s="668" t="s">
        <v>293</v>
      </c>
      <c r="L3" s="668" t="s">
        <v>293</v>
      </c>
      <c r="M3" s="668" t="s">
        <v>293</v>
      </c>
      <c r="N3" s="668" t="s">
        <v>293</v>
      </c>
      <c r="O3" s="668" t="s">
        <v>293</v>
      </c>
      <c r="P3" s="668" t="s">
        <v>293</v>
      </c>
      <c r="Q3" s="668" t="s">
        <v>293</v>
      </c>
      <c r="R3" s="668" t="s">
        <v>1398</v>
      </c>
      <c r="S3" s="668" t="s">
        <v>1398</v>
      </c>
      <c r="T3" s="668" t="s">
        <v>1398</v>
      </c>
      <c r="U3" s="668" t="s">
        <v>293</v>
      </c>
      <c r="V3" s="668" t="s">
        <v>293</v>
      </c>
      <c r="W3" s="668" t="s">
        <v>1398</v>
      </c>
      <c r="X3" s="668" t="s">
        <v>1398</v>
      </c>
      <c r="Y3" s="668" t="s">
        <v>293</v>
      </c>
      <c r="Z3" s="668" t="s">
        <v>293</v>
      </c>
      <c r="AA3" s="668" t="s">
        <v>1398</v>
      </c>
      <c r="AB3" s="668" t="s">
        <v>293</v>
      </c>
      <c r="AC3" s="668" t="s">
        <v>293</v>
      </c>
      <c r="AD3" s="668" t="s">
        <v>293</v>
      </c>
      <c r="AE3" s="668" t="s">
        <v>293</v>
      </c>
      <c r="AF3" s="668" t="s">
        <v>293</v>
      </c>
      <c r="AG3" s="668" t="s">
        <v>293</v>
      </c>
      <c r="AH3" s="668" t="s">
        <v>1398</v>
      </c>
      <c r="AI3" s="668" t="s">
        <v>293</v>
      </c>
      <c r="AJ3" s="668" t="s">
        <v>293</v>
      </c>
      <c r="AK3" s="668" t="s">
        <v>293</v>
      </c>
      <c r="AL3" s="668" t="s">
        <v>293</v>
      </c>
      <c r="AM3" s="668" t="s">
        <v>293</v>
      </c>
      <c r="AN3" s="668" t="s">
        <v>293</v>
      </c>
      <c r="AO3" s="668" t="s">
        <v>293</v>
      </c>
      <c r="AP3" s="668" t="s">
        <v>293</v>
      </c>
      <c r="AQ3" s="668" t="s">
        <v>293</v>
      </c>
      <c r="AR3" s="668" t="s">
        <v>293</v>
      </c>
      <c r="AS3" s="668" t="s">
        <v>293</v>
      </c>
      <c r="AT3" s="668" t="s">
        <v>293</v>
      </c>
      <c r="AU3" s="668" t="s">
        <v>293</v>
      </c>
      <c r="AV3" s="668" t="s">
        <v>293</v>
      </c>
      <c r="AW3" s="668" t="s">
        <v>293</v>
      </c>
      <c r="AX3" s="668" t="s">
        <v>293</v>
      </c>
      <c r="AY3" s="668" t="s">
        <v>293</v>
      </c>
      <c r="AZ3" s="668" t="s">
        <v>293</v>
      </c>
      <c r="BA3" s="668" t="s">
        <v>293</v>
      </c>
      <c r="BB3" s="668" t="s">
        <v>1398</v>
      </c>
      <c r="BC3" s="668" t="s">
        <v>1398</v>
      </c>
      <c r="BD3" s="668" t="s">
        <v>293</v>
      </c>
      <c r="BE3" s="668" t="s">
        <v>293</v>
      </c>
      <c r="BF3" s="668" t="s">
        <v>293</v>
      </c>
      <c r="BG3" s="668" t="s">
        <v>293</v>
      </c>
      <c r="BH3" s="668" t="s">
        <v>293</v>
      </c>
      <c r="BI3" s="668" t="s">
        <v>293</v>
      </c>
      <c r="BJ3" s="668" t="s">
        <v>293</v>
      </c>
      <c r="BK3" s="668" t="s">
        <v>293</v>
      </c>
      <c r="BL3" s="668" t="s">
        <v>293</v>
      </c>
      <c r="BM3" s="668" t="s">
        <v>293</v>
      </c>
      <c r="BN3" s="668"/>
      <c r="BO3" s="668" t="s">
        <v>293</v>
      </c>
      <c r="BP3" s="668" t="s">
        <v>293</v>
      </c>
      <c r="BQ3" s="668" t="s">
        <v>293</v>
      </c>
      <c r="BR3" s="668" t="s">
        <v>293</v>
      </c>
      <c r="BS3" s="668" t="s">
        <v>1398</v>
      </c>
      <c r="BT3" s="668" t="s">
        <v>1398</v>
      </c>
      <c r="BU3" s="668" t="s">
        <v>945</v>
      </c>
      <c r="BV3" s="668" t="s">
        <v>293</v>
      </c>
      <c r="BW3" s="668" t="s">
        <v>293</v>
      </c>
      <c r="BX3" s="668" t="s">
        <v>293</v>
      </c>
      <c r="BY3" s="668" t="s">
        <v>293</v>
      </c>
      <c r="BZ3" s="668" t="s">
        <v>293</v>
      </c>
      <c r="CA3" s="668" t="s">
        <v>1398</v>
      </c>
      <c r="CB3" s="668" t="s">
        <v>1398</v>
      </c>
      <c r="CC3" s="668" t="s">
        <v>945</v>
      </c>
      <c r="CD3" s="668" t="s">
        <v>945</v>
      </c>
      <c r="CE3" s="668" t="s">
        <v>945</v>
      </c>
      <c r="CF3" s="668" t="s">
        <v>945</v>
      </c>
      <c r="CG3" s="668" t="s">
        <v>945</v>
      </c>
      <c r="CH3" s="668" t="s">
        <v>945</v>
      </c>
      <c r="CI3" s="668" t="s">
        <v>1398</v>
      </c>
      <c r="CJ3" s="668" t="s">
        <v>945</v>
      </c>
      <c r="CK3" s="668" t="s">
        <v>945</v>
      </c>
      <c r="CL3" s="668" t="s">
        <v>945</v>
      </c>
      <c r="CM3" s="668" t="s">
        <v>1398</v>
      </c>
      <c r="CN3" s="668" t="s">
        <v>1398</v>
      </c>
      <c r="CO3" s="668" t="s">
        <v>293</v>
      </c>
      <c r="CP3" s="668" t="s">
        <v>1398</v>
      </c>
      <c r="CQ3" s="668" t="s">
        <v>1398</v>
      </c>
      <c r="CR3" s="668" t="s">
        <v>293</v>
      </c>
      <c r="CS3" s="668" t="s">
        <v>293</v>
      </c>
      <c r="CT3" s="668" t="s">
        <v>293</v>
      </c>
      <c r="CU3" s="668" t="s">
        <v>293</v>
      </c>
      <c r="CV3" s="668" t="s">
        <v>1398</v>
      </c>
      <c r="CW3" s="668" t="s">
        <v>1398</v>
      </c>
      <c r="CX3" s="668" t="s">
        <v>1398</v>
      </c>
      <c r="CY3" s="668" t="s">
        <v>1398</v>
      </c>
      <c r="CZ3" s="668" t="s">
        <v>1398</v>
      </c>
      <c r="DA3" s="668" t="s">
        <v>1398</v>
      </c>
      <c r="DB3" s="668" t="s">
        <v>1398</v>
      </c>
      <c r="DC3" s="668" t="s">
        <v>1398</v>
      </c>
      <c r="DD3" s="668" t="s">
        <v>1398</v>
      </c>
      <c r="DE3" s="668" t="s">
        <v>1398</v>
      </c>
      <c r="DF3" s="668" t="s">
        <v>1398</v>
      </c>
      <c r="DG3" s="668" t="s">
        <v>1398</v>
      </c>
      <c r="DH3" s="668" t="s">
        <v>1398</v>
      </c>
      <c r="DI3" s="668" t="s">
        <v>1398</v>
      </c>
      <c r="DJ3" s="668" t="s">
        <v>1398</v>
      </c>
      <c r="DK3" s="668" t="s">
        <v>1398</v>
      </c>
      <c r="DL3" s="668" t="s">
        <v>1398</v>
      </c>
      <c r="DM3" s="668" t="s">
        <v>1398</v>
      </c>
      <c r="DN3" s="668" t="s">
        <v>1398</v>
      </c>
      <c r="DO3" s="668" t="s">
        <v>1398</v>
      </c>
      <c r="DP3" s="668" t="s">
        <v>1398</v>
      </c>
      <c r="DQ3" s="668" t="s">
        <v>1398</v>
      </c>
      <c r="DR3" s="668" t="s">
        <v>1398</v>
      </c>
      <c r="DS3" s="668" t="s">
        <v>1398</v>
      </c>
      <c r="DT3" s="668" t="s">
        <v>1398</v>
      </c>
      <c r="DU3" s="668" t="s">
        <v>1398</v>
      </c>
      <c r="DV3" s="668" t="s">
        <v>1398</v>
      </c>
      <c r="DW3" s="668" t="s">
        <v>1398</v>
      </c>
      <c r="DX3" s="668" t="s">
        <v>1398</v>
      </c>
      <c r="DY3" s="668" t="s">
        <v>1398</v>
      </c>
      <c r="DZ3" s="668" t="s">
        <v>1398</v>
      </c>
      <c r="EA3" s="668" t="s">
        <v>1398</v>
      </c>
      <c r="EB3" s="668" t="s">
        <v>1398</v>
      </c>
      <c r="EC3" s="668" t="s">
        <v>1398</v>
      </c>
      <c r="ED3" s="668" t="s">
        <v>1398</v>
      </c>
      <c r="EE3" s="668" t="s">
        <v>1398</v>
      </c>
      <c r="EF3" s="668" t="s">
        <v>1398</v>
      </c>
      <c r="EG3" s="668" t="s">
        <v>1398</v>
      </c>
      <c r="EH3" s="668" t="s">
        <v>1398</v>
      </c>
      <c r="EI3" s="668" t="s">
        <v>1398</v>
      </c>
      <c r="EJ3" s="668" t="s">
        <v>1398</v>
      </c>
      <c r="EK3" s="668" t="s">
        <v>1398</v>
      </c>
      <c r="EL3" s="668" t="s">
        <v>1398</v>
      </c>
      <c r="EM3" s="668" t="s">
        <v>1398</v>
      </c>
      <c r="EN3" s="668" t="s">
        <v>1398</v>
      </c>
      <c r="EO3" s="668" t="s">
        <v>1398</v>
      </c>
      <c r="EP3" s="668" t="s">
        <v>1398</v>
      </c>
      <c r="EQ3" s="668" t="s">
        <v>1398</v>
      </c>
      <c r="ER3" s="668" t="s">
        <v>1398</v>
      </c>
      <c r="ES3" s="668" t="s">
        <v>1398</v>
      </c>
      <c r="ET3" s="668" t="s">
        <v>1398</v>
      </c>
      <c r="EU3" s="668" t="s">
        <v>1398</v>
      </c>
      <c r="EV3" s="668" t="s">
        <v>1398</v>
      </c>
      <c r="EW3" s="668" t="s">
        <v>1398</v>
      </c>
      <c r="EX3" s="668" t="s">
        <v>1398</v>
      </c>
      <c r="EY3" s="668" t="s">
        <v>1398</v>
      </c>
      <c r="EZ3" s="668" t="s">
        <v>1398</v>
      </c>
      <c r="FA3" s="668" t="s">
        <v>1398</v>
      </c>
      <c r="FB3" s="668" t="s">
        <v>1398</v>
      </c>
      <c r="FC3" s="668" t="s">
        <v>1398</v>
      </c>
      <c r="FD3" s="668" t="s">
        <v>1398</v>
      </c>
      <c r="FE3" s="668" t="s">
        <v>1398</v>
      </c>
      <c r="FF3" s="668" t="s">
        <v>1398</v>
      </c>
      <c r="FG3" s="668" t="s">
        <v>1398</v>
      </c>
      <c r="FH3" s="668" t="s">
        <v>1398</v>
      </c>
      <c r="FI3" s="668" t="s">
        <v>1398</v>
      </c>
      <c r="FJ3" s="668" t="s">
        <v>1398</v>
      </c>
      <c r="FK3" s="668" t="s">
        <v>1398</v>
      </c>
      <c r="FL3" s="668" t="s">
        <v>1398</v>
      </c>
      <c r="FM3" s="668" t="s">
        <v>1398</v>
      </c>
      <c r="FN3" s="668" t="s">
        <v>1398</v>
      </c>
      <c r="FO3" s="668" t="s">
        <v>1398</v>
      </c>
      <c r="FP3" s="668" t="s">
        <v>1398</v>
      </c>
      <c r="FQ3" s="668" t="s">
        <v>1398</v>
      </c>
      <c r="FR3" s="668" t="s">
        <v>1398</v>
      </c>
      <c r="FS3" s="668" t="s">
        <v>1398</v>
      </c>
      <c r="FT3" s="668" t="s">
        <v>1398</v>
      </c>
      <c r="FU3" s="668" t="s">
        <v>1398</v>
      </c>
      <c r="FV3" s="668" t="s">
        <v>1398</v>
      </c>
      <c r="FW3" s="668" t="s">
        <v>1398</v>
      </c>
      <c r="FX3" s="668" t="s">
        <v>1398</v>
      </c>
      <c r="FY3" s="668" t="s">
        <v>1398</v>
      </c>
      <c r="FZ3" s="668" t="s">
        <v>1398</v>
      </c>
      <c r="GA3" s="668" t="s">
        <v>1398</v>
      </c>
      <c r="GB3" s="668" t="s">
        <v>1398</v>
      </c>
      <c r="GC3" s="668" t="s">
        <v>1398</v>
      </c>
      <c r="GD3" s="668" t="s">
        <v>1398</v>
      </c>
      <c r="GE3" s="668" t="s">
        <v>1398</v>
      </c>
      <c r="GF3" s="668" t="s">
        <v>1398</v>
      </c>
      <c r="GG3" s="668" t="s">
        <v>1398</v>
      </c>
      <c r="GH3" s="668" t="s">
        <v>1398</v>
      </c>
      <c r="GI3" s="668" t="s">
        <v>1398</v>
      </c>
      <c r="GJ3" s="668" t="s">
        <v>1398</v>
      </c>
      <c r="GK3" s="668" t="s">
        <v>1398</v>
      </c>
      <c r="GL3" s="668" t="s">
        <v>1398</v>
      </c>
      <c r="GM3" s="668" t="s">
        <v>1398</v>
      </c>
      <c r="GN3" s="668" t="s">
        <v>1398</v>
      </c>
      <c r="GO3" s="668" t="s">
        <v>1398</v>
      </c>
    </row>
    <row r="4" spans="1:197" ht="12.75">
      <c r="A4" s="728" t="s">
        <v>1247</v>
      </c>
      <c r="B4" s="668" t="s">
        <v>293</v>
      </c>
      <c r="C4" s="668" t="s">
        <v>293</v>
      </c>
      <c r="D4" s="668" t="s">
        <v>293</v>
      </c>
      <c r="E4" s="668" t="s">
        <v>293</v>
      </c>
      <c r="F4" s="662" t="s">
        <v>1358</v>
      </c>
      <c r="G4" s="668" t="s">
        <v>293</v>
      </c>
      <c r="H4" s="668" t="s">
        <v>293</v>
      </c>
      <c r="I4" s="668" t="s">
        <v>293</v>
      </c>
      <c r="J4" s="668" t="s">
        <v>293</v>
      </c>
      <c r="K4" s="668" t="s">
        <v>293</v>
      </c>
      <c r="L4" s="668" t="s">
        <v>293</v>
      </c>
      <c r="M4" s="668" t="s">
        <v>293</v>
      </c>
      <c r="N4" s="668" t="s">
        <v>293</v>
      </c>
      <c r="O4" s="668" t="s">
        <v>293</v>
      </c>
      <c r="P4" s="668" t="s">
        <v>293</v>
      </c>
      <c r="Q4" s="668" t="s">
        <v>293</v>
      </c>
      <c r="R4" s="662" t="s">
        <v>1382</v>
      </c>
      <c r="S4" s="662" t="s">
        <v>1382</v>
      </c>
      <c r="T4" s="662" t="s">
        <v>1382</v>
      </c>
      <c r="U4" s="668" t="s">
        <v>293</v>
      </c>
      <c r="V4" s="668" t="s">
        <v>293</v>
      </c>
      <c r="W4" s="662" t="s">
        <v>1242</v>
      </c>
      <c r="X4" s="662" t="s">
        <v>1242</v>
      </c>
      <c r="Y4" s="668" t="s">
        <v>293</v>
      </c>
      <c r="Z4" s="668" t="s">
        <v>293</v>
      </c>
      <c r="AA4" s="662" t="s">
        <v>1242</v>
      </c>
      <c r="AB4" s="668" t="s">
        <v>293</v>
      </c>
      <c r="AC4" s="668" t="s">
        <v>293</v>
      </c>
      <c r="AD4" s="668" t="s">
        <v>293</v>
      </c>
      <c r="AE4" s="668" t="s">
        <v>293</v>
      </c>
      <c r="AF4" s="668" t="s">
        <v>293</v>
      </c>
      <c r="AG4" s="668" t="s">
        <v>293</v>
      </c>
      <c r="AH4" s="662" t="s">
        <v>1242</v>
      </c>
      <c r="AI4" s="668" t="s">
        <v>293</v>
      </c>
      <c r="AJ4" s="668" t="s">
        <v>293</v>
      </c>
      <c r="AK4" s="668" t="s">
        <v>293</v>
      </c>
      <c r="AL4" s="668" t="s">
        <v>293</v>
      </c>
      <c r="AM4" s="668" t="s">
        <v>293</v>
      </c>
      <c r="AN4" s="668" t="s">
        <v>293</v>
      </c>
      <c r="AO4" s="668" t="s">
        <v>293</v>
      </c>
      <c r="AP4" s="668" t="s">
        <v>293</v>
      </c>
      <c r="AQ4" s="668" t="s">
        <v>293</v>
      </c>
      <c r="AR4" s="668" t="s">
        <v>293</v>
      </c>
      <c r="AS4" s="668" t="s">
        <v>293</v>
      </c>
      <c r="AT4" s="668" t="s">
        <v>293</v>
      </c>
      <c r="AU4" s="668" t="s">
        <v>293</v>
      </c>
      <c r="AV4" s="668" t="s">
        <v>293</v>
      </c>
      <c r="AW4" s="668" t="s">
        <v>293</v>
      </c>
      <c r="AX4" s="668" t="s">
        <v>293</v>
      </c>
      <c r="AY4" s="668" t="s">
        <v>293</v>
      </c>
      <c r="AZ4" s="668" t="s">
        <v>293</v>
      </c>
      <c r="BA4" s="668" t="s">
        <v>293</v>
      </c>
      <c r="BB4" s="662" t="s">
        <v>1382</v>
      </c>
      <c r="BC4" s="662" t="s">
        <v>1245</v>
      </c>
      <c r="BD4" s="668" t="s">
        <v>293</v>
      </c>
      <c r="BE4" s="668" t="s">
        <v>293</v>
      </c>
      <c r="BF4" s="668" t="s">
        <v>293</v>
      </c>
      <c r="BG4" s="668" t="s">
        <v>293</v>
      </c>
      <c r="BH4" s="668" t="s">
        <v>293</v>
      </c>
      <c r="BI4" s="668" t="s">
        <v>293</v>
      </c>
      <c r="BJ4" s="668" t="s">
        <v>293</v>
      </c>
      <c r="BK4" s="668" t="s">
        <v>293</v>
      </c>
      <c r="BL4" s="668" t="s">
        <v>293</v>
      </c>
      <c r="BM4" s="668" t="s">
        <v>293</v>
      </c>
      <c r="BN4" s="668" t="s">
        <v>293</v>
      </c>
      <c r="BO4" s="668" t="s">
        <v>293</v>
      </c>
      <c r="BP4" s="668" t="s">
        <v>293</v>
      </c>
      <c r="BQ4" s="668" t="s">
        <v>293</v>
      </c>
      <c r="BR4" s="668" t="s">
        <v>293</v>
      </c>
      <c r="BS4" s="662" t="s">
        <v>1380</v>
      </c>
      <c r="BT4" s="662" t="s">
        <v>1246</v>
      </c>
      <c r="BU4" s="662" t="s">
        <v>1396</v>
      </c>
      <c r="BV4" s="668" t="s">
        <v>293</v>
      </c>
      <c r="BW4" s="668" t="s">
        <v>293</v>
      </c>
      <c r="BX4" s="668" t="s">
        <v>293</v>
      </c>
      <c r="BY4" s="668" t="s">
        <v>293</v>
      </c>
      <c r="BZ4" s="668" t="s">
        <v>293</v>
      </c>
      <c r="CA4" s="662" t="s">
        <v>1245</v>
      </c>
      <c r="CB4" s="662" t="s">
        <v>1397</v>
      </c>
      <c r="CC4" s="662" t="s">
        <v>1396</v>
      </c>
      <c r="CD4" s="662" t="s">
        <v>1396</v>
      </c>
      <c r="CE4" s="662" t="s">
        <v>1396</v>
      </c>
      <c r="CF4" s="662" t="s">
        <v>1396</v>
      </c>
      <c r="CG4" s="662" t="s">
        <v>1396</v>
      </c>
      <c r="CH4" s="662" t="s">
        <v>1396</v>
      </c>
      <c r="CI4" s="662" t="s">
        <v>1246</v>
      </c>
      <c r="CJ4" s="662" t="s">
        <v>1396</v>
      </c>
      <c r="CK4" s="662" t="s">
        <v>1396</v>
      </c>
      <c r="CL4" s="662" t="s">
        <v>1396</v>
      </c>
      <c r="CM4" s="662" t="s">
        <v>1382</v>
      </c>
      <c r="CN4" s="662" t="s">
        <v>1245</v>
      </c>
      <c r="CO4" s="668" t="s">
        <v>293</v>
      </c>
      <c r="CP4" s="662" t="s">
        <v>1246</v>
      </c>
      <c r="CQ4" s="662" t="s">
        <v>1245</v>
      </c>
      <c r="CR4" s="668" t="s">
        <v>293</v>
      </c>
      <c r="CS4" s="668" t="s">
        <v>293</v>
      </c>
      <c r="CT4" s="668" t="s">
        <v>293</v>
      </c>
      <c r="CU4" s="668" t="s">
        <v>293</v>
      </c>
      <c r="CV4" s="662" t="s">
        <v>1245</v>
      </c>
      <c r="CW4" s="662" t="s">
        <v>1387</v>
      </c>
      <c r="CX4" s="662" t="s">
        <v>1395</v>
      </c>
      <c r="CY4" s="662" t="s">
        <v>1395</v>
      </c>
      <c r="CZ4" s="662" t="s">
        <v>1395</v>
      </c>
      <c r="DA4" s="662" t="s">
        <v>1384</v>
      </c>
      <c r="DB4" s="662" t="s">
        <v>1384</v>
      </c>
      <c r="DC4" s="662" t="s">
        <v>1384</v>
      </c>
      <c r="DD4" s="662" t="s">
        <v>1384</v>
      </c>
      <c r="DE4" s="662" t="s">
        <v>1384</v>
      </c>
      <c r="DF4" s="662" t="s">
        <v>1384</v>
      </c>
      <c r="DG4" s="662" t="s">
        <v>1384</v>
      </c>
      <c r="DH4" s="662" t="s">
        <v>1384</v>
      </c>
      <c r="DI4" s="662" t="s">
        <v>1384</v>
      </c>
      <c r="DJ4" s="662" t="s">
        <v>1383</v>
      </c>
      <c r="DK4" s="662" t="s">
        <v>1393</v>
      </c>
      <c r="DL4" s="662" t="s">
        <v>1384</v>
      </c>
      <c r="DM4" s="662" t="s">
        <v>1384</v>
      </c>
      <c r="DN4" s="662" t="s">
        <v>1384</v>
      </c>
      <c r="DO4" s="662" t="s">
        <v>1384</v>
      </c>
      <c r="DP4" s="662" t="s">
        <v>1384</v>
      </c>
      <c r="DQ4" s="662" t="s">
        <v>1384</v>
      </c>
      <c r="DR4" s="662" t="s">
        <v>1384</v>
      </c>
      <c r="DS4" s="662" t="s">
        <v>1384</v>
      </c>
      <c r="DT4" s="662" t="s">
        <v>1384</v>
      </c>
      <c r="DU4" s="662" t="s">
        <v>1384</v>
      </c>
      <c r="DV4" s="662" t="s">
        <v>1384</v>
      </c>
      <c r="DW4" s="662" t="s">
        <v>1385</v>
      </c>
      <c r="DX4" s="662" t="s">
        <v>1385</v>
      </c>
      <c r="DY4" s="662" t="s">
        <v>1385</v>
      </c>
      <c r="DZ4" s="662" t="s">
        <v>1387</v>
      </c>
      <c r="EA4" s="662" t="s">
        <v>1384</v>
      </c>
      <c r="EB4" s="662" t="s">
        <v>1384</v>
      </c>
      <c r="EC4" s="662" t="s">
        <v>1276</v>
      </c>
      <c r="ED4" s="662" t="s">
        <v>1384</v>
      </c>
      <c r="EE4" s="662" t="s">
        <v>1385</v>
      </c>
      <c r="EF4" s="662" t="s">
        <v>1385</v>
      </c>
      <c r="EG4" s="662" t="s">
        <v>1385</v>
      </c>
      <c r="EH4" s="662" t="s">
        <v>1389</v>
      </c>
      <c r="EI4" s="662" t="s">
        <v>1246</v>
      </c>
      <c r="EJ4" s="662" t="s">
        <v>1394</v>
      </c>
      <c r="EK4" s="662" t="s">
        <v>1387</v>
      </c>
      <c r="EL4" s="662" t="s">
        <v>1393</v>
      </c>
      <c r="EM4" s="662" t="s">
        <v>1384</v>
      </c>
      <c r="EN4" s="662" t="s">
        <v>1242</v>
      </c>
      <c r="EO4" s="662" t="s">
        <v>1389</v>
      </c>
      <c r="EP4" s="662" t="s">
        <v>1383</v>
      </c>
      <c r="EQ4" s="662" t="s">
        <v>1242</v>
      </c>
      <c r="ER4" s="662" t="s">
        <v>1242</v>
      </c>
      <c r="ES4" s="662" t="s">
        <v>1242</v>
      </c>
      <c r="ET4" s="662" t="s">
        <v>1389</v>
      </c>
      <c r="EU4" s="662" t="s">
        <v>1389</v>
      </c>
      <c r="EV4" s="662" t="s">
        <v>1389</v>
      </c>
      <c r="EW4" s="662" t="s">
        <v>1389</v>
      </c>
      <c r="EX4" s="662" t="s">
        <v>1389</v>
      </c>
      <c r="EY4" s="662" t="s">
        <v>1389</v>
      </c>
      <c r="EZ4" s="662" t="s">
        <v>1389</v>
      </c>
      <c r="FA4" s="662" t="s">
        <v>1389</v>
      </c>
      <c r="FB4" s="662" t="s">
        <v>1392</v>
      </c>
      <c r="FC4" s="662" t="s">
        <v>1392</v>
      </c>
      <c r="FD4" s="662" t="s">
        <v>1392</v>
      </c>
      <c r="FE4" s="662" t="s">
        <v>1391</v>
      </c>
      <c r="FF4" s="662" t="s">
        <v>1391</v>
      </c>
      <c r="FG4" s="662" t="s">
        <v>1383</v>
      </c>
      <c r="FH4" s="662" t="s">
        <v>1383</v>
      </c>
      <c r="FI4" s="662" t="s">
        <v>1384</v>
      </c>
      <c r="FJ4" s="662" t="s">
        <v>1276</v>
      </c>
      <c r="FK4" s="662" t="s">
        <v>1276</v>
      </c>
      <c r="FL4" s="662" t="s">
        <v>1385</v>
      </c>
      <c r="FM4" s="662" t="s">
        <v>1385</v>
      </c>
      <c r="FN4" s="662" t="s">
        <v>1385</v>
      </c>
      <c r="FO4" s="662" t="s">
        <v>1385</v>
      </c>
      <c r="FP4" s="662" t="s">
        <v>1390</v>
      </c>
      <c r="FQ4" s="662" t="s">
        <v>1389</v>
      </c>
      <c r="FR4" s="662" t="s">
        <v>1384</v>
      </c>
      <c r="FS4" s="662" t="s">
        <v>1388</v>
      </c>
      <c r="FT4" s="662" t="s">
        <v>1388</v>
      </c>
      <c r="FU4" s="662" t="s">
        <v>1388</v>
      </c>
      <c r="FV4" s="662" t="s">
        <v>1383</v>
      </c>
      <c r="FW4" s="662" t="s">
        <v>1384</v>
      </c>
      <c r="FX4" s="662" t="s">
        <v>1384</v>
      </c>
      <c r="FY4" s="662" t="s">
        <v>1276</v>
      </c>
      <c r="FZ4" s="662" t="s">
        <v>1384</v>
      </c>
      <c r="GA4" s="662" t="s">
        <v>1387</v>
      </c>
      <c r="GB4" s="662" t="s">
        <v>1386</v>
      </c>
      <c r="GC4" s="662" t="s">
        <v>1384</v>
      </c>
      <c r="GD4" s="662" t="s">
        <v>1385</v>
      </c>
      <c r="GE4" s="662" t="s">
        <v>1384</v>
      </c>
      <c r="GF4" s="662" t="s">
        <v>1385</v>
      </c>
      <c r="GG4" s="662" t="s">
        <v>1385</v>
      </c>
      <c r="GH4" s="662" t="s">
        <v>1384</v>
      </c>
      <c r="GI4" s="662" t="s">
        <v>1384</v>
      </c>
      <c r="GJ4" s="662" t="s">
        <v>1383</v>
      </c>
      <c r="GK4" s="662" t="s">
        <v>1383</v>
      </c>
      <c r="GL4" s="662" t="s">
        <v>1383</v>
      </c>
      <c r="GM4" s="662" t="s">
        <v>1383</v>
      </c>
      <c r="GN4" s="662" t="s">
        <v>1383</v>
      </c>
      <c r="GO4" s="662" t="s">
        <v>1383</v>
      </c>
    </row>
    <row r="5" spans="1:197" ht="12.75">
      <c r="A5" s="728" t="s">
        <v>1244</v>
      </c>
      <c r="B5" s="668" t="s">
        <v>293</v>
      </c>
      <c r="C5" s="668" t="s">
        <v>293</v>
      </c>
      <c r="D5" s="668" t="s">
        <v>293</v>
      </c>
      <c r="E5" s="668" t="s">
        <v>293</v>
      </c>
      <c r="F5" s="662" t="s">
        <v>1307</v>
      </c>
      <c r="G5" s="668" t="s">
        <v>293</v>
      </c>
      <c r="H5" s="668" t="s">
        <v>293</v>
      </c>
      <c r="I5" s="668" t="s">
        <v>293</v>
      </c>
      <c r="J5" s="668" t="s">
        <v>293</v>
      </c>
      <c r="K5" s="668" t="s">
        <v>293</v>
      </c>
      <c r="L5" s="668" t="s">
        <v>293</v>
      </c>
      <c r="M5" s="668" t="s">
        <v>293</v>
      </c>
      <c r="N5" s="668" t="s">
        <v>293</v>
      </c>
      <c r="O5" s="668" t="s">
        <v>293</v>
      </c>
      <c r="P5" s="668" t="s">
        <v>293</v>
      </c>
      <c r="Q5" s="668" t="s">
        <v>293</v>
      </c>
      <c r="R5" s="662" t="s">
        <v>1382</v>
      </c>
      <c r="S5" s="662" t="s">
        <v>1382</v>
      </c>
      <c r="T5" s="662" t="s">
        <v>1382</v>
      </c>
      <c r="U5" s="668" t="s">
        <v>293</v>
      </c>
      <c r="V5" s="668" t="s">
        <v>293</v>
      </c>
      <c r="W5" s="662" t="s">
        <v>1242</v>
      </c>
      <c r="X5" s="662" t="s">
        <v>1242</v>
      </c>
      <c r="Y5" s="668" t="s">
        <v>293</v>
      </c>
      <c r="Z5" s="668" t="s">
        <v>293</v>
      </c>
      <c r="AA5" s="662" t="s">
        <v>1242</v>
      </c>
      <c r="AB5" s="668" t="s">
        <v>293</v>
      </c>
      <c r="AC5" s="668" t="s">
        <v>293</v>
      </c>
      <c r="AD5" s="668" t="s">
        <v>293</v>
      </c>
      <c r="AE5" s="668" t="s">
        <v>293</v>
      </c>
      <c r="AF5" s="668" t="s">
        <v>293</v>
      </c>
      <c r="AG5" s="668" t="s">
        <v>293</v>
      </c>
      <c r="AH5" s="662" t="s">
        <v>1242</v>
      </c>
      <c r="AI5" s="668" t="s">
        <v>293</v>
      </c>
      <c r="AJ5" s="668" t="s">
        <v>293</v>
      </c>
      <c r="AK5" s="668" t="s">
        <v>293</v>
      </c>
      <c r="AL5" s="668" t="s">
        <v>293</v>
      </c>
      <c r="AM5" s="668" t="s">
        <v>293</v>
      </c>
      <c r="AN5" s="668" t="s">
        <v>293</v>
      </c>
      <c r="AO5" s="668" t="s">
        <v>293</v>
      </c>
      <c r="AP5" s="668" t="s">
        <v>293</v>
      </c>
      <c r="AQ5" s="668" t="s">
        <v>293</v>
      </c>
      <c r="AR5" s="668" t="s">
        <v>293</v>
      </c>
      <c r="AS5" s="668" t="s">
        <v>293</v>
      </c>
      <c r="AT5" s="668" t="s">
        <v>293</v>
      </c>
      <c r="AU5" s="668" t="s">
        <v>293</v>
      </c>
      <c r="AV5" s="668" t="s">
        <v>293</v>
      </c>
      <c r="AW5" s="668" t="s">
        <v>293</v>
      </c>
      <c r="AX5" s="668" t="s">
        <v>293</v>
      </c>
      <c r="AY5" s="668" t="s">
        <v>293</v>
      </c>
      <c r="AZ5" s="668" t="s">
        <v>293</v>
      </c>
      <c r="BA5" s="668" t="s">
        <v>293</v>
      </c>
      <c r="BB5" s="662" t="s">
        <v>1381</v>
      </c>
      <c r="BC5" s="662" t="s">
        <v>1240</v>
      </c>
      <c r="BD5" s="668" t="s">
        <v>293</v>
      </c>
      <c r="BE5" s="668" t="s">
        <v>293</v>
      </c>
      <c r="BF5" s="668" t="s">
        <v>293</v>
      </c>
      <c r="BG5" s="668" t="s">
        <v>293</v>
      </c>
      <c r="BH5" s="668" t="s">
        <v>293</v>
      </c>
      <c r="BI5" s="668" t="s">
        <v>293</v>
      </c>
      <c r="BJ5" s="668" t="s">
        <v>293</v>
      </c>
      <c r="BK5" s="668" t="s">
        <v>293</v>
      </c>
      <c r="BL5" s="668" t="s">
        <v>293</v>
      </c>
      <c r="BM5" s="668" t="s">
        <v>293</v>
      </c>
      <c r="BN5" s="668" t="s">
        <v>293</v>
      </c>
      <c r="BO5" s="668" t="s">
        <v>293</v>
      </c>
      <c r="BP5" s="668" t="s">
        <v>293</v>
      </c>
      <c r="BQ5" s="668" t="s">
        <v>293</v>
      </c>
      <c r="BR5" s="668" t="s">
        <v>293</v>
      </c>
      <c r="BS5" s="662" t="s">
        <v>1380</v>
      </c>
      <c r="BT5" s="662" t="s">
        <v>1377</v>
      </c>
      <c r="BU5" s="662" t="s">
        <v>1378</v>
      </c>
      <c r="BV5" s="668" t="s">
        <v>293</v>
      </c>
      <c r="BW5" s="668" t="s">
        <v>293</v>
      </c>
      <c r="BX5" s="668" t="s">
        <v>293</v>
      </c>
      <c r="BY5" s="668" t="s">
        <v>293</v>
      </c>
      <c r="BZ5" s="668" t="s">
        <v>293</v>
      </c>
      <c r="CA5" s="662" t="s">
        <v>1240</v>
      </c>
      <c r="CB5" s="662" t="s">
        <v>1379</v>
      </c>
      <c r="CC5" s="662" t="s">
        <v>1378</v>
      </c>
      <c r="CD5" s="662" t="s">
        <v>1378</v>
      </c>
      <c r="CE5" s="662" t="s">
        <v>1378</v>
      </c>
      <c r="CF5" s="662" t="s">
        <v>1378</v>
      </c>
      <c r="CG5" s="662" t="s">
        <v>1378</v>
      </c>
      <c r="CH5" s="662" t="s">
        <v>1378</v>
      </c>
      <c r="CI5" s="662" t="s">
        <v>1377</v>
      </c>
      <c r="CJ5" s="662" t="s">
        <v>1378</v>
      </c>
      <c r="CK5" s="662" t="s">
        <v>1378</v>
      </c>
      <c r="CL5" s="662" t="s">
        <v>1378</v>
      </c>
      <c r="CM5" s="662" t="s">
        <v>1308</v>
      </c>
      <c r="CN5" s="662" t="s">
        <v>1241</v>
      </c>
      <c r="CO5" s="668" t="s">
        <v>293</v>
      </c>
      <c r="CP5" s="662" t="s">
        <v>1377</v>
      </c>
      <c r="CQ5" s="662" t="s">
        <v>1241</v>
      </c>
      <c r="CR5" s="668" t="s">
        <v>293</v>
      </c>
      <c r="CS5" s="668" t="s">
        <v>293</v>
      </c>
      <c r="CT5" s="668" t="s">
        <v>293</v>
      </c>
      <c r="CU5" s="668" t="s">
        <v>293</v>
      </c>
      <c r="CV5" s="662" t="s">
        <v>1240</v>
      </c>
      <c r="CW5" s="662" t="s">
        <v>1362</v>
      </c>
      <c r="CX5" s="662" t="s">
        <v>1362</v>
      </c>
      <c r="CY5" s="662" t="s">
        <v>1362</v>
      </c>
      <c r="CZ5" s="662" t="s">
        <v>1362</v>
      </c>
      <c r="DA5" s="662" t="s">
        <v>1360</v>
      </c>
      <c r="DB5" s="662" t="s">
        <v>1360</v>
      </c>
      <c r="DC5" s="662" t="s">
        <v>1360</v>
      </c>
      <c r="DD5" s="662" t="s">
        <v>1360</v>
      </c>
      <c r="DE5" s="662" t="s">
        <v>1360</v>
      </c>
      <c r="DF5" s="662" t="s">
        <v>1360</v>
      </c>
      <c r="DG5" s="662" t="s">
        <v>1360</v>
      </c>
      <c r="DH5" s="662" t="s">
        <v>1360</v>
      </c>
      <c r="DI5" s="662" t="s">
        <v>1360</v>
      </c>
      <c r="DJ5" s="662" t="s">
        <v>1358</v>
      </c>
      <c r="DK5" s="662" t="s">
        <v>1359</v>
      </c>
      <c r="DL5" s="662" t="s">
        <v>1360</v>
      </c>
      <c r="DM5" s="662" t="s">
        <v>1360</v>
      </c>
      <c r="DN5" s="662" t="s">
        <v>1360</v>
      </c>
      <c r="DO5" s="662" t="s">
        <v>1360</v>
      </c>
      <c r="DP5" s="662" t="s">
        <v>1360</v>
      </c>
      <c r="DQ5" s="662" t="s">
        <v>1360</v>
      </c>
      <c r="DR5" s="662" t="s">
        <v>1360</v>
      </c>
      <c r="DS5" s="662" t="s">
        <v>1360</v>
      </c>
      <c r="DT5" s="662" t="s">
        <v>1360</v>
      </c>
      <c r="DU5" s="662" t="s">
        <v>1360</v>
      </c>
      <c r="DV5" s="662" t="s">
        <v>1360</v>
      </c>
      <c r="DW5" s="662" t="s">
        <v>1376</v>
      </c>
      <c r="DX5" s="662" t="s">
        <v>1376</v>
      </c>
      <c r="DY5" s="662" t="s">
        <v>1376</v>
      </c>
      <c r="DZ5" s="662" t="s">
        <v>1362</v>
      </c>
      <c r="EA5" s="662" t="s">
        <v>1360</v>
      </c>
      <c r="EB5" s="662" t="s">
        <v>1360</v>
      </c>
      <c r="EC5" s="662" t="s">
        <v>1368</v>
      </c>
      <c r="ED5" s="662" t="s">
        <v>1360</v>
      </c>
      <c r="EE5" s="662" t="s">
        <v>1376</v>
      </c>
      <c r="EF5" s="662" t="s">
        <v>1376</v>
      </c>
      <c r="EG5" s="662" t="s">
        <v>1360</v>
      </c>
      <c r="EH5" s="662" t="s">
        <v>1366</v>
      </c>
      <c r="EI5" s="662" t="s">
        <v>1241</v>
      </c>
      <c r="EJ5" s="662" t="s">
        <v>1375</v>
      </c>
      <c r="EK5" s="662" t="s">
        <v>1362</v>
      </c>
      <c r="EL5" s="662" t="s">
        <v>1242</v>
      </c>
      <c r="EM5" s="662" t="s">
        <v>1360</v>
      </c>
      <c r="EN5" s="662" t="s">
        <v>1374</v>
      </c>
      <c r="EO5" s="662" t="s">
        <v>1366</v>
      </c>
      <c r="EP5" s="662" t="s">
        <v>1373</v>
      </c>
      <c r="EQ5" s="662" t="s">
        <v>1372</v>
      </c>
      <c r="ER5" s="662" t="s">
        <v>1372</v>
      </c>
      <c r="ES5" s="662" t="s">
        <v>1371</v>
      </c>
      <c r="ET5" s="662" t="s">
        <v>1366</v>
      </c>
      <c r="EU5" s="662" t="s">
        <v>1366</v>
      </c>
      <c r="EV5" s="662" t="s">
        <v>1366</v>
      </c>
      <c r="EW5" s="662" t="s">
        <v>1366</v>
      </c>
      <c r="EX5" s="662" t="s">
        <v>1366</v>
      </c>
      <c r="EY5" s="662" t="s">
        <v>1366</v>
      </c>
      <c r="EZ5" s="662" t="s">
        <v>1366</v>
      </c>
      <c r="FA5" s="662" t="s">
        <v>1366</v>
      </c>
      <c r="FB5" s="662" t="s">
        <v>1370</v>
      </c>
      <c r="FC5" s="662" t="s">
        <v>1370</v>
      </c>
      <c r="FD5" s="662" t="s">
        <v>1370</v>
      </c>
      <c r="FE5" s="662" t="s">
        <v>1359</v>
      </c>
      <c r="FF5" s="662" t="s">
        <v>1359</v>
      </c>
      <c r="FG5" s="662" t="s">
        <v>1242</v>
      </c>
      <c r="FH5" s="662" t="s">
        <v>1242</v>
      </c>
      <c r="FI5" s="662" t="s">
        <v>1369</v>
      </c>
      <c r="FJ5" s="662" t="s">
        <v>1368</v>
      </c>
      <c r="FK5" s="662" t="s">
        <v>1368</v>
      </c>
      <c r="FL5" s="662" t="s">
        <v>1360</v>
      </c>
      <c r="FM5" s="662" t="s">
        <v>1360</v>
      </c>
      <c r="FN5" s="662" t="s">
        <v>1360</v>
      </c>
      <c r="FO5" s="662" t="s">
        <v>1360</v>
      </c>
      <c r="FP5" s="662" t="s">
        <v>1367</v>
      </c>
      <c r="FQ5" s="662" t="s">
        <v>1366</v>
      </c>
      <c r="FR5" s="662" t="s">
        <v>1360</v>
      </c>
      <c r="FS5" s="662" t="s">
        <v>1365</v>
      </c>
      <c r="FT5" s="662" t="s">
        <v>1365</v>
      </c>
      <c r="FU5" s="662" t="s">
        <v>1365</v>
      </c>
      <c r="FV5" s="662" t="s">
        <v>1364</v>
      </c>
      <c r="FW5" s="662" t="s">
        <v>1360</v>
      </c>
      <c r="FX5" s="662" t="s">
        <v>1360</v>
      </c>
      <c r="FY5" s="662" t="s">
        <v>1363</v>
      </c>
      <c r="FZ5" s="662" t="s">
        <v>1360</v>
      </c>
      <c r="GA5" s="662" t="s">
        <v>1362</v>
      </c>
      <c r="GB5" s="662" t="s">
        <v>1361</v>
      </c>
      <c r="GC5" s="662" t="s">
        <v>1360</v>
      </c>
      <c r="GD5" s="662" t="s">
        <v>1360</v>
      </c>
      <c r="GE5" s="662" t="s">
        <v>1359</v>
      </c>
      <c r="GF5" s="662" t="s">
        <v>1360</v>
      </c>
      <c r="GG5" s="662" t="s">
        <v>1360</v>
      </c>
      <c r="GH5" s="662" t="s">
        <v>1359</v>
      </c>
      <c r="GI5" s="662" t="s">
        <v>1359</v>
      </c>
      <c r="GJ5" s="662" t="s">
        <v>1357</v>
      </c>
      <c r="GK5" s="662" t="s">
        <v>1357</v>
      </c>
      <c r="GL5" s="662" t="s">
        <v>1358</v>
      </c>
      <c r="GM5" s="662" t="s">
        <v>1357</v>
      </c>
      <c r="GN5" s="662" t="s">
        <v>1241</v>
      </c>
      <c r="GO5" s="662" t="s">
        <v>1241</v>
      </c>
    </row>
    <row r="6" spans="1:197" ht="12.75">
      <c r="A6" s="728" t="s">
        <v>1303</v>
      </c>
      <c r="B6" s="668" t="s">
        <v>293</v>
      </c>
      <c r="C6" s="668" t="s">
        <v>293</v>
      </c>
      <c r="D6" s="668" t="s">
        <v>293</v>
      </c>
      <c r="E6" s="668" t="s">
        <v>293</v>
      </c>
      <c r="F6" s="662" t="s">
        <v>1297</v>
      </c>
      <c r="G6" s="668" t="s">
        <v>293</v>
      </c>
      <c r="H6" s="668" t="s">
        <v>293</v>
      </c>
      <c r="I6" s="668" t="s">
        <v>293</v>
      </c>
      <c r="J6" s="668" t="s">
        <v>293</v>
      </c>
      <c r="K6" s="668" t="s">
        <v>293</v>
      </c>
      <c r="L6" s="668" t="s">
        <v>293</v>
      </c>
      <c r="M6" s="668" t="s">
        <v>293</v>
      </c>
      <c r="N6" s="668" t="s">
        <v>293</v>
      </c>
      <c r="O6" s="668" t="s">
        <v>293</v>
      </c>
      <c r="P6" s="668" t="s">
        <v>293</v>
      </c>
      <c r="Q6" s="668" t="s">
        <v>293</v>
      </c>
      <c r="R6" s="662" t="s">
        <v>1293</v>
      </c>
      <c r="S6" s="662" t="s">
        <v>1293</v>
      </c>
      <c r="T6" s="662" t="s">
        <v>1293</v>
      </c>
      <c r="U6" s="668" t="s">
        <v>293</v>
      </c>
      <c r="V6" s="668" t="s">
        <v>293</v>
      </c>
      <c r="W6" s="664" t="s">
        <v>1291</v>
      </c>
      <c r="X6" s="664" t="s">
        <v>1291</v>
      </c>
      <c r="Y6" s="668" t="s">
        <v>293</v>
      </c>
      <c r="Z6" s="668" t="s">
        <v>293</v>
      </c>
      <c r="AA6" s="664" t="s">
        <v>1355</v>
      </c>
      <c r="AB6" s="668" t="s">
        <v>293</v>
      </c>
      <c r="AC6" s="668" t="s">
        <v>293</v>
      </c>
      <c r="AD6" s="668" t="s">
        <v>293</v>
      </c>
      <c r="AE6" s="668" t="s">
        <v>293</v>
      </c>
      <c r="AF6" s="668" t="s">
        <v>293</v>
      </c>
      <c r="AG6" s="668" t="s">
        <v>293</v>
      </c>
      <c r="AH6" s="664" t="s">
        <v>1356</v>
      </c>
      <c r="AI6" s="668" t="s">
        <v>293</v>
      </c>
      <c r="AJ6" s="668" t="s">
        <v>293</v>
      </c>
      <c r="AK6" s="668" t="s">
        <v>293</v>
      </c>
      <c r="AL6" s="668" t="s">
        <v>293</v>
      </c>
      <c r="AM6" s="668" t="s">
        <v>293</v>
      </c>
      <c r="AN6" s="668" t="s">
        <v>293</v>
      </c>
      <c r="AO6" s="668" t="s">
        <v>293</v>
      </c>
      <c r="AP6" s="668" t="s">
        <v>293</v>
      </c>
      <c r="AQ6" s="668" t="s">
        <v>293</v>
      </c>
      <c r="AR6" s="668" t="s">
        <v>293</v>
      </c>
      <c r="AS6" s="668" t="s">
        <v>293</v>
      </c>
      <c r="AT6" s="668" t="s">
        <v>293</v>
      </c>
      <c r="AU6" s="668" t="s">
        <v>293</v>
      </c>
      <c r="AV6" s="668" t="s">
        <v>293</v>
      </c>
      <c r="AW6" s="668" t="s">
        <v>293</v>
      </c>
      <c r="AX6" s="668" t="s">
        <v>293</v>
      </c>
      <c r="AY6" s="668" t="s">
        <v>293</v>
      </c>
      <c r="AZ6" s="668" t="s">
        <v>293</v>
      </c>
      <c r="BA6" s="668" t="s">
        <v>293</v>
      </c>
      <c r="BB6" s="664" t="s">
        <v>1355</v>
      </c>
      <c r="BC6" s="664" t="s">
        <v>1292</v>
      </c>
      <c r="BD6" s="668" t="s">
        <v>293</v>
      </c>
      <c r="BE6" s="668" t="s">
        <v>293</v>
      </c>
      <c r="BF6" s="668" t="s">
        <v>293</v>
      </c>
      <c r="BG6" s="668" t="s">
        <v>293</v>
      </c>
      <c r="BH6" s="668" t="s">
        <v>293</v>
      </c>
      <c r="BI6" s="668" t="s">
        <v>293</v>
      </c>
      <c r="BJ6" s="668" t="s">
        <v>293</v>
      </c>
      <c r="BK6" s="668" t="s">
        <v>293</v>
      </c>
      <c r="BL6" s="668" t="s">
        <v>293</v>
      </c>
      <c r="BM6" s="668" t="s">
        <v>293</v>
      </c>
      <c r="BN6" s="668" t="s">
        <v>293</v>
      </c>
      <c r="BO6" s="668" t="s">
        <v>293</v>
      </c>
      <c r="BP6" s="668" t="s">
        <v>293</v>
      </c>
      <c r="BQ6" s="668" t="s">
        <v>293</v>
      </c>
      <c r="BR6" s="668" t="s">
        <v>293</v>
      </c>
      <c r="BS6" s="664" t="s">
        <v>1343</v>
      </c>
      <c r="BT6" s="664" t="s">
        <v>1294</v>
      </c>
      <c r="BU6" s="662" t="s">
        <v>1353</v>
      </c>
      <c r="BV6" s="668" t="s">
        <v>293</v>
      </c>
      <c r="BW6" s="668" t="s">
        <v>293</v>
      </c>
      <c r="BX6" s="668" t="s">
        <v>293</v>
      </c>
      <c r="BY6" s="668" t="s">
        <v>293</v>
      </c>
      <c r="BZ6" s="668" t="s">
        <v>293</v>
      </c>
      <c r="CA6" s="664" t="s">
        <v>1354</v>
      </c>
      <c r="CB6" s="664" t="s">
        <v>1296</v>
      </c>
      <c r="CC6" s="662" t="s">
        <v>1353</v>
      </c>
      <c r="CD6" s="662" t="s">
        <v>1353</v>
      </c>
      <c r="CE6" s="662" t="s">
        <v>1353</v>
      </c>
      <c r="CF6" s="662" t="s">
        <v>1353</v>
      </c>
      <c r="CG6" s="662" t="s">
        <v>1353</v>
      </c>
      <c r="CH6" s="662" t="s">
        <v>1353</v>
      </c>
      <c r="CI6" s="664" t="s">
        <v>1294</v>
      </c>
      <c r="CJ6" s="662" t="s">
        <v>1353</v>
      </c>
      <c r="CK6" s="662" t="s">
        <v>1353</v>
      </c>
      <c r="CL6" s="662" t="s">
        <v>1353</v>
      </c>
      <c r="CM6" s="664" t="s">
        <v>1352</v>
      </c>
      <c r="CN6" s="664" t="s">
        <v>1294</v>
      </c>
      <c r="CO6" s="668" t="s">
        <v>293</v>
      </c>
      <c r="CP6" s="664" t="s">
        <v>1351</v>
      </c>
      <c r="CQ6" s="664" t="s">
        <v>1294</v>
      </c>
      <c r="CR6" s="668" t="s">
        <v>293</v>
      </c>
      <c r="CS6" s="668" t="s">
        <v>293</v>
      </c>
      <c r="CT6" s="668" t="s">
        <v>293</v>
      </c>
      <c r="CU6" s="668" t="s">
        <v>293</v>
      </c>
      <c r="CV6" s="664" t="s">
        <v>1291</v>
      </c>
      <c r="CW6" s="664" t="s">
        <v>1334</v>
      </c>
      <c r="CX6" s="664" t="s">
        <v>1344</v>
      </c>
      <c r="CY6" s="664" t="s">
        <v>1344</v>
      </c>
      <c r="CZ6" s="664" t="s">
        <v>1350</v>
      </c>
      <c r="DA6" s="664" t="s">
        <v>1343</v>
      </c>
      <c r="DB6" s="664" t="s">
        <v>1343</v>
      </c>
      <c r="DC6" s="664" t="s">
        <v>1343</v>
      </c>
      <c r="DD6" s="664" t="s">
        <v>1349</v>
      </c>
      <c r="DE6" s="664" t="s">
        <v>1343</v>
      </c>
      <c r="DF6" s="664" t="s">
        <v>1343</v>
      </c>
      <c r="DG6" s="664" t="s">
        <v>1343</v>
      </c>
      <c r="DH6" s="664" t="s">
        <v>1343</v>
      </c>
      <c r="DI6" s="664" t="s">
        <v>1343</v>
      </c>
      <c r="DJ6" s="664" t="s">
        <v>1348</v>
      </c>
      <c r="DK6" s="664" t="s">
        <v>1332</v>
      </c>
      <c r="DL6" s="664" t="s">
        <v>1332</v>
      </c>
      <c r="DM6" s="664" t="s">
        <v>1332</v>
      </c>
      <c r="DN6" s="664" t="s">
        <v>1332</v>
      </c>
      <c r="DO6" s="664" t="s">
        <v>1332</v>
      </c>
      <c r="DP6" s="664" t="s">
        <v>1332</v>
      </c>
      <c r="DQ6" s="664" t="s">
        <v>1332</v>
      </c>
      <c r="DR6" s="664" t="s">
        <v>1332</v>
      </c>
      <c r="DS6" s="664" t="s">
        <v>1332</v>
      </c>
      <c r="DT6" s="664" t="s">
        <v>1332</v>
      </c>
      <c r="DU6" s="664" t="s">
        <v>1332</v>
      </c>
      <c r="DV6" s="664" t="s">
        <v>1332</v>
      </c>
      <c r="DW6" s="664" t="s">
        <v>1344</v>
      </c>
      <c r="DX6" s="664" t="s">
        <v>1347</v>
      </c>
      <c r="DY6" s="664" t="s">
        <v>1347</v>
      </c>
      <c r="DZ6" s="664" t="s">
        <v>1344</v>
      </c>
      <c r="EA6" s="664" t="s">
        <v>1333</v>
      </c>
      <c r="EB6" s="664" t="s">
        <v>1333</v>
      </c>
      <c r="EC6" s="664" t="s">
        <v>1333</v>
      </c>
      <c r="ED6" s="664" t="s">
        <v>1335</v>
      </c>
      <c r="EE6" s="664" t="s">
        <v>1344</v>
      </c>
      <c r="EF6" s="664" t="s">
        <v>1344</v>
      </c>
      <c r="EG6" s="664" t="s">
        <v>1334</v>
      </c>
      <c r="EH6" s="664" t="s">
        <v>1346</v>
      </c>
      <c r="EI6" s="664" t="s">
        <v>1345</v>
      </c>
      <c r="EJ6" s="664" t="s">
        <v>1329</v>
      </c>
      <c r="EK6" s="664" t="s">
        <v>1344</v>
      </c>
      <c r="EL6" s="664" t="s">
        <v>1343</v>
      </c>
      <c r="EM6" s="664" t="s">
        <v>1332</v>
      </c>
      <c r="EN6" s="664" t="s">
        <v>1333</v>
      </c>
      <c r="EO6" s="664" t="s">
        <v>1340</v>
      </c>
      <c r="EP6" s="664" t="s">
        <v>1342</v>
      </c>
      <c r="EQ6" s="664" t="s">
        <v>1341</v>
      </c>
      <c r="ER6" s="664" t="s">
        <v>1341</v>
      </c>
      <c r="ES6" s="664" t="s">
        <v>1333</v>
      </c>
      <c r="ET6" s="664" t="s">
        <v>1340</v>
      </c>
      <c r="EU6" s="664" t="s">
        <v>1340</v>
      </c>
      <c r="EV6" s="664" t="s">
        <v>1340</v>
      </c>
      <c r="EW6" s="664" t="s">
        <v>1340</v>
      </c>
      <c r="EX6" s="664" t="s">
        <v>1340</v>
      </c>
      <c r="EY6" s="664" t="s">
        <v>1340</v>
      </c>
      <c r="EZ6" s="664" t="s">
        <v>1340</v>
      </c>
      <c r="FA6" s="664" t="s">
        <v>1340</v>
      </c>
      <c r="FB6" s="664" t="s">
        <v>1338</v>
      </c>
      <c r="FC6" s="664" t="s">
        <v>1338</v>
      </c>
      <c r="FD6" s="664" t="s">
        <v>1338</v>
      </c>
      <c r="FE6" s="664" t="s">
        <v>1338</v>
      </c>
      <c r="FF6" s="664" t="s">
        <v>1338</v>
      </c>
      <c r="FG6" s="664" t="s">
        <v>1339</v>
      </c>
      <c r="FH6" s="664" t="s">
        <v>1339</v>
      </c>
      <c r="FI6" s="664" t="s">
        <v>1329</v>
      </c>
      <c r="FJ6" s="664" t="s">
        <v>1333</v>
      </c>
      <c r="FK6" s="664" t="s">
        <v>1333</v>
      </c>
      <c r="FL6" s="664" t="s">
        <v>1334</v>
      </c>
      <c r="FM6" s="664" t="s">
        <v>1331</v>
      </c>
      <c r="FN6" s="664" t="s">
        <v>1331</v>
      </c>
      <c r="FO6" s="664" t="s">
        <v>1331</v>
      </c>
      <c r="FP6" s="664" t="s">
        <v>1334</v>
      </c>
      <c r="FQ6" s="664" t="s">
        <v>1338</v>
      </c>
      <c r="FR6" s="664" t="s">
        <v>1337</v>
      </c>
      <c r="FS6" s="664" t="s">
        <v>1336</v>
      </c>
      <c r="FT6" s="664" t="s">
        <v>1336</v>
      </c>
      <c r="FU6" s="664" t="s">
        <v>1336</v>
      </c>
      <c r="FV6" s="664" t="s">
        <v>1336</v>
      </c>
      <c r="FW6" s="664" t="s">
        <v>1335</v>
      </c>
      <c r="FX6" s="664" t="s">
        <v>1335</v>
      </c>
      <c r="FY6" s="664" t="s">
        <v>1335</v>
      </c>
      <c r="FZ6" s="664" t="s">
        <v>1335</v>
      </c>
      <c r="GA6" s="664" t="s">
        <v>1334</v>
      </c>
      <c r="GB6" s="664" t="s">
        <v>1333</v>
      </c>
      <c r="GC6" s="664" t="s">
        <v>1332</v>
      </c>
      <c r="GD6" s="664" t="s">
        <v>1330</v>
      </c>
      <c r="GE6" s="664" t="s">
        <v>1330</v>
      </c>
      <c r="GF6" s="664" t="s">
        <v>1330</v>
      </c>
      <c r="GG6" s="664" t="s">
        <v>1331</v>
      </c>
      <c r="GH6" s="664" t="s">
        <v>1330</v>
      </c>
      <c r="GI6" s="664" t="s">
        <v>1330</v>
      </c>
      <c r="GJ6" s="664" t="s">
        <v>1328</v>
      </c>
      <c r="GK6" s="664" t="s">
        <v>1328</v>
      </c>
      <c r="GL6" s="664" t="s">
        <v>1329</v>
      </c>
      <c r="GM6" s="664" t="s">
        <v>1328</v>
      </c>
      <c r="GN6" s="664" t="s">
        <v>1327</v>
      </c>
      <c r="GO6" s="664" t="s">
        <v>1327</v>
      </c>
    </row>
    <row r="7" spans="1:197" ht="12.75">
      <c r="A7" s="728" t="s">
        <v>1275</v>
      </c>
      <c r="B7" s="668" t="s">
        <v>293</v>
      </c>
      <c r="C7" s="668" t="s">
        <v>293</v>
      </c>
      <c r="D7" s="668" t="s">
        <v>293</v>
      </c>
      <c r="E7" s="668" t="s">
        <v>293</v>
      </c>
      <c r="F7" s="662" t="s">
        <v>1273</v>
      </c>
      <c r="G7" s="668" t="s">
        <v>293</v>
      </c>
      <c r="H7" s="668" t="s">
        <v>293</v>
      </c>
      <c r="I7" s="668" t="s">
        <v>293</v>
      </c>
      <c r="J7" s="668" t="s">
        <v>293</v>
      </c>
      <c r="K7" s="668" t="s">
        <v>293</v>
      </c>
      <c r="L7" s="668" t="s">
        <v>293</v>
      </c>
      <c r="M7" s="668" t="s">
        <v>293</v>
      </c>
      <c r="N7" s="668" t="s">
        <v>293</v>
      </c>
      <c r="O7" s="668" t="s">
        <v>293</v>
      </c>
      <c r="P7" s="668" t="s">
        <v>293</v>
      </c>
      <c r="Q7" s="668" t="s">
        <v>293</v>
      </c>
      <c r="R7" s="662" t="s">
        <v>1273</v>
      </c>
      <c r="S7" s="662" t="s">
        <v>1273</v>
      </c>
      <c r="T7" s="662" t="s">
        <v>1273</v>
      </c>
      <c r="U7" s="668" t="s">
        <v>293</v>
      </c>
      <c r="V7" s="668" t="s">
        <v>293</v>
      </c>
      <c r="W7" s="662" t="s">
        <v>1273</v>
      </c>
      <c r="X7" s="662" t="s">
        <v>1273</v>
      </c>
      <c r="Y7" s="668" t="s">
        <v>293</v>
      </c>
      <c r="Z7" s="668" t="s">
        <v>293</v>
      </c>
      <c r="AA7" s="668" t="s">
        <v>293</v>
      </c>
      <c r="AB7" s="668" t="s">
        <v>293</v>
      </c>
      <c r="AC7" s="668" t="s">
        <v>293</v>
      </c>
      <c r="AD7" s="668" t="s">
        <v>293</v>
      </c>
      <c r="AE7" s="668" t="s">
        <v>293</v>
      </c>
      <c r="AF7" s="668" t="s">
        <v>293</v>
      </c>
      <c r="AG7" s="668" t="s">
        <v>293</v>
      </c>
      <c r="AH7" s="668" t="s">
        <v>293</v>
      </c>
      <c r="AI7" s="668" t="s">
        <v>293</v>
      </c>
      <c r="AJ7" s="668" t="s">
        <v>293</v>
      </c>
      <c r="AK7" s="668" t="s">
        <v>293</v>
      </c>
      <c r="AL7" s="668" t="s">
        <v>293</v>
      </c>
      <c r="AM7" s="668" t="s">
        <v>293</v>
      </c>
      <c r="AN7" s="668" t="s">
        <v>293</v>
      </c>
      <c r="AO7" s="668" t="s">
        <v>293</v>
      </c>
      <c r="AP7" s="668" t="s">
        <v>293</v>
      </c>
      <c r="AQ7" s="668" t="s">
        <v>293</v>
      </c>
      <c r="AR7" s="668" t="s">
        <v>293</v>
      </c>
      <c r="AS7" s="668" t="s">
        <v>293</v>
      </c>
      <c r="AT7" s="668" t="s">
        <v>293</v>
      </c>
      <c r="AU7" s="668" t="s">
        <v>293</v>
      </c>
      <c r="AV7" s="668" t="s">
        <v>293</v>
      </c>
      <c r="AW7" s="668" t="s">
        <v>293</v>
      </c>
      <c r="AX7" s="668" t="s">
        <v>293</v>
      </c>
      <c r="AY7" s="668" t="s">
        <v>293</v>
      </c>
      <c r="AZ7" s="668" t="s">
        <v>293</v>
      </c>
      <c r="BA7" s="668" t="s">
        <v>293</v>
      </c>
      <c r="BB7" s="662" t="s">
        <v>1273</v>
      </c>
      <c r="BC7" s="662" t="s">
        <v>1273</v>
      </c>
      <c r="BD7" s="668" t="s">
        <v>293</v>
      </c>
      <c r="BE7" s="668" t="s">
        <v>293</v>
      </c>
      <c r="BF7" s="668" t="s">
        <v>293</v>
      </c>
      <c r="BG7" s="668" t="s">
        <v>293</v>
      </c>
      <c r="BH7" s="668" t="s">
        <v>293</v>
      </c>
      <c r="BI7" s="668" t="s">
        <v>293</v>
      </c>
      <c r="BJ7" s="668" t="s">
        <v>293</v>
      </c>
      <c r="BK7" s="668" t="s">
        <v>293</v>
      </c>
      <c r="BL7" s="668" t="s">
        <v>293</v>
      </c>
      <c r="BM7" s="668" t="s">
        <v>293</v>
      </c>
      <c r="BN7" s="668" t="s">
        <v>293</v>
      </c>
      <c r="BO7" s="668" t="s">
        <v>293</v>
      </c>
      <c r="BP7" s="668" t="s">
        <v>293</v>
      </c>
      <c r="BQ7" s="668" t="s">
        <v>293</v>
      </c>
      <c r="BR7" s="668" t="s">
        <v>293</v>
      </c>
      <c r="BS7" s="668" t="s">
        <v>293</v>
      </c>
      <c r="BT7" s="668" t="s">
        <v>293</v>
      </c>
      <c r="BU7" s="668" t="s">
        <v>293</v>
      </c>
      <c r="BV7" s="668" t="s">
        <v>293</v>
      </c>
      <c r="BW7" s="668" t="s">
        <v>293</v>
      </c>
      <c r="BX7" s="668" t="s">
        <v>293</v>
      </c>
      <c r="BY7" s="668" t="s">
        <v>293</v>
      </c>
      <c r="BZ7" s="668" t="s">
        <v>293</v>
      </c>
      <c r="CA7" s="662" t="s">
        <v>1273</v>
      </c>
      <c r="CB7" s="662" t="s">
        <v>1271</v>
      </c>
      <c r="CC7" s="668" t="s">
        <v>293</v>
      </c>
      <c r="CD7" s="668" t="s">
        <v>293</v>
      </c>
      <c r="CE7" s="668" t="s">
        <v>293</v>
      </c>
      <c r="CF7" s="668" t="s">
        <v>293</v>
      </c>
      <c r="CG7" s="668" t="s">
        <v>293</v>
      </c>
      <c r="CH7" s="668" t="s">
        <v>293</v>
      </c>
      <c r="CI7" s="668" t="s">
        <v>293</v>
      </c>
      <c r="CJ7" s="668" t="s">
        <v>293</v>
      </c>
      <c r="CK7" s="668" t="s">
        <v>293</v>
      </c>
      <c r="CL7" s="668" t="s">
        <v>293</v>
      </c>
      <c r="CM7" s="662" t="s">
        <v>1272</v>
      </c>
      <c r="CN7" s="668" t="s">
        <v>293</v>
      </c>
      <c r="CO7" s="668" t="s">
        <v>293</v>
      </c>
      <c r="CP7" s="668" t="s">
        <v>293</v>
      </c>
      <c r="CQ7" s="668" t="s">
        <v>293</v>
      </c>
      <c r="CR7" s="668" t="s">
        <v>293</v>
      </c>
      <c r="CS7" s="668" t="s">
        <v>293</v>
      </c>
      <c r="CT7" s="668" t="s">
        <v>293</v>
      </c>
      <c r="CU7" s="668" t="s">
        <v>293</v>
      </c>
      <c r="CV7" s="662" t="s">
        <v>1271</v>
      </c>
      <c r="CW7" s="668" t="s">
        <v>293</v>
      </c>
      <c r="CX7" s="662" t="s">
        <v>1271</v>
      </c>
      <c r="CY7" s="662" t="s">
        <v>1271</v>
      </c>
      <c r="CZ7" s="662" t="s">
        <v>1272</v>
      </c>
      <c r="DA7" s="668" t="s">
        <v>293</v>
      </c>
      <c r="DB7" s="662" t="s">
        <v>1271</v>
      </c>
      <c r="DC7" s="668" t="s">
        <v>293</v>
      </c>
      <c r="DD7" s="662" t="s">
        <v>1271</v>
      </c>
      <c r="DE7" s="662" t="s">
        <v>1271</v>
      </c>
      <c r="DF7" s="662" t="s">
        <v>1271</v>
      </c>
      <c r="DG7" s="662" t="s">
        <v>1271</v>
      </c>
      <c r="DH7" s="662" t="s">
        <v>1271</v>
      </c>
      <c r="DI7" s="662" t="s">
        <v>1272</v>
      </c>
      <c r="DJ7" s="662" t="s">
        <v>1272</v>
      </c>
      <c r="DK7" s="662" t="s">
        <v>1272</v>
      </c>
      <c r="DL7" s="662" t="s">
        <v>1271</v>
      </c>
      <c r="DM7" s="662" t="s">
        <v>1271</v>
      </c>
      <c r="DN7" s="662" t="s">
        <v>1271</v>
      </c>
      <c r="DO7" s="662" t="s">
        <v>1271</v>
      </c>
      <c r="DP7" s="662" t="s">
        <v>1271</v>
      </c>
      <c r="DQ7" s="662" t="s">
        <v>1271</v>
      </c>
      <c r="DR7" s="662" t="s">
        <v>1271</v>
      </c>
      <c r="DS7" s="662" t="s">
        <v>1271</v>
      </c>
      <c r="DT7" s="662" t="s">
        <v>1271</v>
      </c>
      <c r="DU7" s="662" t="s">
        <v>1271</v>
      </c>
      <c r="DV7" s="662" t="s">
        <v>1271</v>
      </c>
      <c r="DW7" s="668" t="s">
        <v>293</v>
      </c>
      <c r="DX7" s="668" t="s">
        <v>293</v>
      </c>
      <c r="DY7" s="668" t="s">
        <v>293</v>
      </c>
      <c r="DZ7" s="662" t="s">
        <v>1271</v>
      </c>
      <c r="EA7" s="668" t="s">
        <v>293</v>
      </c>
      <c r="EB7" s="668" t="s">
        <v>293</v>
      </c>
      <c r="EC7" s="668" t="s">
        <v>293</v>
      </c>
      <c r="ED7" s="668" t="s">
        <v>293</v>
      </c>
      <c r="EE7" s="668" t="s">
        <v>293</v>
      </c>
      <c r="EF7" s="662" t="s">
        <v>1271</v>
      </c>
      <c r="EG7" s="668" t="s">
        <v>293</v>
      </c>
      <c r="EH7" s="668" t="s">
        <v>293</v>
      </c>
      <c r="EI7" s="668" t="s">
        <v>293</v>
      </c>
      <c r="EJ7" s="662" t="s">
        <v>1271</v>
      </c>
      <c r="EK7" s="662" t="s">
        <v>1271</v>
      </c>
      <c r="EL7" s="668" t="s">
        <v>293</v>
      </c>
      <c r="EM7" s="662" t="s">
        <v>1272</v>
      </c>
      <c r="EN7" s="668" t="s">
        <v>293</v>
      </c>
      <c r="EO7" s="668" t="s">
        <v>293</v>
      </c>
      <c r="EP7" s="662" t="s">
        <v>1271</v>
      </c>
      <c r="EQ7" s="668" t="s">
        <v>293</v>
      </c>
      <c r="ER7" s="668" t="s">
        <v>293</v>
      </c>
      <c r="ES7" s="668" t="s">
        <v>293</v>
      </c>
      <c r="ET7" s="668" t="s">
        <v>293</v>
      </c>
      <c r="EU7" s="668" t="s">
        <v>293</v>
      </c>
      <c r="EV7" s="668" t="s">
        <v>293</v>
      </c>
      <c r="EW7" s="668" t="s">
        <v>293</v>
      </c>
      <c r="EX7" s="668" t="s">
        <v>293</v>
      </c>
      <c r="EY7" s="668" t="s">
        <v>293</v>
      </c>
      <c r="EZ7" s="668" t="s">
        <v>293</v>
      </c>
      <c r="FA7" s="668" t="s">
        <v>293</v>
      </c>
      <c r="FB7" s="668" t="s">
        <v>293</v>
      </c>
      <c r="FC7" s="662" t="s">
        <v>1271</v>
      </c>
      <c r="FD7" s="662" t="s">
        <v>1272</v>
      </c>
      <c r="FE7" s="662" t="s">
        <v>1271</v>
      </c>
      <c r="FF7" s="662" t="s">
        <v>1271</v>
      </c>
      <c r="FG7" s="662" t="s">
        <v>1272</v>
      </c>
      <c r="FH7" s="662" t="s">
        <v>1272</v>
      </c>
      <c r="FI7" s="662" t="s">
        <v>1271</v>
      </c>
      <c r="FJ7" s="668" t="s">
        <v>293</v>
      </c>
      <c r="FK7" s="668" t="s">
        <v>293</v>
      </c>
      <c r="FL7" s="668" t="s">
        <v>293</v>
      </c>
      <c r="FM7" s="668" t="s">
        <v>293</v>
      </c>
      <c r="FN7" s="668" t="s">
        <v>293</v>
      </c>
      <c r="FO7" s="662" t="s">
        <v>1271</v>
      </c>
      <c r="FP7" s="668" t="s">
        <v>293</v>
      </c>
      <c r="FQ7" s="662" t="s">
        <v>1271</v>
      </c>
      <c r="FR7" s="662" t="s">
        <v>1271</v>
      </c>
      <c r="FS7" s="662" t="s">
        <v>1271</v>
      </c>
      <c r="FT7" s="662" t="s">
        <v>1272</v>
      </c>
      <c r="FU7" s="662" t="s">
        <v>1271</v>
      </c>
      <c r="FV7" s="662" t="s">
        <v>1271</v>
      </c>
      <c r="FW7" s="668" t="s">
        <v>293</v>
      </c>
      <c r="FX7" s="668" t="s">
        <v>293</v>
      </c>
      <c r="FY7" s="668" t="s">
        <v>293</v>
      </c>
      <c r="FZ7" s="668" t="s">
        <v>293</v>
      </c>
      <c r="GA7" s="668" t="s">
        <v>293</v>
      </c>
      <c r="GB7" s="668" t="s">
        <v>293</v>
      </c>
      <c r="GC7" s="662" t="s">
        <v>1271</v>
      </c>
      <c r="GD7" s="668" t="s">
        <v>293</v>
      </c>
      <c r="GE7" s="662" t="s">
        <v>1271</v>
      </c>
      <c r="GF7" s="662" t="s">
        <v>1271</v>
      </c>
      <c r="GG7" s="662" t="s">
        <v>1271</v>
      </c>
      <c r="GH7" s="662" t="s">
        <v>1271</v>
      </c>
      <c r="GI7" s="662" t="s">
        <v>1271</v>
      </c>
      <c r="GJ7" s="662" t="s">
        <v>1288</v>
      </c>
      <c r="GK7" s="662" t="s">
        <v>1288</v>
      </c>
      <c r="GL7" s="662" t="s">
        <v>1288</v>
      </c>
      <c r="GM7" s="662" t="s">
        <v>1288</v>
      </c>
      <c r="GN7" s="668" t="s">
        <v>293</v>
      </c>
      <c r="GO7" s="662" t="s">
        <v>1288</v>
      </c>
    </row>
    <row r="8" spans="1:197" ht="12.75">
      <c r="A8" s="728" t="s">
        <v>1289</v>
      </c>
      <c r="B8" s="668" t="s">
        <v>293</v>
      </c>
      <c r="C8" s="668" t="s">
        <v>293</v>
      </c>
      <c r="D8" s="668" t="s">
        <v>293</v>
      </c>
      <c r="E8" s="668" t="s">
        <v>293</v>
      </c>
      <c r="F8" s="668" t="s">
        <v>293</v>
      </c>
      <c r="G8" s="668" t="s">
        <v>293</v>
      </c>
      <c r="H8" s="668" t="s">
        <v>293</v>
      </c>
      <c r="I8" s="668" t="s">
        <v>293</v>
      </c>
      <c r="J8" s="668" t="s">
        <v>293</v>
      </c>
      <c r="K8" s="668" t="s">
        <v>293</v>
      </c>
      <c r="L8" s="668" t="s">
        <v>293</v>
      </c>
      <c r="M8" s="668" t="s">
        <v>293</v>
      </c>
      <c r="N8" s="668" t="s">
        <v>293</v>
      </c>
      <c r="O8" s="668" t="s">
        <v>293</v>
      </c>
      <c r="P8" s="668" t="s">
        <v>293</v>
      </c>
      <c r="Q8" s="668" t="s">
        <v>293</v>
      </c>
      <c r="R8" s="668" t="s">
        <v>293</v>
      </c>
      <c r="S8" s="668" t="s">
        <v>293</v>
      </c>
      <c r="T8" s="668" t="s">
        <v>293</v>
      </c>
      <c r="U8" s="668" t="s">
        <v>293</v>
      </c>
      <c r="V8" s="668" t="s">
        <v>293</v>
      </c>
      <c r="W8" s="668" t="s">
        <v>293</v>
      </c>
      <c r="X8" s="668" t="s">
        <v>293</v>
      </c>
      <c r="Y8" s="668" t="s">
        <v>293</v>
      </c>
      <c r="Z8" s="668" t="s">
        <v>293</v>
      </c>
      <c r="AA8" s="668" t="s">
        <v>293</v>
      </c>
      <c r="AB8" s="668" t="s">
        <v>293</v>
      </c>
      <c r="AC8" s="668" t="s">
        <v>293</v>
      </c>
      <c r="AD8" s="668" t="s">
        <v>293</v>
      </c>
      <c r="AE8" s="668" t="s">
        <v>293</v>
      </c>
      <c r="AF8" s="668" t="s">
        <v>293</v>
      </c>
      <c r="AG8" s="668" t="s">
        <v>293</v>
      </c>
      <c r="AH8" s="668" t="s">
        <v>293</v>
      </c>
      <c r="AI8" s="668" t="s">
        <v>293</v>
      </c>
      <c r="AJ8" s="668" t="s">
        <v>293</v>
      </c>
      <c r="AK8" s="668" t="s">
        <v>293</v>
      </c>
      <c r="AL8" s="668" t="s">
        <v>293</v>
      </c>
      <c r="AM8" s="668" t="s">
        <v>293</v>
      </c>
      <c r="AN8" s="668" t="s">
        <v>293</v>
      </c>
      <c r="AO8" s="668" t="s">
        <v>293</v>
      </c>
      <c r="AP8" s="668" t="s">
        <v>293</v>
      </c>
      <c r="AQ8" s="668" t="s">
        <v>293</v>
      </c>
      <c r="AR8" s="668" t="s">
        <v>293</v>
      </c>
      <c r="AS8" s="668" t="s">
        <v>293</v>
      </c>
      <c r="AT8" s="668" t="s">
        <v>293</v>
      </c>
      <c r="AU8" s="668" t="s">
        <v>293</v>
      </c>
      <c r="AV8" s="668" t="s">
        <v>293</v>
      </c>
      <c r="AW8" s="668" t="s">
        <v>293</v>
      </c>
      <c r="AX8" s="668" t="s">
        <v>293</v>
      </c>
      <c r="AY8" s="668" t="s">
        <v>293</v>
      </c>
      <c r="AZ8" s="668" t="s">
        <v>293</v>
      </c>
      <c r="BA8" s="668" t="s">
        <v>293</v>
      </c>
      <c r="BB8" s="668" t="s">
        <v>293</v>
      </c>
      <c r="BC8" s="668" t="s">
        <v>293</v>
      </c>
      <c r="BD8" s="668" t="s">
        <v>293</v>
      </c>
      <c r="BE8" s="668" t="s">
        <v>293</v>
      </c>
      <c r="BF8" s="668" t="s">
        <v>293</v>
      </c>
      <c r="BG8" s="668" t="s">
        <v>293</v>
      </c>
      <c r="BH8" s="668" t="s">
        <v>293</v>
      </c>
      <c r="BI8" s="668" t="s">
        <v>293</v>
      </c>
      <c r="BJ8" s="668" t="s">
        <v>293</v>
      </c>
      <c r="BK8" s="668" t="s">
        <v>293</v>
      </c>
      <c r="BL8" s="668" t="s">
        <v>293</v>
      </c>
      <c r="BM8" s="668" t="s">
        <v>293</v>
      </c>
      <c r="BN8" s="668" t="s">
        <v>293</v>
      </c>
      <c r="BO8" s="668" t="s">
        <v>293</v>
      </c>
      <c r="BP8" s="668" t="s">
        <v>293</v>
      </c>
      <c r="BQ8" s="668" t="s">
        <v>293</v>
      </c>
      <c r="BR8" s="668" t="s">
        <v>293</v>
      </c>
      <c r="BS8" s="662" t="s">
        <v>1273</v>
      </c>
      <c r="BT8" s="668" t="s">
        <v>293</v>
      </c>
      <c r="BU8" s="668" t="s">
        <v>293</v>
      </c>
      <c r="BV8" s="668" t="s">
        <v>293</v>
      </c>
      <c r="BW8" s="668" t="s">
        <v>293</v>
      </c>
      <c r="BX8" s="668" t="s">
        <v>293</v>
      </c>
      <c r="BY8" s="668" t="s">
        <v>293</v>
      </c>
      <c r="BZ8" s="668" t="s">
        <v>293</v>
      </c>
      <c r="CA8" s="668" t="s">
        <v>293</v>
      </c>
      <c r="CB8" s="668" t="s">
        <v>293</v>
      </c>
      <c r="CC8" s="668" t="s">
        <v>293</v>
      </c>
      <c r="CD8" s="668" t="s">
        <v>293</v>
      </c>
      <c r="CE8" s="668" t="s">
        <v>293</v>
      </c>
      <c r="CF8" s="668" t="s">
        <v>293</v>
      </c>
      <c r="CG8" s="668" t="s">
        <v>293</v>
      </c>
      <c r="CH8" s="668" t="s">
        <v>293</v>
      </c>
      <c r="CI8" s="668" t="s">
        <v>293</v>
      </c>
      <c r="CJ8" s="668" t="s">
        <v>293</v>
      </c>
      <c r="CK8" s="668" t="s">
        <v>293</v>
      </c>
      <c r="CL8" s="668" t="s">
        <v>293</v>
      </c>
      <c r="CM8" s="668" t="s">
        <v>293</v>
      </c>
      <c r="CN8" s="668" t="s">
        <v>293</v>
      </c>
      <c r="CO8" s="668" t="s">
        <v>293</v>
      </c>
      <c r="CP8" s="662" t="s">
        <v>1273</v>
      </c>
      <c r="CQ8" s="668" t="s">
        <v>293</v>
      </c>
      <c r="CR8" s="668" t="s">
        <v>293</v>
      </c>
      <c r="CS8" s="668" t="s">
        <v>293</v>
      </c>
      <c r="CT8" s="668" t="s">
        <v>293</v>
      </c>
      <c r="CU8" s="668" t="s">
        <v>293</v>
      </c>
      <c r="CV8" s="668" t="s">
        <v>293</v>
      </c>
      <c r="CW8" s="668" t="s">
        <v>293</v>
      </c>
      <c r="CX8" s="668" t="s">
        <v>293</v>
      </c>
      <c r="CY8" s="668" t="s">
        <v>293</v>
      </c>
      <c r="CZ8" s="668" t="s">
        <v>293</v>
      </c>
      <c r="DA8" s="668" t="s">
        <v>293</v>
      </c>
      <c r="DB8" s="668" t="s">
        <v>293</v>
      </c>
      <c r="DC8" s="662" t="s">
        <v>1271</v>
      </c>
      <c r="DD8" s="668" t="s">
        <v>293</v>
      </c>
      <c r="DE8" s="668" t="s">
        <v>293</v>
      </c>
      <c r="DF8" s="668" t="s">
        <v>293</v>
      </c>
      <c r="DG8" s="668" t="s">
        <v>293</v>
      </c>
      <c r="DH8" s="668" t="s">
        <v>293</v>
      </c>
      <c r="DI8" s="668" t="s">
        <v>293</v>
      </c>
      <c r="DJ8" s="668" t="s">
        <v>293</v>
      </c>
      <c r="DK8" s="668" t="s">
        <v>293</v>
      </c>
      <c r="DL8" s="668" t="s">
        <v>293</v>
      </c>
      <c r="DM8" s="668" t="s">
        <v>293</v>
      </c>
      <c r="DN8" s="668" t="s">
        <v>293</v>
      </c>
      <c r="DO8" s="668" t="s">
        <v>293</v>
      </c>
      <c r="DP8" s="668" t="s">
        <v>293</v>
      </c>
      <c r="DQ8" s="668" t="s">
        <v>293</v>
      </c>
      <c r="DR8" s="668" t="s">
        <v>293</v>
      </c>
      <c r="DS8" s="668" t="s">
        <v>293</v>
      </c>
      <c r="DT8" s="668" t="s">
        <v>293</v>
      </c>
      <c r="DU8" s="668" t="s">
        <v>293</v>
      </c>
      <c r="DV8" s="668" t="s">
        <v>293</v>
      </c>
      <c r="DW8" s="668" t="s">
        <v>293</v>
      </c>
      <c r="DX8" s="668" t="s">
        <v>293</v>
      </c>
      <c r="DY8" s="668" t="s">
        <v>293</v>
      </c>
      <c r="DZ8" s="668" t="s">
        <v>293</v>
      </c>
      <c r="EA8" s="668" t="s">
        <v>293</v>
      </c>
      <c r="EB8" s="668" t="s">
        <v>293</v>
      </c>
      <c r="EC8" s="668" t="s">
        <v>293</v>
      </c>
      <c r="ED8" s="668" t="s">
        <v>293</v>
      </c>
      <c r="EE8" s="668" t="s">
        <v>293</v>
      </c>
      <c r="EF8" s="668" t="s">
        <v>293</v>
      </c>
      <c r="EG8" s="668" t="s">
        <v>293</v>
      </c>
      <c r="EH8" s="668" t="s">
        <v>293</v>
      </c>
      <c r="EI8" s="668" t="s">
        <v>293</v>
      </c>
      <c r="EJ8" s="668" t="s">
        <v>293</v>
      </c>
      <c r="EK8" s="668" t="s">
        <v>293</v>
      </c>
      <c r="EL8" s="668" t="s">
        <v>293</v>
      </c>
      <c r="EM8" s="668" t="s">
        <v>293</v>
      </c>
      <c r="EN8" s="668" t="s">
        <v>293</v>
      </c>
      <c r="EO8" s="668" t="s">
        <v>293</v>
      </c>
      <c r="EP8" s="668" t="s">
        <v>293</v>
      </c>
      <c r="EQ8" s="668" t="s">
        <v>293</v>
      </c>
      <c r="ER8" s="668" t="s">
        <v>293</v>
      </c>
      <c r="ES8" s="668" t="s">
        <v>293</v>
      </c>
      <c r="ET8" s="668" t="s">
        <v>293</v>
      </c>
      <c r="EU8" s="668" t="s">
        <v>293</v>
      </c>
      <c r="EV8" s="668" t="s">
        <v>293</v>
      </c>
      <c r="EW8" s="668" t="s">
        <v>293</v>
      </c>
      <c r="EX8" s="668" t="s">
        <v>293</v>
      </c>
      <c r="EY8" s="668" t="s">
        <v>293</v>
      </c>
      <c r="EZ8" s="668" t="s">
        <v>293</v>
      </c>
      <c r="FA8" s="668" t="s">
        <v>293</v>
      </c>
      <c r="FB8" s="668" t="s">
        <v>293</v>
      </c>
      <c r="FC8" s="668" t="s">
        <v>293</v>
      </c>
      <c r="FD8" s="668" t="s">
        <v>293</v>
      </c>
      <c r="FE8" s="668" t="s">
        <v>293</v>
      </c>
      <c r="FF8" s="668" t="s">
        <v>293</v>
      </c>
      <c r="FG8" s="668" t="s">
        <v>293</v>
      </c>
      <c r="FH8" s="668" t="s">
        <v>293</v>
      </c>
      <c r="FI8" s="668" t="s">
        <v>293</v>
      </c>
      <c r="FJ8" s="668" t="s">
        <v>293</v>
      </c>
      <c r="FK8" s="668" t="s">
        <v>293</v>
      </c>
      <c r="FL8" s="668" t="s">
        <v>293</v>
      </c>
      <c r="FM8" s="668" t="s">
        <v>293</v>
      </c>
      <c r="FN8" s="668" t="s">
        <v>293</v>
      </c>
      <c r="FO8" s="668" t="s">
        <v>293</v>
      </c>
      <c r="FP8" s="668" t="s">
        <v>293</v>
      </c>
      <c r="FQ8" s="668" t="s">
        <v>293</v>
      </c>
      <c r="FR8" s="668" t="s">
        <v>293</v>
      </c>
      <c r="FS8" s="668" t="s">
        <v>293</v>
      </c>
      <c r="FT8" s="668" t="s">
        <v>293</v>
      </c>
      <c r="FU8" s="668" t="s">
        <v>293</v>
      </c>
      <c r="FV8" s="668" t="s">
        <v>293</v>
      </c>
      <c r="FW8" s="668" t="s">
        <v>293</v>
      </c>
      <c r="FX8" s="668" t="s">
        <v>293</v>
      </c>
      <c r="FY8" s="668" t="s">
        <v>293</v>
      </c>
      <c r="FZ8" s="668" t="s">
        <v>293</v>
      </c>
      <c r="GA8" s="668" t="s">
        <v>293</v>
      </c>
      <c r="GB8" s="668" t="s">
        <v>293</v>
      </c>
      <c r="GC8" s="668" t="s">
        <v>293</v>
      </c>
      <c r="GD8" s="668" t="s">
        <v>293</v>
      </c>
      <c r="GE8" s="668" t="s">
        <v>293</v>
      </c>
      <c r="GF8" s="668" t="s">
        <v>293</v>
      </c>
      <c r="GG8" s="668" t="s">
        <v>293</v>
      </c>
      <c r="GH8" s="668" t="s">
        <v>293</v>
      </c>
      <c r="GI8" s="668" t="s">
        <v>293</v>
      </c>
      <c r="GJ8" s="668" t="s">
        <v>293</v>
      </c>
      <c r="GK8" s="668" t="s">
        <v>293</v>
      </c>
      <c r="GL8" s="668" t="s">
        <v>293</v>
      </c>
      <c r="GM8" s="668" t="s">
        <v>293</v>
      </c>
      <c r="GN8" s="668" t="s">
        <v>293</v>
      </c>
      <c r="GO8" s="668" t="s">
        <v>293</v>
      </c>
    </row>
    <row r="9" spans="1:197" ht="26.25" customHeight="1">
      <c r="A9" s="809" t="s">
        <v>1326</v>
      </c>
      <c r="B9" s="824"/>
      <c r="C9" s="824"/>
      <c r="D9" s="824"/>
      <c r="E9" s="824"/>
      <c r="F9" s="824"/>
      <c r="G9" s="824"/>
      <c r="H9" s="824"/>
      <c r="I9" s="824"/>
      <c r="J9" s="824"/>
      <c r="K9" s="824"/>
      <c r="L9" s="824"/>
      <c r="M9" s="824"/>
      <c r="N9" s="824"/>
      <c r="O9" s="824"/>
      <c r="P9" s="824"/>
      <c r="Q9" s="824"/>
      <c r="R9" s="824"/>
      <c r="S9" s="824"/>
      <c r="T9" s="824"/>
      <c r="U9" s="824"/>
      <c r="V9" s="824"/>
      <c r="W9" s="824"/>
      <c r="X9" s="824"/>
      <c r="Y9" s="824"/>
      <c r="Z9" s="824"/>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4"/>
      <c r="BD9" s="824"/>
      <c r="BE9" s="824"/>
      <c r="BF9" s="824"/>
      <c r="BG9" s="824"/>
      <c r="BH9" s="824"/>
      <c r="BI9" s="824"/>
      <c r="BJ9" s="824"/>
      <c r="BK9" s="824"/>
      <c r="BL9" s="824"/>
      <c r="BM9" s="824"/>
      <c r="BN9" s="824"/>
      <c r="BO9" s="824"/>
      <c r="BP9" s="824"/>
      <c r="BQ9" s="824"/>
      <c r="BR9" s="824"/>
      <c r="BS9" s="824"/>
      <c r="BT9" s="824"/>
      <c r="BU9" s="824"/>
      <c r="BV9" s="824"/>
      <c r="BW9" s="824"/>
      <c r="BX9" s="824"/>
      <c r="BY9" s="824"/>
      <c r="BZ9" s="824"/>
      <c r="CA9" s="824"/>
      <c r="CB9" s="824"/>
      <c r="CC9" s="824"/>
      <c r="CD9" s="824"/>
      <c r="CE9" s="824"/>
      <c r="CF9" s="824"/>
      <c r="CG9" s="824"/>
      <c r="CH9" s="824"/>
      <c r="CI9" s="824"/>
      <c r="CJ9" s="824"/>
      <c r="CK9" s="824"/>
      <c r="CL9" s="824"/>
      <c r="CM9" s="824"/>
      <c r="CN9" s="824"/>
      <c r="CO9" s="824"/>
      <c r="CP9" s="824"/>
      <c r="CQ9" s="824"/>
      <c r="CR9" s="824"/>
      <c r="CS9" s="824"/>
      <c r="CT9" s="824"/>
      <c r="CU9" s="824"/>
      <c r="CV9" s="824"/>
      <c r="CW9" s="824"/>
      <c r="CX9" s="824"/>
      <c r="CY9" s="824"/>
      <c r="CZ9" s="824"/>
      <c r="DA9" s="824"/>
      <c r="DB9" s="824"/>
      <c r="DC9" s="824"/>
      <c r="DD9" s="824"/>
      <c r="DE9" s="824"/>
      <c r="DF9" s="824"/>
      <c r="DG9" s="824"/>
      <c r="DH9" s="824"/>
      <c r="DI9" s="824"/>
      <c r="DJ9" s="824"/>
      <c r="DK9" s="824"/>
      <c r="DL9" s="824"/>
      <c r="DM9" s="824"/>
      <c r="DN9" s="824"/>
      <c r="DO9" s="824"/>
      <c r="DP9" s="824"/>
      <c r="DQ9" s="824"/>
      <c r="DR9" s="824"/>
      <c r="DS9" s="824"/>
      <c r="DT9" s="824"/>
      <c r="DU9" s="824"/>
      <c r="DV9" s="824"/>
      <c r="DW9" s="824"/>
      <c r="DX9" s="824"/>
      <c r="DY9" s="824"/>
      <c r="DZ9" s="824"/>
      <c r="EA9" s="824"/>
      <c r="EB9" s="824"/>
      <c r="EC9" s="824"/>
      <c r="ED9" s="824"/>
      <c r="EE9" s="824"/>
      <c r="EF9" s="824"/>
      <c r="EG9" s="824"/>
      <c r="EH9" s="824"/>
      <c r="EI9" s="824"/>
      <c r="EJ9" s="824"/>
      <c r="EK9" s="824"/>
      <c r="EL9" s="824"/>
      <c r="EM9" s="824"/>
      <c r="EN9" s="824"/>
      <c r="EO9" s="824"/>
      <c r="EP9" s="824"/>
      <c r="EQ9" s="824"/>
      <c r="ER9" s="824"/>
      <c r="ES9" s="824"/>
      <c r="ET9" s="824"/>
      <c r="EU9" s="824"/>
      <c r="EV9" s="824"/>
      <c r="EW9" s="824"/>
      <c r="EX9" s="824"/>
      <c r="EY9" s="824"/>
      <c r="EZ9" s="824"/>
      <c r="FA9" s="824"/>
      <c r="FB9" s="824"/>
      <c r="FC9" s="824"/>
      <c r="FD9" s="824"/>
      <c r="FE9" s="824"/>
      <c r="FF9" s="824"/>
      <c r="FG9" s="824"/>
      <c r="FH9" s="824"/>
      <c r="FI9" s="824"/>
      <c r="FJ9" s="824"/>
      <c r="FK9" s="824"/>
      <c r="FL9" s="824"/>
      <c r="FM9" s="824"/>
      <c r="FN9" s="824"/>
      <c r="FO9" s="824"/>
      <c r="FP9" s="824"/>
      <c r="FQ9" s="824"/>
      <c r="FR9" s="824"/>
      <c r="FS9" s="824"/>
      <c r="FT9" s="824"/>
      <c r="FU9" s="824"/>
      <c r="FV9" s="824"/>
      <c r="FW9" s="824"/>
      <c r="FX9" s="824"/>
      <c r="FY9" s="824"/>
      <c r="FZ9" s="824"/>
      <c r="GA9" s="824"/>
      <c r="GB9" s="824"/>
      <c r="GC9" s="824"/>
      <c r="GD9" s="824"/>
      <c r="GE9" s="824"/>
      <c r="GF9" s="824"/>
      <c r="GG9" s="824"/>
      <c r="GH9" s="824"/>
      <c r="GI9" s="824"/>
      <c r="GJ9" s="824"/>
      <c r="GK9" s="824"/>
      <c r="GL9" s="824"/>
      <c r="GM9" s="824"/>
      <c r="GN9" s="824"/>
      <c r="GO9" s="824"/>
    </row>
    <row r="10" spans="1:197" ht="12.75">
      <c r="A10" s="837" t="s">
        <v>551</v>
      </c>
      <c r="B10" s="668" t="s">
        <v>293</v>
      </c>
      <c r="C10" s="668" t="s">
        <v>293</v>
      </c>
      <c r="D10" s="668" t="s">
        <v>293</v>
      </c>
      <c r="E10" s="668" t="s">
        <v>293</v>
      </c>
      <c r="F10" s="668" t="s">
        <v>293</v>
      </c>
      <c r="G10" s="668" t="s">
        <v>293</v>
      </c>
      <c r="H10" s="670" t="s">
        <v>1325</v>
      </c>
      <c r="I10" s="670" t="s">
        <v>1325</v>
      </c>
      <c r="J10" s="670" t="s">
        <v>1325</v>
      </c>
      <c r="K10" s="668" t="s">
        <v>293</v>
      </c>
      <c r="L10" s="668" t="s">
        <v>293</v>
      </c>
      <c r="M10" s="668" t="s">
        <v>1314</v>
      </c>
      <c r="N10" s="668" t="s">
        <v>293</v>
      </c>
      <c r="O10" s="668" t="s">
        <v>293</v>
      </c>
      <c r="P10" s="668" t="s">
        <v>1314</v>
      </c>
      <c r="Q10" s="668" t="s">
        <v>1315</v>
      </c>
      <c r="R10" s="668" t="s">
        <v>1314</v>
      </c>
      <c r="S10" s="668" t="s">
        <v>1314</v>
      </c>
      <c r="T10" s="668" t="s">
        <v>1314</v>
      </c>
      <c r="U10" s="668" t="s">
        <v>1324</v>
      </c>
      <c r="V10" s="668" t="s">
        <v>1312</v>
      </c>
      <c r="W10" s="668" t="s">
        <v>1312</v>
      </c>
      <c r="X10" s="668" t="s">
        <v>1312</v>
      </c>
      <c r="Y10" s="668" t="s">
        <v>293</v>
      </c>
      <c r="Z10" s="668" t="s">
        <v>293</v>
      </c>
      <c r="AA10" s="668" t="s">
        <v>1324</v>
      </c>
      <c r="AB10" s="668" t="s">
        <v>293</v>
      </c>
      <c r="AC10" s="668" t="s">
        <v>293</v>
      </c>
      <c r="AD10" s="668" t="s">
        <v>293</v>
      </c>
      <c r="AE10" s="668" t="s">
        <v>293</v>
      </c>
      <c r="AF10" s="668" t="s">
        <v>293</v>
      </c>
      <c r="AG10" s="668" t="s">
        <v>293</v>
      </c>
      <c r="AH10" s="668" t="s">
        <v>1323</v>
      </c>
      <c r="AI10" s="668" t="s">
        <v>293</v>
      </c>
      <c r="AJ10" s="668" t="s">
        <v>293</v>
      </c>
      <c r="AK10" s="668" t="s">
        <v>293</v>
      </c>
      <c r="AL10" s="668" t="s">
        <v>293</v>
      </c>
      <c r="AM10" s="668" t="s">
        <v>1323</v>
      </c>
      <c r="AN10" s="668" t="s">
        <v>1323</v>
      </c>
      <c r="AO10" s="668" t="s">
        <v>293</v>
      </c>
      <c r="AP10" s="668" t="s">
        <v>293</v>
      </c>
      <c r="AQ10" s="668" t="s">
        <v>293</v>
      </c>
      <c r="AR10" s="668" t="s">
        <v>1316</v>
      </c>
      <c r="AS10" s="668" t="s">
        <v>293</v>
      </c>
      <c r="AT10" s="668" t="s">
        <v>293</v>
      </c>
      <c r="AU10" s="668" t="s">
        <v>1323</v>
      </c>
      <c r="AV10" s="668" t="s">
        <v>1314</v>
      </c>
      <c r="AW10" s="668" t="s">
        <v>1314</v>
      </c>
      <c r="AX10" s="668" t="s">
        <v>1314</v>
      </c>
      <c r="AY10" s="668" t="s">
        <v>293</v>
      </c>
      <c r="AZ10" s="668" t="s">
        <v>1322</v>
      </c>
      <c r="BA10" s="668" t="s">
        <v>1322</v>
      </c>
      <c r="BB10" s="668" t="s">
        <v>293</v>
      </c>
      <c r="BC10" s="668" t="s">
        <v>1313</v>
      </c>
      <c r="BD10" s="668" t="s">
        <v>293</v>
      </c>
      <c r="BE10" s="668" t="s">
        <v>1320</v>
      </c>
      <c r="BF10" s="668" t="s">
        <v>1316</v>
      </c>
      <c r="BG10" s="668" t="s">
        <v>1316</v>
      </c>
      <c r="BH10" s="668" t="s">
        <v>1313</v>
      </c>
      <c r="BI10" s="668" t="s">
        <v>1314</v>
      </c>
      <c r="BJ10" s="668" t="s">
        <v>1314</v>
      </c>
      <c r="BK10" s="668" t="s">
        <v>1314</v>
      </c>
      <c r="BL10" s="668" t="s">
        <v>1314</v>
      </c>
      <c r="BM10" s="668" t="s">
        <v>1314</v>
      </c>
      <c r="BN10" s="668" t="s">
        <v>1314</v>
      </c>
      <c r="BO10" s="668" t="s">
        <v>1321</v>
      </c>
      <c r="BP10" s="668" t="s">
        <v>1320</v>
      </c>
      <c r="BQ10" s="668" t="s">
        <v>1312</v>
      </c>
      <c r="BR10" s="668" t="s">
        <v>293</v>
      </c>
      <c r="BS10" s="668" t="s">
        <v>293</v>
      </c>
      <c r="BT10" s="668" t="s">
        <v>293</v>
      </c>
      <c r="BU10" s="668" t="s">
        <v>293</v>
      </c>
      <c r="BV10" s="668" t="s">
        <v>293</v>
      </c>
      <c r="BW10" s="668" t="s">
        <v>1318</v>
      </c>
      <c r="BX10" s="668" t="s">
        <v>1315</v>
      </c>
      <c r="BY10" s="668" t="s">
        <v>1318</v>
      </c>
      <c r="BZ10" s="668" t="s">
        <v>1316</v>
      </c>
      <c r="CA10" s="668" t="s">
        <v>1319</v>
      </c>
      <c r="CB10" s="668" t="s">
        <v>1318</v>
      </c>
      <c r="CC10" s="668" t="s">
        <v>293</v>
      </c>
      <c r="CD10" s="668" t="s">
        <v>293</v>
      </c>
      <c r="CE10" s="668" t="s">
        <v>293</v>
      </c>
      <c r="CF10" s="668" t="s">
        <v>293</v>
      </c>
      <c r="CG10" s="668" t="s">
        <v>293</v>
      </c>
      <c r="CH10" s="668" t="s">
        <v>293</v>
      </c>
      <c r="CI10" s="668" t="s">
        <v>293</v>
      </c>
      <c r="CJ10" s="668" t="s">
        <v>293</v>
      </c>
      <c r="CK10" s="668" t="s">
        <v>293</v>
      </c>
      <c r="CL10" s="668" t="s">
        <v>293</v>
      </c>
      <c r="CM10" s="668" t="s">
        <v>293</v>
      </c>
      <c r="CN10" s="668" t="s">
        <v>1317</v>
      </c>
      <c r="CO10" s="668" t="s">
        <v>293</v>
      </c>
      <c r="CP10" s="668" t="s">
        <v>293</v>
      </c>
      <c r="CQ10" s="668" t="s">
        <v>1317</v>
      </c>
      <c r="CR10" s="668" t="s">
        <v>1316</v>
      </c>
      <c r="CS10" s="668" t="s">
        <v>1315</v>
      </c>
      <c r="CT10" s="668" t="s">
        <v>1314</v>
      </c>
      <c r="CU10" s="668" t="s">
        <v>1313</v>
      </c>
      <c r="CV10" s="668" t="s">
        <v>1312</v>
      </c>
      <c r="CW10" s="668" t="s">
        <v>293</v>
      </c>
      <c r="CX10" s="668" t="s">
        <v>293</v>
      </c>
      <c r="CY10" s="668" t="s">
        <v>293</v>
      </c>
      <c r="CZ10" s="668" t="s">
        <v>293</v>
      </c>
      <c r="DA10" s="668" t="s">
        <v>293</v>
      </c>
      <c r="DB10" s="668" t="s">
        <v>293</v>
      </c>
      <c r="DC10" s="668" t="s">
        <v>293</v>
      </c>
      <c r="DD10" s="668" t="s">
        <v>293</v>
      </c>
      <c r="DE10" s="668" t="s">
        <v>293</v>
      </c>
      <c r="DF10" s="668" t="s">
        <v>293</v>
      </c>
      <c r="DG10" s="668" t="s">
        <v>293</v>
      </c>
      <c r="DH10" s="668" t="s">
        <v>293</v>
      </c>
      <c r="DI10" s="668" t="s">
        <v>293</v>
      </c>
      <c r="DJ10" s="668" t="s">
        <v>293</v>
      </c>
      <c r="DK10" s="668" t="s">
        <v>293</v>
      </c>
      <c r="DL10" s="668" t="s">
        <v>293</v>
      </c>
      <c r="DM10" s="668" t="s">
        <v>293</v>
      </c>
      <c r="DN10" s="668" t="s">
        <v>293</v>
      </c>
      <c r="DO10" s="668" t="s">
        <v>293</v>
      </c>
      <c r="DP10" s="668" t="s">
        <v>293</v>
      </c>
      <c r="DQ10" s="668" t="s">
        <v>293</v>
      </c>
      <c r="DR10" s="668" t="s">
        <v>293</v>
      </c>
      <c r="DS10" s="668" t="s">
        <v>293</v>
      </c>
      <c r="DT10" s="668" t="s">
        <v>293</v>
      </c>
      <c r="DU10" s="668" t="s">
        <v>293</v>
      </c>
      <c r="DV10" s="668" t="s">
        <v>293</v>
      </c>
      <c r="DW10" s="668" t="s">
        <v>293</v>
      </c>
      <c r="DX10" s="668" t="s">
        <v>293</v>
      </c>
      <c r="DY10" s="668" t="s">
        <v>293</v>
      </c>
      <c r="DZ10" s="668" t="s">
        <v>293</v>
      </c>
      <c r="EA10" s="668" t="s">
        <v>293</v>
      </c>
      <c r="EB10" s="668" t="s">
        <v>293</v>
      </c>
      <c r="EC10" s="668" t="s">
        <v>293</v>
      </c>
      <c r="ED10" s="668" t="s">
        <v>293</v>
      </c>
      <c r="EE10" s="668" t="s">
        <v>293</v>
      </c>
      <c r="EF10" s="668" t="s">
        <v>293</v>
      </c>
      <c r="EG10" s="668" t="s">
        <v>293</v>
      </c>
      <c r="EH10" s="668" t="s">
        <v>293</v>
      </c>
      <c r="EI10" s="668" t="s">
        <v>293</v>
      </c>
      <c r="EJ10" s="668" t="s">
        <v>293</v>
      </c>
      <c r="EK10" s="668" t="s">
        <v>293</v>
      </c>
      <c r="EL10" s="668" t="s">
        <v>293</v>
      </c>
      <c r="EM10" s="668" t="s">
        <v>293</v>
      </c>
      <c r="EN10" s="668" t="s">
        <v>293</v>
      </c>
      <c r="EO10" s="668" t="s">
        <v>293</v>
      </c>
      <c r="EP10" s="668" t="s">
        <v>293</v>
      </c>
      <c r="EQ10" s="668" t="s">
        <v>293</v>
      </c>
      <c r="ER10" s="668" t="s">
        <v>293</v>
      </c>
      <c r="ES10" s="668" t="s">
        <v>293</v>
      </c>
      <c r="ET10" s="668" t="s">
        <v>293</v>
      </c>
      <c r="EU10" s="668" t="s">
        <v>293</v>
      </c>
      <c r="EV10" s="668" t="s">
        <v>293</v>
      </c>
      <c r="EW10" s="668" t="s">
        <v>293</v>
      </c>
      <c r="EX10" s="668" t="s">
        <v>293</v>
      </c>
      <c r="EY10" s="668" t="s">
        <v>293</v>
      </c>
      <c r="EZ10" s="668" t="s">
        <v>293</v>
      </c>
      <c r="FA10" s="668" t="s">
        <v>293</v>
      </c>
      <c r="FB10" s="668" t="s">
        <v>293</v>
      </c>
      <c r="FC10" s="668" t="s">
        <v>293</v>
      </c>
      <c r="FD10" s="668" t="s">
        <v>293</v>
      </c>
      <c r="FE10" s="668" t="s">
        <v>293</v>
      </c>
      <c r="FF10" s="668" t="s">
        <v>293</v>
      </c>
      <c r="FG10" s="668" t="s">
        <v>293</v>
      </c>
      <c r="FH10" s="668" t="s">
        <v>293</v>
      </c>
      <c r="FI10" s="668" t="s">
        <v>293</v>
      </c>
      <c r="FJ10" s="668" t="s">
        <v>293</v>
      </c>
      <c r="FK10" s="668" t="s">
        <v>293</v>
      </c>
      <c r="FL10" s="668" t="s">
        <v>293</v>
      </c>
      <c r="FM10" s="668" t="s">
        <v>293</v>
      </c>
      <c r="FN10" s="668" t="s">
        <v>293</v>
      </c>
      <c r="FO10" s="668" t="s">
        <v>293</v>
      </c>
      <c r="FP10" s="668" t="s">
        <v>293</v>
      </c>
      <c r="FQ10" s="668" t="s">
        <v>293</v>
      </c>
      <c r="FR10" s="668" t="s">
        <v>293</v>
      </c>
      <c r="FS10" s="668" t="s">
        <v>293</v>
      </c>
      <c r="FT10" s="668" t="s">
        <v>293</v>
      </c>
      <c r="FU10" s="668" t="s">
        <v>293</v>
      </c>
      <c r="FV10" s="668" t="s">
        <v>293</v>
      </c>
      <c r="FW10" s="668" t="s">
        <v>293</v>
      </c>
      <c r="FX10" s="668" t="s">
        <v>293</v>
      </c>
      <c r="FY10" s="668" t="s">
        <v>293</v>
      </c>
      <c r="FZ10" s="668" t="s">
        <v>293</v>
      </c>
      <c r="GA10" s="668" t="s">
        <v>293</v>
      </c>
      <c r="GB10" s="668" t="s">
        <v>293</v>
      </c>
      <c r="GC10" s="668" t="s">
        <v>293</v>
      </c>
      <c r="GD10" s="668" t="s">
        <v>293</v>
      </c>
      <c r="GE10" s="668" t="s">
        <v>293</v>
      </c>
      <c r="GF10" s="668" t="s">
        <v>293</v>
      </c>
      <c r="GG10" s="668" t="s">
        <v>293</v>
      </c>
      <c r="GH10" s="668" t="s">
        <v>293</v>
      </c>
      <c r="GI10" s="668" t="s">
        <v>293</v>
      </c>
      <c r="GJ10" s="668" t="s">
        <v>293</v>
      </c>
      <c r="GK10" s="668" t="s">
        <v>293</v>
      </c>
      <c r="GL10" s="668" t="s">
        <v>293</v>
      </c>
      <c r="GM10" s="668" t="s">
        <v>293</v>
      </c>
      <c r="GN10" s="668" t="s">
        <v>293</v>
      </c>
      <c r="GO10" s="668" t="s">
        <v>293</v>
      </c>
    </row>
    <row r="11" spans="1:197" ht="12.75">
      <c r="A11" s="728" t="s">
        <v>1247</v>
      </c>
      <c r="B11" s="668" t="s">
        <v>293</v>
      </c>
      <c r="C11" s="668" t="s">
        <v>293</v>
      </c>
      <c r="D11" s="668" t="s">
        <v>293</v>
      </c>
      <c r="E11" s="668" t="s">
        <v>293</v>
      </c>
      <c r="F11" s="668" t="s">
        <v>293</v>
      </c>
      <c r="G11" s="668" t="s">
        <v>293</v>
      </c>
      <c r="H11" s="664" t="s">
        <v>1243</v>
      </c>
      <c r="I11" s="664" t="s">
        <v>1243</v>
      </c>
      <c r="J11" s="664" t="s">
        <v>1243</v>
      </c>
      <c r="K11" s="668" t="s">
        <v>293</v>
      </c>
      <c r="L11" s="668" t="s">
        <v>293</v>
      </c>
      <c r="M11" s="662" t="s">
        <v>1309</v>
      </c>
      <c r="N11" s="668" t="s">
        <v>293</v>
      </c>
      <c r="O11" s="668" t="s">
        <v>293</v>
      </c>
      <c r="P11" s="662" t="s">
        <v>1309</v>
      </c>
      <c r="Q11" s="662" t="s">
        <v>1309</v>
      </c>
      <c r="R11" s="662" t="s">
        <v>1309</v>
      </c>
      <c r="S11" s="662" t="s">
        <v>1309</v>
      </c>
      <c r="T11" s="662" t="s">
        <v>1309</v>
      </c>
      <c r="U11" s="662" t="s">
        <v>1311</v>
      </c>
      <c r="V11" s="662" t="s">
        <v>1309</v>
      </c>
      <c r="W11" s="662" t="s">
        <v>1309</v>
      </c>
      <c r="X11" s="662" t="s">
        <v>1309</v>
      </c>
      <c r="Y11" s="668" t="s">
        <v>293</v>
      </c>
      <c r="Z11" s="668" t="s">
        <v>293</v>
      </c>
      <c r="AA11" s="662" t="s">
        <v>1311</v>
      </c>
      <c r="AB11" s="668" t="s">
        <v>293</v>
      </c>
      <c r="AC11" s="668" t="s">
        <v>293</v>
      </c>
      <c r="AD11" s="668" t="s">
        <v>293</v>
      </c>
      <c r="AE11" s="668" t="s">
        <v>293</v>
      </c>
      <c r="AF11" s="668" t="s">
        <v>293</v>
      </c>
      <c r="AG11" s="668" t="s">
        <v>293</v>
      </c>
      <c r="AH11" s="662" t="s">
        <v>1309</v>
      </c>
      <c r="AI11" s="668" t="s">
        <v>293</v>
      </c>
      <c r="AJ11" s="668" t="s">
        <v>293</v>
      </c>
      <c r="AK11" s="668" t="s">
        <v>293</v>
      </c>
      <c r="AL11" s="668" t="s">
        <v>293</v>
      </c>
      <c r="AM11" s="662" t="s">
        <v>1309</v>
      </c>
      <c r="AN11" s="662" t="s">
        <v>1309</v>
      </c>
      <c r="AO11" s="668" t="s">
        <v>293</v>
      </c>
      <c r="AP11" s="668" t="s">
        <v>293</v>
      </c>
      <c r="AQ11" s="668" t="s">
        <v>293</v>
      </c>
      <c r="AR11" s="662" t="s">
        <v>1309</v>
      </c>
      <c r="AS11" s="668" t="s">
        <v>293</v>
      </c>
      <c r="AT11" s="668" t="s">
        <v>293</v>
      </c>
      <c r="AU11" s="662" t="s">
        <v>1309</v>
      </c>
      <c r="AV11" s="662" t="s">
        <v>1309</v>
      </c>
      <c r="AW11" s="662" t="s">
        <v>1309</v>
      </c>
      <c r="AX11" s="662" t="s">
        <v>1309</v>
      </c>
      <c r="AY11" s="668" t="s">
        <v>293</v>
      </c>
      <c r="AZ11" s="662" t="s">
        <v>1309</v>
      </c>
      <c r="BA11" s="662" t="s">
        <v>1309</v>
      </c>
      <c r="BB11" s="668" t="s">
        <v>293</v>
      </c>
      <c r="BC11" s="662" t="s">
        <v>1309</v>
      </c>
      <c r="BD11" s="668" t="s">
        <v>293</v>
      </c>
      <c r="BE11" s="662" t="s">
        <v>1309</v>
      </c>
      <c r="BF11" s="662" t="s">
        <v>1309</v>
      </c>
      <c r="BG11" s="662" t="s">
        <v>1309</v>
      </c>
      <c r="BH11" s="662" t="s">
        <v>1309</v>
      </c>
      <c r="BI11" s="662" t="s">
        <v>1309</v>
      </c>
      <c r="BJ11" s="662" t="s">
        <v>1309</v>
      </c>
      <c r="BK11" s="662" t="s">
        <v>1309</v>
      </c>
      <c r="BL11" s="662" t="s">
        <v>1309</v>
      </c>
      <c r="BM11" s="662" t="s">
        <v>1309</v>
      </c>
      <c r="BN11" s="662" t="s">
        <v>1309</v>
      </c>
      <c r="BO11" s="662" t="s">
        <v>1309</v>
      </c>
      <c r="BP11" s="662" t="s">
        <v>1309</v>
      </c>
      <c r="BQ11" s="662" t="s">
        <v>1309</v>
      </c>
      <c r="BR11" s="668" t="s">
        <v>293</v>
      </c>
      <c r="BS11" s="668" t="s">
        <v>293</v>
      </c>
      <c r="BT11" s="668" t="s">
        <v>293</v>
      </c>
      <c r="BU11" s="668" t="s">
        <v>293</v>
      </c>
      <c r="BV11" s="668" t="s">
        <v>293</v>
      </c>
      <c r="BW11" s="662" t="s">
        <v>1310</v>
      </c>
      <c r="BX11" s="662" t="s">
        <v>1309</v>
      </c>
      <c r="BY11" s="662" t="s">
        <v>1310</v>
      </c>
      <c r="BZ11" s="662" t="s">
        <v>1309</v>
      </c>
      <c r="CA11" s="662" t="s">
        <v>1309</v>
      </c>
      <c r="CB11" s="662" t="s">
        <v>1310</v>
      </c>
      <c r="CC11" s="668" t="s">
        <v>293</v>
      </c>
      <c r="CD11" s="668" t="s">
        <v>293</v>
      </c>
      <c r="CE11" s="668" t="s">
        <v>293</v>
      </c>
      <c r="CF11" s="668" t="s">
        <v>293</v>
      </c>
      <c r="CG11" s="668" t="s">
        <v>293</v>
      </c>
      <c r="CH11" s="668" t="s">
        <v>293</v>
      </c>
      <c r="CI11" s="668" t="s">
        <v>293</v>
      </c>
      <c r="CJ11" s="668" t="s">
        <v>293</v>
      </c>
      <c r="CK11" s="668" t="s">
        <v>293</v>
      </c>
      <c r="CL11" s="668" t="s">
        <v>293</v>
      </c>
      <c r="CM11" s="668" t="s">
        <v>293</v>
      </c>
      <c r="CN11" s="662" t="s">
        <v>1246</v>
      </c>
      <c r="CO11" s="668" t="s">
        <v>293</v>
      </c>
      <c r="CP11" s="668" t="s">
        <v>293</v>
      </c>
      <c r="CQ11" s="662" t="s">
        <v>1246</v>
      </c>
      <c r="CR11" s="662" t="s">
        <v>1309</v>
      </c>
      <c r="CS11" s="662" t="s">
        <v>1309</v>
      </c>
      <c r="CT11" s="662" t="s">
        <v>1309</v>
      </c>
      <c r="CU11" s="662" t="s">
        <v>1309</v>
      </c>
      <c r="CV11" s="662" t="s">
        <v>1309</v>
      </c>
      <c r="CW11" s="668" t="s">
        <v>293</v>
      </c>
      <c r="CX11" s="668" t="s">
        <v>293</v>
      </c>
      <c r="CY11" s="668" t="s">
        <v>293</v>
      </c>
      <c r="CZ11" s="668" t="s">
        <v>293</v>
      </c>
      <c r="DA11" s="668" t="s">
        <v>293</v>
      </c>
      <c r="DB11" s="668" t="s">
        <v>293</v>
      </c>
      <c r="DC11" s="668" t="s">
        <v>293</v>
      </c>
      <c r="DD11" s="668" t="s">
        <v>293</v>
      </c>
      <c r="DE11" s="668" t="s">
        <v>293</v>
      </c>
      <c r="DF11" s="668" t="s">
        <v>293</v>
      </c>
      <c r="DG11" s="668" t="s">
        <v>293</v>
      </c>
      <c r="DH11" s="668" t="s">
        <v>293</v>
      </c>
      <c r="DI11" s="668" t="s">
        <v>293</v>
      </c>
      <c r="DJ11" s="668" t="s">
        <v>293</v>
      </c>
      <c r="DK11" s="668" t="s">
        <v>293</v>
      </c>
      <c r="DL11" s="668" t="s">
        <v>293</v>
      </c>
      <c r="DM11" s="668" t="s">
        <v>293</v>
      </c>
      <c r="DN11" s="668" t="s">
        <v>293</v>
      </c>
      <c r="DO11" s="668" t="s">
        <v>293</v>
      </c>
      <c r="DP11" s="668" t="s">
        <v>293</v>
      </c>
      <c r="DQ11" s="668" t="s">
        <v>293</v>
      </c>
      <c r="DR11" s="668" t="s">
        <v>293</v>
      </c>
      <c r="DS11" s="668" t="s">
        <v>293</v>
      </c>
      <c r="DT11" s="668" t="s">
        <v>293</v>
      </c>
      <c r="DU11" s="668" t="s">
        <v>293</v>
      </c>
      <c r="DV11" s="668" t="s">
        <v>293</v>
      </c>
      <c r="DW11" s="668" t="s">
        <v>293</v>
      </c>
      <c r="DX11" s="668" t="s">
        <v>293</v>
      </c>
      <c r="DY11" s="668" t="s">
        <v>293</v>
      </c>
      <c r="DZ11" s="668" t="s">
        <v>293</v>
      </c>
      <c r="EA11" s="668" t="s">
        <v>293</v>
      </c>
      <c r="EB11" s="668" t="s">
        <v>293</v>
      </c>
      <c r="EC11" s="668" t="s">
        <v>293</v>
      </c>
      <c r="ED11" s="668" t="s">
        <v>293</v>
      </c>
      <c r="EE11" s="668" t="s">
        <v>293</v>
      </c>
      <c r="EF11" s="668" t="s">
        <v>293</v>
      </c>
      <c r="EG11" s="668" t="s">
        <v>293</v>
      </c>
      <c r="EH11" s="668" t="s">
        <v>293</v>
      </c>
      <c r="EI11" s="668" t="s">
        <v>293</v>
      </c>
      <c r="EJ11" s="668" t="s">
        <v>293</v>
      </c>
      <c r="EK11" s="668" t="s">
        <v>293</v>
      </c>
      <c r="EL11" s="668" t="s">
        <v>293</v>
      </c>
      <c r="EM11" s="668" t="s">
        <v>293</v>
      </c>
      <c r="EN11" s="668" t="s">
        <v>293</v>
      </c>
      <c r="EO11" s="668" t="s">
        <v>293</v>
      </c>
      <c r="EP11" s="668" t="s">
        <v>293</v>
      </c>
      <c r="EQ11" s="668" t="s">
        <v>293</v>
      </c>
      <c r="ER11" s="668" t="s">
        <v>293</v>
      </c>
      <c r="ES11" s="668" t="s">
        <v>293</v>
      </c>
      <c r="ET11" s="668" t="s">
        <v>293</v>
      </c>
      <c r="EU11" s="668" t="s">
        <v>293</v>
      </c>
      <c r="EV11" s="668" t="s">
        <v>293</v>
      </c>
      <c r="EW11" s="668" t="s">
        <v>293</v>
      </c>
      <c r="EX11" s="668" t="s">
        <v>293</v>
      </c>
      <c r="EY11" s="668" t="s">
        <v>293</v>
      </c>
      <c r="EZ11" s="668" t="s">
        <v>293</v>
      </c>
      <c r="FA11" s="668" t="s">
        <v>293</v>
      </c>
      <c r="FB11" s="668" t="s">
        <v>293</v>
      </c>
      <c r="FC11" s="668" t="s">
        <v>293</v>
      </c>
      <c r="FD11" s="668" t="s">
        <v>293</v>
      </c>
      <c r="FE11" s="668" t="s">
        <v>293</v>
      </c>
      <c r="FF11" s="668" t="s">
        <v>293</v>
      </c>
      <c r="FG11" s="668" t="s">
        <v>293</v>
      </c>
      <c r="FH11" s="668" t="s">
        <v>293</v>
      </c>
      <c r="FI11" s="668" t="s">
        <v>293</v>
      </c>
      <c r="FJ11" s="668" t="s">
        <v>293</v>
      </c>
      <c r="FK11" s="668" t="s">
        <v>293</v>
      </c>
      <c r="FL11" s="668" t="s">
        <v>293</v>
      </c>
      <c r="FM11" s="668" t="s">
        <v>293</v>
      </c>
      <c r="FN11" s="668" t="s">
        <v>293</v>
      </c>
      <c r="FO11" s="668" t="s">
        <v>293</v>
      </c>
      <c r="FP11" s="668" t="s">
        <v>293</v>
      </c>
      <c r="FQ11" s="668" t="s">
        <v>293</v>
      </c>
      <c r="FR11" s="668" t="s">
        <v>293</v>
      </c>
      <c r="FS11" s="668" t="s">
        <v>293</v>
      </c>
      <c r="FT11" s="668" t="s">
        <v>293</v>
      </c>
      <c r="FU11" s="668" t="s">
        <v>293</v>
      </c>
      <c r="FV11" s="668" t="s">
        <v>293</v>
      </c>
      <c r="FW11" s="668" t="s">
        <v>293</v>
      </c>
      <c r="FX11" s="668" t="s">
        <v>293</v>
      </c>
      <c r="FY11" s="668" t="s">
        <v>293</v>
      </c>
      <c r="FZ11" s="668" t="s">
        <v>293</v>
      </c>
      <c r="GA11" s="668" t="s">
        <v>293</v>
      </c>
      <c r="GB11" s="668" t="s">
        <v>293</v>
      </c>
      <c r="GC11" s="668" t="s">
        <v>293</v>
      </c>
      <c r="GD11" s="668" t="s">
        <v>293</v>
      </c>
      <c r="GE11" s="668" t="s">
        <v>293</v>
      </c>
      <c r="GF11" s="668" t="s">
        <v>293</v>
      </c>
      <c r="GG11" s="668" t="s">
        <v>293</v>
      </c>
      <c r="GH11" s="668" t="s">
        <v>293</v>
      </c>
      <c r="GI11" s="668" t="s">
        <v>293</v>
      </c>
      <c r="GJ11" s="668" t="s">
        <v>293</v>
      </c>
      <c r="GK11" s="668" t="s">
        <v>293</v>
      </c>
      <c r="GL11" s="668" t="s">
        <v>293</v>
      </c>
      <c r="GM11" s="668" t="s">
        <v>293</v>
      </c>
      <c r="GN11" s="668" t="s">
        <v>293</v>
      </c>
      <c r="GO11" s="668" t="s">
        <v>293</v>
      </c>
    </row>
    <row r="12" spans="1:197" ht="12.75">
      <c r="A12" s="728" t="s">
        <v>1244</v>
      </c>
      <c r="B12" s="668" t="s">
        <v>293</v>
      </c>
      <c r="C12" s="668" t="s">
        <v>293</v>
      </c>
      <c r="D12" s="668" t="s">
        <v>293</v>
      </c>
      <c r="E12" s="668" t="s">
        <v>293</v>
      </c>
      <c r="F12" s="668" t="s">
        <v>293</v>
      </c>
      <c r="G12" s="668" t="s">
        <v>293</v>
      </c>
      <c r="H12" s="664" t="s">
        <v>1308</v>
      </c>
      <c r="I12" s="664" t="s">
        <v>1308</v>
      </c>
      <c r="J12" s="664" t="s">
        <v>1308</v>
      </c>
      <c r="K12" s="668" t="s">
        <v>293</v>
      </c>
      <c r="L12" s="668" t="s">
        <v>293</v>
      </c>
      <c r="M12" s="662" t="s">
        <v>1305</v>
      </c>
      <c r="N12" s="668" t="s">
        <v>293</v>
      </c>
      <c r="O12" s="668" t="s">
        <v>293</v>
      </c>
      <c r="P12" s="662" t="s">
        <v>1306</v>
      </c>
      <c r="Q12" s="662" t="s">
        <v>1306</v>
      </c>
      <c r="R12" s="662" t="s">
        <v>1305</v>
      </c>
      <c r="S12" s="662" t="s">
        <v>1305</v>
      </c>
      <c r="T12" s="662" t="s">
        <v>1305</v>
      </c>
      <c r="U12" s="662" t="s">
        <v>1307</v>
      </c>
      <c r="V12" s="662" t="s">
        <v>1304</v>
      </c>
      <c r="W12" s="662" t="s">
        <v>1304</v>
      </c>
      <c r="X12" s="662" t="s">
        <v>1304</v>
      </c>
      <c r="Y12" s="668" t="s">
        <v>293</v>
      </c>
      <c r="Z12" s="668" t="s">
        <v>293</v>
      </c>
      <c r="AA12" s="662" t="s">
        <v>1307</v>
      </c>
      <c r="AB12" s="668" t="s">
        <v>293</v>
      </c>
      <c r="AC12" s="668" t="s">
        <v>293</v>
      </c>
      <c r="AD12" s="668" t="s">
        <v>293</v>
      </c>
      <c r="AE12" s="668" t="s">
        <v>293</v>
      </c>
      <c r="AF12" s="668" t="s">
        <v>293</v>
      </c>
      <c r="AG12" s="668" t="s">
        <v>293</v>
      </c>
      <c r="AH12" s="662" t="s">
        <v>1306</v>
      </c>
      <c r="AI12" s="668" t="s">
        <v>293</v>
      </c>
      <c r="AJ12" s="668" t="s">
        <v>293</v>
      </c>
      <c r="AK12" s="668" t="s">
        <v>293</v>
      </c>
      <c r="AL12" s="668" t="s">
        <v>293</v>
      </c>
      <c r="AM12" s="662" t="s">
        <v>1305</v>
      </c>
      <c r="AN12" s="662" t="s">
        <v>1305</v>
      </c>
      <c r="AO12" s="668" t="s">
        <v>293</v>
      </c>
      <c r="AP12" s="668" t="s">
        <v>293</v>
      </c>
      <c r="AQ12" s="668" t="s">
        <v>293</v>
      </c>
      <c r="AR12" s="662" t="s">
        <v>1306</v>
      </c>
      <c r="AS12" s="668" t="s">
        <v>293</v>
      </c>
      <c r="AT12" s="668" t="s">
        <v>293</v>
      </c>
      <c r="AU12" s="662" t="s">
        <v>1305</v>
      </c>
      <c r="AV12" s="662" t="s">
        <v>1305</v>
      </c>
      <c r="AW12" s="662" t="s">
        <v>1305</v>
      </c>
      <c r="AX12" s="662" t="s">
        <v>1305</v>
      </c>
      <c r="AY12" s="668" t="s">
        <v>293</v>
      </c>
      <c r="AZ12" s="662" t="s">
        <v>1306</v>
      </c>
      <c r="BA12" s="662" t="s">
        <v>1306</v>
      </c>
      <c r="BB12" s="668" t="s">
        <v>293</v>
      </c>
      <c r="BC12" s="662" t="s">
        <v>1304</v>
      </c>
      <c r="BD12" s="668" t="s">
        <v>293</v>
      </c>
      <c r="BE12" s="662" t="s">
        <v>1305</v>
      </c>
      <c r="BF12" s="662" t="s">
        <v>1306</v>
      </c>
      <c r="BG12" s="662" t="s">
        <v>1306</v>
      </c>
      <c r="BH12" s="662" t="s">
        <v>1304</v>
      </c>
      <c r="BI12" s="662" t="s">
        <v>1306</v>
      </c>
      <c r="BJ12" s="662" t="s">
        <v>1305</v>
      </c>
      <c r="BK12" s="662" t="s">
        <v>1305</v>
      </c>
      <c r="BL12" s="662" t="s">
        <v>1305</v>
      </c>
      <c r="BM12" s="662" t="s">
        <v>1305</v>
      </c>
      <c r="BN12" s="662" t="s">
        <v>1305</v>
      </c>
      <c r="BO12" s="662" t="s">
        <v>1305</v>
      </c>
      <c r="BP12" s="662" t="s">
        <v>1305</v>
      </c>
      <c r="BQ12" s="662" t="s">
        <v>1305</v>
      </c>
      <c r="BR12" s="668" t="s">
        <v>293</v>
      </c>
      <c r="BS12" s="668" t="s">
        <v>293</v>
      </c>
      <c r="BT12" s="668" t="s">
        <v>293</v>
      </c>
      <c r="BU12" s="668" t="s">
        <v>293</v>
      </c>
      <c r="BV12" s="668" t="s">
        <v>293</v>
      </c>
      <c r="BW12" s="662" t="s">
        <v>1307</v>
      </c>
      <c r="BX12" s="662" t="s">
        <v>1306</v>
      </c>
      <c r="BY12" s="662" t="s">
        <v>1307</v>
      </c>
      <c r="BZ12" s="662" t="s">
        <v>1306</v>
      </c>
      <c r="CA12" s="662" t="s">
        <v>1306</v>
      </c>
      <c r="CB12" s="662" t="s">
        <v>1307</v>
      </c>
      <c r="CC12" s="668" t="s">
        <v>293</v>
      </c>
      <c r="CD12" s="668" t="s">
        <v>293</v>
      </c>
      <c r="CE12" s="668" t="s">
        <v>293</v>
      </c>
      <c r="CF12" s="668" t="s">
        <v>293</v>
      </c>
      <c r="CG12" s="668" t="s">
        <v>293</v>
      </c>
      <c r="CH12" s="668" t="s">
        <v>293</v>
      </c>
      <c r="CI12" s="668" t="s">
        <v>293</v>
      </c>
      <c r="CJ12" s="668" t="s">
        <v>293</v>
      </c>
      <c r="CK12" s="668" t="s">
        <v>293</v>
      </c>
      <c r="CL12" s="668" t="s">
        <v>293</v>
      </c>
      <c r="CM12" s="668" t="s">
        <v>293</v>
      </c>
      <c r="CN12" s="662" t="s">
        <v>1241</v>
      </c>
      <c r="CO12" s="668" t="s">
        <v>293</v>
      </c>
      <c r="CP12" s="668" t="s">
        <v>293</v>
      </c>
      <c r="CQ12" s="662" t="s">
        <v>1241</v>
      </c>
      <c r="CR12" s="662" t="s">
        <v>1306</v>
      </c>
      <c r="CS12" s="662" t="s">
        <v>1306</v>
      </c>
      <c r="CT12" s="662" t="s">
        <v>1305</v>
      </c>
      <c r="CU12" s="662" t="s">
        <v>1304</v>
      </c>
      <c r="CV12" s="662" t="s">
        <v>1304</v>
      </c>
      <c r="CW12" s="668" t="s">
        <v>293</v>
      </c>
      <c r="CX12" s="668" t="s">
        <v>293</v>
      </c>
      <c r="CY12" s="668" t="s">
        <v>293</v>
      </c>
      <c r="CZ12" s="668" t="s">
        <v>293</v>
      </c>
      <c r="DA12" s="668" t="s">
        <v>293</v>
      </c>
      <c r="DB12" s="668" t="s">
        <v>293</v>
      </c>
      <c r="DC12" s="668" t="s">
        <v>293</v>
      </c>
      <c r="DD12" s="668" t="s">
        <v>293</v>
      </c>
      <c r="DE12" s="668" t="s">
        <v>293</v>
      </c>
      <c r="DF12" s="668" t="s">
        <v>293</v>
      </c>
      <c r="DG12" s="668" t="s">
        <v>293</v>
      </c>
      <c r="DH12" s="668" t="s">
        <v>293</v>
      </c>
      <c r="DI12" s="668" t="s">
        <v>293</v>
      </c>
      <c r="DJ12" s="668" t="s">
        <v>293</v>
      </c>
      <c r="DK12" s="668" t="s">
        <v>293</v>
      </c>
      <c r="DL12" s="668" t="s">
        <v>293</v>
      </c>
      <c r="DM12" s="668" t="s">
        <v>293</v>
      </c>
      <c r="DN12" s="668" t="s">
        <v>293</v>
      </c>
      <c r="DO12" s="668" t="s">
        <v>293</v>
      </c>
      <c r="DP12" s="668" t="s">
        <v>293</v>
      </c>
      <c r="DQ12" s="668" t="s">
        <v>293</v>
      </c>
      <c r="DR12" s="668" t="s">
        <v>293</v>
      </c>
      <c r="DS12" s="668" t="s">
        <v>293</v>
      </c>
      <c r="DT12" s="668" t="s">
        <v>293</v>
      </c>
      <c r="DU12" s="668" t="s">
        <v>293</v>
      </c>
      <c r="DV12" s="668" t="s">
        <v>293</v>
      </c>
      <c r="DW12" s="668" t="s">
        <v>293</v>
      </c>
      <c r="DX12" s="668" t="s">
        <v>293</v>
      </c>
      <c r="DY12" s="668" t="s">
        <v>293</v>
      </c>
      <c r="DZ12" s="668" t="s">
        <v>293</v>
      </c>
      <c r="EA12" s="668" t="s">
        <v>293</v>
      </c>
      <c r="EB12" s="668" t="s">
        <v>293</v>
      </c>
      <c r="EC12" s="668" t="s">
        <v>293</v>
      </c>
      <c r="ED12" s="668" t="s">
        <v>293</v>
      </c>
      <c r="EE12" s="668" t="s">
        <v>293</v>
      </c>
      <c r="EF12" s="668" t="s">
        <v>293</v>
      </c>
      <c r="EG12" s="668" t="s">
        <v>293</v>
      </c>
      <c r="EH12" s="668" t="s">
        <v>293</v>
      </c>
      <c r="EI12" s="668" t="s">
        <v>293</v>
      </c>
      <c r="EJ12" s="668" t="s">
        <v>293</v>
      </c>
      <c r="EK12" s="668" t="s">
        <v>293</v>
      </c>
      <c r="EL12" s="668" t="s">
        <v>293</v>
      </c>
      <c r="EM12" s="668" t="s">
        <v>293</v>
      </c>
      <c r="EN12" s="668" t="s">
        <v>293</v>
      </c>
      <c r="EO12" s="668" t="s">
        <v>293</v>
      </c>
      <c r="EP12" s="668" t="s">
        <v>293</v>
      </c>
      <c r="EQ12" s="668" t="s">
        <v>293</v>
      </c>
      <c r="ER12" s="668" t="s">
        <v>293</v>
      </c>
      <c r="ES12" s="668" t="s">
        <v>293</v>
      </c>
      <c r="ET12" s="668" t="s">
        <v>293</v>
      </c>
      <c r="EU12" s="668" t="s">
        <v>293</v>
      </c>
      <c r="EV12" s="668" t="s">
        <v>293</v>
      </c>
      <c r="EW12" s="668" t="s">
        <v>293</v>
      </c>
      <c r="EX12" s="668" t="s">
        <v>293</v>
      </c>
      <c r="EY12" s="668" t="s">
        <v>293</v>
      </c>
      <c r="EZ12" s="668" t="s">
        <v>293</v>
      </c>
      <c r="FA12" s="668" t="s">
        <v>293</v>
      </c>
      <c r="FB12" s="668" t="s">
        <v>293</v>
      </c>
      <c r="FC12" s="668" t="s">
        <v>293</v>
      </c>
      <c r="FD12" s="668" t="s">
        <v>293</v>
      </c>
      <c r="FE12" s="668" t="s">
        <v>293</v>
      </c>
      <c r="FF12" s="668" t="s">
        <v>293</v>
      </c>
      <c r="FG12" s="668" t="s">
        <v>293</v>
      </c>
      <c r="FH12" s="668" t="s">
        <v>293</v>
      </c>
      <c r="FI12" s="668" t="s">
        <v>293</v>
      </c>
      <c r="FJ12" s="668" t="s">
        <v>293</v>
      </c>
      <c r="FK12" s="668" t="s">
        <v>293</v>
      </c>
      <c r="FL12" s="668" t="s">
        <v>293</v>
      </c>
      <c r="FM12" s="668" t="s">
        <v>293</v>
      </c>
      <c r="FN12" s="668" t="s">
        <v>293</v>
      </c>
      <c r="FO12" s="668" t="s">
        <v>293</v>
      </c>
      <c r="FP12" s="668" t="s">
        <v>293</v>
      </c>
      <c r="FQ12" s="668" t="s">
        <v>293</v>
      </c>
      <c r="FR12" s="668" t="s">
        <v>293</v>
      </c>
      <c r="FS12" s="668" t="s">
        <v>293</v>
      </c>
      <c r="FT12" s="668" t="s">
        <v>293</v>
      </c>
      <c r="FU12" s="668" t="s">
        <v>293</v>
      </c>
      <c r="FV12" s="668" t="s">
        <v>293</v>
      </c>
      <c r="FW12" s="668" t="s">
        <v>293</v>
      </c>
      <c r="FX12" s="668" t="s">
        <v>293</v>
      </c>
      <c r="FY12" s="668" t="s">
        <v>293</v>
      </c>
      <c r="FZ12" s="668" t="s">
        <v>293</v>
      </c>
      <c r="GA12" s="668" t="s">
        <v>293</v>
      </c>
      <c r="GB12" s="668" t="s">
        <v>293</v>
      </c>
      <c r="GC12" s="668" t="s">
        <v>293</v>
      </c>
      <c r="GD12" s="668" t="s">
        <v>293</v>
      </c>
      <c r="GE12" s="668" t="s">
        <v>293</v>
      </c>
      <c r="GF12" s="668" t="s">
        <v>293</v>
      </c>
      <c r="GG12" s="668" t="s">
        <v>293</v>
      </c>
      <c r="GH12" s="668" t="s">
        <v>293</v>
      </c>
      <c r="GI12" s="668" t="s">
        <v>293</v>
      </c>
      <c r="GJ12" s="668" t="s">
        <v>293</v>
      </c>
      <c r="GK12" s="668" t="s">
        <v>293</v>
      </c>
      <c r="GL12" s="668" t="s">
        <v>293</v>
      </c>
      <c r="GM12" s="668" t="s">
        <v>293</v>
      </c>
      <c r="GN12" s="668" t="s">
        <v>293</v>
      </c>
      <c r="GO12" s="668" t="s">
        <v>293</v>
      </c>
    </row>
    <row r="13" spans="1:197" ht="12.75">
      <c r="A13" s="728" t="s">
        <v>1303</v>
      </c>
      <c r="B13" s="668" t="s">
        <v>293</v>
      </c>
      <c r="C13" s="668" t="s">
        <v>293</v>
      </c>
      <c r="D13" s="668" t="s">
        <v>293</v>
      </c>
      <c r="E13" s="668" t="s">
        <v>293</v>
      </c>
      <c r="F13" s="668" t="s">
        <v>293</v>
      </c>
      <c r="G13" s="668" t="s">
        <v>293</v>
      </c>
      <c r="H13" s="662" t="s">
        <v>1302</v>
      </c>
      <c r="I13" s="662" t="s">
        <v>1302</v>
      </c>
      <c r="J13" s="662" t="s">
        <v>1302</v>
      </c>
      <c r="K13" s="668" t="s">
        <v>293</v>
      </c>
      <c r="L13" s="668" t="s">
        <v>293</v>
      </c>
      <c r="M13" s="662" t="s">
        <v>1293</v>
      </c>
      <c r="N13" s="668" t="s">
        <v>293</v>
      </c>
      <c r="O13" s="668" t="s">
        <v>293</v>
      </c>
      <c r="P13" s="662" t="s">
        <v>1293</v>
      </c>
      <c r="Q13" s="662" t="s">
        <v>1293</v>
      </c>
      <c r="R13" s="662" t="s">
        <v>1293</v>
      </c>
      <c r="S13" s="662" t="s">
        <v>1293</v>
      </c>
      <c r="T13" s="662" t="s">
        <v>1293</v>
      </c>
      <c r="U13" s="664" t="s">
        <v>1301</v>
      </c>
      <c r="V13" s="664" t="s">
        <v>1291</v>
      </c>
      <c r="W13" s="664" t="s">
        <v>1291</v>
      </c>
      <c r="X13" s="664" t="s">
        <v>1291</v>
      </c>
      <c r="Y13" s="668" t="s">
        <v>293</v>
      </c>
      <c r="Z13" s="668" t="s">
        <v>293</v>
      </c>
      <c r="AA13" s="664" t="s">
        <v>1301</v>
      </c>
      <c r="AB13" s="668" t="s">
        <v>293</v>
      </c>
      <c r="AC13" s="668" t="s">
        <v>293</v>
      </c>
      <c r="AD13" s="668" t="s">
        <v>293</v>
      </c>
      <c r="AE13" s="668" t="s">
        <v>293</v>
      </c>
      <c r="AF13" s="668" t="s">
        <v>293</v>
      </c>
      <c r="AG13" s="668" t="s">
        <v>293</v>
      </c>
      <c r="AH13" s="664" t="s">
        <v>1300</v>
      </c>
      <c r="AI13" s="668" t="s">
        <v>293</v>
      </c>
      <c r="AJ13" s="668" t="s">
        <v>293</v>
      </c>
      <c r="AK13" s="668" t="s">
        <v>293</v>
      </c>
      <c r="AL13" s="668" t="s">
        <v>293</v>
      </c>
      <c r="AM13" s="664" t="s">
        <v>1300</v>
      </c>
      <c r="AN13" s="664" t="s">
        <v>1300</v>
      </c>
      <c r="AO13" s="668" t="s">
        <v>293</v>
      </c>
      <c r="AP13" s="668" t="s">
        <v>293</v>
      </c>
      <c r="AQ13" s="668" t="s">
        <v>293</v>
      </c>
      <c r="AR13" s="664" t="s">
        <v>1295</v>
      </c>
      <c r="AS13" s="668" t="s">
        <v>293</v>
      </c>
      <c r="AT13" s="668" t="s">
        <v>293</v>
      </c>
      <c r="AU13" s="664" t="s">
        <v>1300</v>
      </c>
      <c r="AV13" s="664" t="s">
        <v>1293</v>
      </c>
      <c r="AW13" s="664" t="s">
        <v>1293</v>
      </c>
      <c r="AX13" s="664" t="s">
        <v>1293</v>
      </c>
      <c r="AY13" s="668" t="s">
        <v>293</v>
      </c>
      <c r="AZ13" s="664" t="s">
        <v>1299</v>
      </c>
      <c r="BA13" s="664" t="s">
        <v>1299</v>
      </c>
      <c r="BB13" s="668" t="s">
        <v>293</v>
      </c>
      <c r="BC13" s="664" t="s">
        <v>1292</v>
      </c>
      <c r="BD13" s="668" t="s">
        <v>293</v>
      </c>
      <c r="BE13" s="664" t="s">
        <v>1293</v>
      </c>
      <c r="BF13" s="664" t="s">
        <v>1295</v>
      </c>
      <c r="BG13" s="664" t="s">
        <v>1295</v>
      </c>
      <c r="BH13" s="664" t="s">
        <v>1292</v>
      </c>
      <c r="BI13" s="664" t="s">
        <v>1293</v>
      </c>
      <c r="BJ13" s="664" t="s">
        <v>1293</v>
      </c>
      <c r="BK13" s="664" t="s">
        <v>1293</v>
      </c>
      <c r="BL13" s="664" t="s">
        <v>1293</v>
      </c>
      <c r="BM13" s="664" t="s">
        <v>1293</v>
      </c>
      <c r="BN13" s="664" t="s">
        <v>1293</v>
      </c>
      <c r="BO13" s="664" t="s">
        <v>1298</v>
      </c>
      <c r="BP13" s="664" t="s">
        <v>1297</v>
      </c>
      <c r="BQ13" s="664" t="s">
        <v>1291</v>
      </c>
      <c r="BR13" s="668" t="s">
        <v>293</v>
      </c>
      <c r="BS13" s="668" t="s">
        <v>293</v>
      </c>
      <c r="BT13" s="668" t="s">
        <v>293</v>
      </c>
      <c r="BU13" s="668" t="s">
        <v>293</v>
      </c>
      <c r="BV13" s="668" t="s">
        <v>293</v>
      </c>
      <c r="BW13" s="664" t="s">
        <v>1296</v>
      </c>
      <c r="BX13" s="664" t="s">
        <v>1294</v>
      </c>
      <c r="BY13" s="664" t="s">
        <v>1296</v>
      </c>
      <c r="BZ13" s="664" t="s">
        <v>1295</v>
      </c>
      <c r="CA13" s="664" t="s">
        <v>1294</v>
      </c>
      <c r="CB13" s="664" t="s">
        <v>1296</v>
      </c>
      <c r="CC13" s="668" t="s">
        <v>293</v>
      </c>
      <c r="CD13" s="668" t="s">
        <v>293</v>
      </c>
      <c r="CE13" s="668" t="s">
        <v>293</v>
      </c>
      <c r="CF13" s="668" t="s">
        <v>293</v>
      </c>
      <c r="CG13" s="668" t="s">
        <v>293</v>
      </c>
      <c r="CH13" s="668" t="s">
        <v>293</v>
      </c>
      <c r="CI13" s="668" t="s">
        <v>293</v>
      </c>
      <c r="CJ13" s="668" t="s">
        <v>293</v>
      </c>
      <c r="CK13" s="668" t="s">
        <v>293</v>
      </c>
      <c r="CL13" s="668" t="s">
        <v>293</v>
      </c>
      <c r="CM13" s="668" t="s">
        <v>293</v>
      </c>
      <c r="CN13" s="664" t="s">
        <v>1294</v>
      </c>
      <c r="CO13" s="668" t="s">
        <v>293</v>
      </c>
      <c r="CP13" s="668" t="s">
        <v>293</v>
      </c>
      <c r="CQ13" s="664" t="s">
        <v>1294</v>
      </c>
      <c r="CR13" s="664" t="s">
        <v>1295</v>
      </c>
      <c r="CS13" s="664" t="s">
        <v>1294</v>
      </c>
      <c r="CT13" s="664" t="s">
        <v>1293</v>
      </c>
      <c r="CU13" s="664" t="s">
        <v>1292</v>
      </c>
      <c r="CV13" s="664" t="s">
        <v>1291</v>
      </c>
      <c r="CW13" s="668" t="s">
        <v>293</v>
      </c>
      <c r="CX13" s="668" t="s">
        <v>293</v>
      </c>
      <c r="CY13" s="668" t="s">
        <v>293</v>
      </c>
      <c r="CZ13" s="668" t="s">
        <v>293</v>
      </c>
      <c r="DA13" s="668" t="s">
        <v>293</v>
      </c>
      <c r="DB13" s="668" t="s">
        <v>293</v>
      </c>
      <c r="DC13" s="668" t="s">
        <v>293</v>
      </c>
      <c r="DD13" s="668" t="s">
        <v>293</v>
      </c>
      <c r="DE13" s="668" t="s">
        <v>293</v>
      </c>
      <c r="DF13" s="668" t="s">
        <v>293</v>
      </c>
      <c r="DG13" s="668" t="s">
        <v>293</v>
      </c>
      <c r="DH13" s="668" t="s">
        <v>293</v>
      </c>
      <c r="DI13" s="668" t="s">
        <v>293</v>
      </c>
      <c r="DJ13" s="668" t="s">
        <v>293</v>
      </c>
      <c r="DK13" s="668" t="s">
        <v>293</v>
      </c>
      <c r="DL13" s="668" t="s">
        <v>293</v>
      </c>
      <c r="DM13" s="668" t="s">
        <v>293</v>
      </c>
      <c r="DN13" s="668" t="s">
        <v>293</v>
      </c>
      <c r="DO13" s="668" t="s">
        <v>293</v>
      </c>
      <c r="DP13" s="668" t="s">
        <v>293</v>
      </c>
      <c r="DQ13" s="668" t="s">
        <v>293</v>
      </c>
      <c r="DR13" s="668" t="s">
        <v>293</v>
      </c>
      <c r="DS13" s="668" t="s">
        <v>293</v>
      </c>
      <c r="DT13" s="668" t="s">
        <v>293</v>
      </c>
      <c r="DU13" s="668" t="s">
        <v>293</v>
      </c>
      <c r="DV13" s="668" t="s">
        <v>293</v>
      </c>
      <c r="DW13" s="668" t="s">
        <v>293</v>
      </c>
      <c r="DX13" s="668" t="s">
        <v>293</v>
      </c>
      <c r="DY13" s="668" t="s">
        <v>293</v>
      </c>
      <c r="DZ13" s="668" t="s">
        <v>293</v>
      </c>
      <c r="EA13" s="668" t="s">
        <v>293</v>
      </c>
      <c r="EB13" s="668" t="s">
        <v>293</v>
      </c>
      <c r="EC13" s="668" t="s">
        <v>293</v>
      </c>
      <c r="ED13" s="668" t="s">
        <v>293</v>
      </c>
      <c r="EE13" s="668" t="s">
        <v>293</v>
      </c>
      <c r="EF13" s="668" t="s">
        <v>293</v>
      </c>
      <c r="EG13" s="668" t="s">
        <v>293</v>
      </c>
      <c r="EH13" s="668" t="s">
        <v>293</v>
      </c>
      <c r="EI13" s="668" t="s">
        <v>293</v>
      </c>
      <c r="EJ13" s="668" t="s">
        <v>293</v>
      </c>
      <c r="EK13" s="668" t="s">
        <v>293</v>
      </c>
      <c r="EL13" s="668" t="s">
        <v>293</v>
      </c>
      <c r="EM13" s="668" t="s">
        <v>293</v>
      </c>
      <c r="EN13" s="668" t="s">
        <v>293</v>
      </c>
      <c r="EO13" s="668" t="s">
        <v>293</v>
      </c>
      <c r="EP13" s="668" t="s">
        <v>293</v>
      </c>
      <c r="EQ13" s="668" t="s">
        <v>293</v>
      </c>
      <c r="ER13" s="668" t="s">
        <v>293</v>
      </c>
      <c r="ES13" s="668" t="s">
        <v>293</v>
      </c>
      <c r="ET13" s="668" t="s">
        <v>293</v>
      </c>
      <c r="EU13" s="668" t="s">
        <v>293</v>
      </c>
      <c r="EV13" s="668" t="s">
        <v>293</v>
      </c>
      <c r="EW13" s="668" t="s">
        <v>293</v>
      </c>
      <c r="EX13" s="668" t="s">
        <v>293</v>
      </c>
      <c r="EY13" s="668" t="s">
        <v>293</v>
      </c>
      <c r="EZ13" s="668" t="s">
        <v>293</v>
      </c>
      <c r="FA13" s="668" t="s">
        <v>293</v>
      </c>
      <c r="FB13" s="668" t="s">
        <v>293</v>
      </c>
      <c r="FC13" s="668" t="s">
        <v>293</v>
      </c>
      <c r="FD13" s="668" t="s">
        <v>293</v>
      </c>
      <c r="FE13" s="668" t="s">
        <v>293</v>
      </c>
      <c r="FF13" s="668" t="s">
        <v>293</v>
      </c>
      <c r="FG13" s="668" t="s">
        <v>293</v>
      </c>
      <c r="FH13" s="668" t="s">
        <v>293</v>
      </c>
      <c r="FI13" s="668" t="s">
        <v>293</v>
      </c>
      <c r="FJ13" s="668" t="s">
        <v>293</v>
      </c>
      <c r="FK13" s="668" t="s">
        <v>293</v>
      </c>
      <c r="FL13" s="668" t="s">
        <v>293</v>
      </c>
      <c r="FM13" s="668" t="s">
        <v>293</v>
      </c>
      <c r="FN13" s="668" t="s">
        <v>293</v>
      </c>
      <c r="FO13" s="668" t="s">
        <v>293</v>
      </c>
      <c r="FP13" s="668" t="s">
        <v>293</v>
      </c>
      <c r="FQ13" s="668" t="s">
        <v>293</v>
      </c>
      <c r="FR13" s="668" t="s">
        <v>293</v>
      </c>
      <c r="FS13" s="668" t="s">
        <v>293</v>
      </c>
      <c r="FT13" s="668" t="s">
        <v>293</v>
      </c>
      <c r="FU13" s="668" t="s">
        <v>293</v>
      </c>
      <c r="FV13" s="668" t="s">
        <v>293</v>
      </c>
      <c r="FW13" s="668" t="s">
        <v>293</v>
      </c>
      <c r="FX13" s="668" t="s">
        <v>293</v>
      </c>
      <c r="FY13" s="668" t="s">
        <v>293</v>
      </c>
      <c r="FZ13" s="668" t="s">
        <v>293</v>
      </c>
      <c r="GA13" s="668" t="s">
        <v>293</v>
      </c>
      <c r="GB13" s="668" t="s">
        <v>293</v>
      </c>
      <c r="GC13" s="668" t="s">
        <v>293</v>
      </c>
      <c r="GD13" s="668" t="s">
        <v>293</v>
      </c>
      <c r="GE13" s="668" t="s">
        <v>293</v>
      </c>
      <c r="GF13" s="668" t="s">
        <v>293</v>
      </c>
      <c r="GG13" s="668" t="s">
        <v>293</v>
      </c>
      <c r="GH13" s="668" t="s">
        <v>293</v>
      </c>
      <c r="GI13" s="668" t="s">
        <v>293</v>
      </c>
      <c r="GJ13" s="668" t="s">
        <v>293</v>
      </c>
      <c r="GK13" s="668" t="s">
        <v>293</v>
      </c>
      <c r="GL13" s="668" t="s">
        <v>293</v>
      </c>
      <c r="GM13" s="668" t="s">
        <v>293</v>
      </c>
      <c r="GN13" s="668" t="s">
        <v>293</v>
      </c>
      <c r="GO13" s="668" t="s">
        <v>293</v>
      </c>
    </row>
    <row r="14" spans="1:197" ht="12.75">
      <c r="A14" s="728" t="s">
        <v>1275</v>
      </c>
      <c r="B14" s="668" t="s">
        <v>293</v>
      </c>
      <c r="C14" s="668" t="s">
        <v>293</v>
      </c>
      <c r="D14" s="668" t="s">
        <v>293</v>
      </c>
      <c r="E14" s="668" t="s">
        <v>293</v>
      </c>
      <c r="F14" s="668" t="s">
        <v>293</v>
      </c>
      <c r="G14" s="668" t="s">
        <v>293</v>
      </c>
      <c r="H14" s="664" t="s">
        <v>1273</v>
      </c>
      <c r="I14" s="664" t="s">
        <v>1273</v>
      </c>
      <c r="J14" s="664" t="s">
        <v>1273</v>
      </c>
      <c r="K14" s="668" t="s">
        <v>293</v>
      </c>
      <c r="L14" s="668" t="s">
        <v>293</v>
      </c>
      <c r="M14" s="662" t="s">
        <v>1271</v>
      </c>
      <c r="N14" s="668" t="s">
        <v>293</v>
      </c>
      <c r="O14" s="668" t="s">
        <v>293</v>
      </c>
      <c r="P14" s="662" t="s">
        <v>1271</v>
      </c>
      <c r="Q14" s="662" t="s">
        <v>1273</v>
      </c>
      <c r="R14" s="662" t="s">
        <v>1271</v>
      </c>
      <c r="S14" s="662" t="s">
        <v>1271</v>
      </c>
      <c r="T14" s="662" t="s">
        <v>1271</v>
      </c>
      <c r="U14" s="668" t="s">
        <v>293</v>
      </c>
      <c r="V14" s="662" t="s">
        <v>1272</v>
      </c>
      <c r="W14" s="662" t="s">
        <v>1272</v>
      </c>
      <c r="X14" s="662" t="s">
        <v>1272</v>
      </c>
      <c r="Y14" s="668" t="s">
        <v>293</v>
      </c>
      <c r="Z14" s="668" t="s">
        <v>293</v>
      </c>
      <c r="AA14" s="668" t="s">
        <v>293</v>
      </c>
      <c r="AB14" s="668" t="s">
        <v>293</v>
      </c>
      <c r="AC14" s="668" t="s">
        <v>293</v>
      </c>
      <c r="AD14" s="668" t="s">
        <v>293</v>
      </c>
      <c r="AE14" s="668" t="s">
        <v>293</v>
      </c>
      <c r="AF14" s="668" t="s">
        <v>293</v>
      </c>
      <c r="AG14" s="668" t="s">
        <v>293</v>
      </c>
      <c r="AH14" s="662" t="s">
        <v>1273</v>
      </c>
      <c r="AI14" s="668" t="s">
        <v>293</v>
      </c>
      <c r="AJ14" s="668" t="s">
        <v>293</v>
      </c>
      <c r="AK14" s="668" t="s">
        <v>293</v>
      </c>
      <c r="AL14" s="668" t="s">
        <v>293</v>
      </c>
      <c r="AM14" s="662" t="s">
        <v>1271</v>
      </c>
      <c r="AN14" s="662" t="s">
        <v>1271</v>
      </c>
      <c r="AO14" s="668" t="s">
        <v>293</v>
      </c>
      <c r="AP14" s="668" t="s">
        <v>293</v>
      </c>
      <c r="AQ14" s="668" t="s">
        <v>293</v>
      </c>
      <c r="AR14" s="668" t="s">
        <v>293</v>
      </c>
      <c r="AS14" s="668" t="s">
        <v>293</v>
      </c>
      <c r="AT14" s="668" t="s">
        <v>293</v>
      </c>
      <c r="AU14" s="662" t="s">
        <v>1271</v>
      </c>
      <c r="AV14" s="662" t="s">
        <v>1271</v>
      </c>
      <c r="AW14" s="662" t="s">
        <v>1271</v>
      </c>
      <c r="AX14" s="662" t="s">
        <v>1271</v>
      </c>
      <c r="AY14" s="668" t="s">
        <v>293</v>
      </c>
      <c r="AZ14" s="662" t="s">
        <v>1273</v>
      </c>
      <c r="BA14" s="662" t="s">
        <v>1273</v>
      </c>
      <c r="BB14" s="668" t="s">
        <v>293</v>
      </c>
      <c r="BC14" s="662" t="s">
        <v>1273</v>
      </c>
      <c r="BD14" s="668" t="s">
        <v>293</v>
      </c>
      <c r="BE14" s="662" t="s">
        <v>1271</v>
      </c>
      <c r="BF14" s="668" t="s">
        <v>293</v>
      </c>
      <c r="BG14" s="668" t="s">
        <v>293</v>
      </c>
      <c r="BH14" s="662" t="s">
        <v>1273</v>
      </c>
      <c r="BI14" s="662" t="s">
        <v>1271</v>
      </c>
      <c r="BJ14" s="662" t="s">
        <v>1271</v>
      </c>
      <c r="BK14" s="662" t="s">
        <v>1271</v>
      </c>
      <c r="BL14" s="662" t="s">
        <v>1271</v>
      </c>
      <c r="BM14" s="662" t="s">
        <v>1271</v>
      </c>
      <c r="BN14" s="662" t="s">
        <v>1271</v>
      </c>
      <c r="BO14" s="662" t="s">
        <v>1272</v>
      </c>
      <c r="BP14" s="662" t="s">
        <v>1290</v>
      </c>
      <c r="BQ14" s="662" t="s">
        <v>1271</v>
      </c>
      <c r="BR14" s="668" t="s">
        <v>293</v>
      </c>
      <c r="BS14" s="668" t="s">
        <v>293</v>
      </c>
      <c r="BT14" s="668" t="s">
        <v>293</v>
      </c>
      <c r="BU14" s="668" t="s">
        <v>293</v>
      </c>
      <c r="BV14" s="668" t="s">
        <v>293</v>
      </c>
      <c r="BW14" s="662" t="s">
        <v>1272</v>
      </c>
      <c r="BX14" s="662" t="s">
        <v>1273</v>
      </c>
      <c r="BY14" s="662" t="s">
        <v>1272</v>
      </c>
      <c r="BZ14" s="668" t="s">
        <v>293</v>
      </c>
      <c r="CA14" s="662" t="s">
        <v>1273</v>
      </c>
      <c r="CB14" s="662" t="s">
        <v>1272</v>
      </c>
      <c r="CC14" s="668" t="s">
        <v>293</v>
      </c>
      <c r="CD14" s="668" t="s">
        <v>293</v>
      </c>
      <c r="CE14" s="668" t="s">
        <v>293</v>
      </c>
      <c r="CF14" s="668" t="s">
        <v>293</v>
      </c>
      <c r="CG14" s="668" t="s">
        <v>293</v>
      </c>
      <c r="CH14" s="668" t="s">
        <v>293</v>
      </c>
      <c r="CI14" s="668" t="s">
        <v>293</v>
      </c>
      <c r="CJ14" s="668" t="s">
        <v>293</v>
      </c>
      <c r="CK14" s="668" t="s">
        <v>293</v>
      </c>
      <c r="CL14" s="668" t="s">
        <v>293</v>
      </c>
      <c r="CM14" s="668" t="s">
        <v>293</v>
      </c>
      <c r="CN14" s="668" t="s">
        <v>293</v>
      </c>
      <c r="CO14" s="668" t="s">
        <v>293</v>
      </c>
      <c r="CP14" s="668" t="s">
        <v>293</v>
      </c>
      <c r="CQ14" s="668" t="s">
        <v>293</v>
      </c>
      <c r="CR14" s="668" t="s">
        <v>293</v>
      </c>
      <c r="CS14" s="662" t="s">
        <v>1273</v>
      </c>
      <c r="CT14" s="662" t="s">
        <v>1271</v>
      </c>
      <c r="CU14" s="662" t="s">
        <v>1273</v>
      </c>
      <c r="CV14" s="662" t="s">
        <v>1272</v>
      </c>
      <c r="CW14" s="668" t="s">
        <v>293</v>
      </c>
      <c r="CX14" s="668" t="s">
        <v>293</v>
      </c>
      <c r="CY14" s="668" t="s">
        <v>293</v>
      </c>
      <c r="CZ14" s="668" t="s">
        <v>293</v>
      </c>
      <c r="DA14" s="668" t="s">
        <v>293</v>
      </c>
      <c r="DB14" s="668" t="s">
        <v>293</v>
      </c>
      <c r="DC14" s="668" t="s">
        <v>293</v>
      </c>
      <c r="DD14" s="668" t="s">
        <v>293</v>
      </c>
      <c r="DE14" s="668" t="s">
        <v>293</v>
      </c>
      <c r="DF14" s="668" t="s">
        <v>293</v>
      </c>
      <c r="DG14" s="668" t="s">
        <v>293</v>
      </c>
      <c r="DH14" s="668" t="s">
        <v>293</v>
      </c>
      <c r="DI14" s="668" t="s">
        <v>293</v>
      </c>
      <c r="DJ14" s="668" t="s">
        <v>293</v>
      </c>
      <c r="DK14" s="668" t="s">
        <v>293</v>
      </c>
      <c r="DL14" s="668" t="s">
        <v>293</v>
      </c>
      <c r="DM14" s="668" t="s">
        <v>293</v>
      </c>
      <c r="DN14" s="668" t="s">
        <v>293</v>
      </c>
      <c r="DO14" s="668" t="s">
        <v>293</v>
      </c>
      <c r="DP14" s="668" t="s">
        <v>293</v>
      </c>
      <c r="DQ14" s="668" t="s">
        <v>293</v>
      </c>
      <c r="DR14" s="668" t="s">
        <v>293</v>
      </c>
      <c r="DS14" s="668" t="s">
        <v>293</v>
      </c>
      <c r="DT14" s="668" t="s">
        <v>293</v>
      </c>
      <c r="DU14" s="668" t="s">
        <v>293</v>
      </c>
      <c r="DV14" s="668" t="s">
        <v>293</v>
      </c>
      <c r="DW14" s="668" t="s">
        <v>293</v>
      </c>
      <c r="DX14" s="668" t="s">
        <v>293</v>
      </c>
      <c r="DY14" s="668" t="s">
        <v>293</v>
      </c>
      <c r="DZ14" s="668" t="s">
        <v>293</v>
      </c>
      <c r="EA14" s="668" t="s">
        <v>293</v>
      </c>
      <c r="EB14" s="668" t="s">
        <v>293</v>
      </c>
      <c r="EC14" s="668" t="s">
        <v>293</v>
      </c>
      <c r="ED14" s="668" t="s">
        <v>293</v>
      </c>
      <c r="EE14" s="668" t="s">
        <v>293</v>
      </c>
      <c r="EF14" s="668" t="s">
        <v>293</v>
      </c>
      <c r="EG14" s="668" t="s">
        <v>293</v>
      </c>
      <c r="EH14" s="668" t="s">
        <v>293</v>
      </c>
      <c r="EI14" s="668" t="s">
        <v>293</v>
      </c>
      <c r="EJ14" s="668" t="s">
        <v>293</v>
      </c>
      <c r="EK14" s="668" t="s">
        <v>293</v>
      </c>
      <c r="EL14" s="668" t="s">
        <v>293</v>
      </c>
      <c r="EM14" s="668" t="s">
        <v>293</v>
      </c>
      <c r="EN14" s="668" t="s">
        <v>293</v>
      </c>
      <c r="EO14" s="668" t="s">
        <v>293</v>
      </c>
      <c r="EP14" s="668" t="s">
        <v>293</v>
      </c>
      <c r="EQ14" s="668" t="s">
        <v>293</v>
      </c>
      <c r="ER14" s="668" t="s">
        <v>293</v>
      </c>
      <c r="ES14" s="668" t="s">
        <v>293</v>
      </c>
      <c r="ET14" s="668" t="s">
        <v>293</v>
      </c>
      <c r="EU14" s="668" t="s">
        <v>293</v>
      </c>
      <c r="EV14" s="668" t="s">
        <v>293</v>
      </c>
      <c r="EW14" s="668" t="s">
        <v>293</v>
      </c>
      <c r="EX14" s="668" t="s">
        <v>293</v>
      </c>
      <c r="EY14" s="668" t="s">
        <v>293</v>
      </c>
      <c r="EZ14" s="668" t="s">
        <v>293</v>
      </c>
      <c r="FA14" s="668" t="s">
        <v>293</v>
      </c>
      <c r="FB14" s="668" t="s">
        <v>293</v>
      </c>
      <c r="FC14" s="668" t="s">
        <v>293</v>
      </c>
      <c r="FD14" s="668" t="s">
        <v>293</v>
      </c>
      <c r="FE14" s="668" t="s">
        <v>293</v>
      </c>
      <c r="FF14" s="668" t="s">
        <v>293</v>
      </c>
      <c r="FG14" s="668" t="s">
        <v>293</v>
      </c>
      <c r="FH14" s="668" t="s">
        <v>293</v>
      </c>
      <c r="FI14" s="668" t="s">
        <v>293</v>
      </c>
      <c r="FJ14" s="668" t="s">
        <v>293</v>
      </c>
      <c r="FK14" s="668" t="s">
        <v>293</v>
      </c>
      <c r="FL14" s="668" t="s">
        <v>293</v>
      </c>
      <c r="FM14" s="668" t="s">
        <v>293</v>
      </c>
      <c r="FN14" s="668" t="s">
        <v>293</v>
      </c>
      <c r="FO14" s="668" t="s">
        <v>293</v>
      </c>
      <c r="FP14" s="668" t="s">
        <v>293</v>
      </c>
      <c r="FQ14" s="668" t="s">
        <v>293</v>
      </c>
      <c r="FR14" s="668" t="s">
        <v>293</v>
      </c>
      <c r="FS14" s="668" t="s">
        <v>293</v>
      </c>
      <c r="FT14" s="668" t="s">
        <v>293</v>
      </c>
      <c r="FU14" s="668" t="s">
        <v>293</v>
      </c>
      <c r="FV14" s="668" t="s">
        <v>293</v>
      </c>
      <c r="FW14" s="668" t="s">
        <v>293</v>
      </c>
      <c r="FX14" s="668" t="s">
        <v>293</v>
      </c>
      <c r="FY14" s="668" t="s">
        <v>293</v>
      </c>
      <c r="FZ14" s="668" t="s">
        <v>293</v>
      </c>
      <c r="GA14" s="668" t="s">
        <v>293</v>
      </c>
      <c r="GB14" s="668" t="s">
        <v>293</v>
      </c>
      <c r="GC14" s="668" t="s">
        <v>293</v>
      </c>
      <c r="GD14" s="668" t="s">
        <v>293</v>
      </c>
      <c r="GE14" s="668" t="s">
        <v>293</v>
      </c>
      <c r="GF14" s="668" t="s">
        <v>293</v>
      </c>
      <c r="GG14" s="668" t="s">
        <v>293</v>
      </c>
      <c r="GH14" s="668" t="s">
        <v>293</v>
      </c>
      <c r="GI14" s="668" t="s">
        <v>293</v>
      </c>
      <c r="GJ14" s="668" t="s">
        <v>293</v>
      </c>
      <c r="GK14" s="668" t="s">
        <v>293</v>
      </c>
      <c r="GL14" s="668" t="s">
        <v>293</v>
      </c>
      <c r="GM14" s="668" t="s">
        <v>293</v>
      </c>
      <c r="GN14" s="668" t="s">
        <v>293</v>
      </c>
      <c r="GO14" s="668" t="s">
        <v>293</v>
      </c>
    </row>
    <row r="15" spans="1:197" ht="12.75">
      <c r="A15" s="728" t="s">
        <v>1289</v>
      </c>
      <c r="B15" s="668" t="s">
        <v>293</v>
      </c>
      <c r="C15" s="668" t="s">
        <v>293</v>
      </c>
      <c r="D15" s="668" t="s">
        <v>293</v>
      </c>
      <c r="E15" s="668" t="s">
        <v>293</v>
      </c>
      <c r="F15" s="668" t="s">
        <v>293</v>
      </c>
      <c r="G15" s="668" t="s">
        <v>293</v>
      </c>
      <c r="H15" s="668" t="s">
        <v>293</v>
      </c>
      <c r="I15" s="668" t="s">
        <v>293</v>
      </c>
      <c r="J15" s="668" t="s">
        <v>293</v>
      </c>
      <c r="K15" s="668" t="s">
        <v>293</v>
      </c>
      <c r="L15" s="668" t="s">
        <v>293</v>
      </c>
      <c r="M15" s="668" t="s">
        <v>293</v>
      </c>
      <c r="N15" s="668" t="s">
        <v>293</v>
      </c>
      <c r="O15" s="668" t="s">
        <v>293</v>
      </c>
      <c r="P15" s="668" t="s">
        <v>293</v>
      </c>
      <c r="Q15" s="668" t="s">
        <v>293</v>
      </c>
      <c r="R15" s="668" t="s">
        <v>293</v>
      </c>
      <c r="S15" s="668" t="s">
        <v>293</v>
      </c>
      <c r="T15" s="668" t="s">
        <v>293</v>
      </c>
      <c r="U15" s="668" t="s">
        <v>293</v>
      </c>
      <c r="V15" s="668" t="s">
        <v>293</v>
      </c>
      <c r="W15" s="668" t="s">
        <v>293</v>
      </c>
      <c r="X15" s="668" t="s">
        <v>293</v>
      </c>
      <c r="Y15" s="668" t="s">
        <v>293</v>
      </c>
      <c r="Z15" s="668" t="s">
        <v>293</v>
      </c>
      <c r="AA15" s="668" t="s">
        <v>293</v>
      </c>
      <c r="AB15" s="668" t="s">
        <v>293</v>
      </c>
      <c r="AC15" s="668" t="s">
        <v>293</v>
      </c>
      <c r="AD15" s="668" t="s">
        <v>293</v>
      </c>
      <c r="AE15" s="668" t="s">
        <v>293</v>
      </c>
      <c r="AF15" s="668" t="s">
        <v>293</v>
      </c>
      <c r="AG15" s="668" t="s">
        <v>293</v>
      </c>
      <c r="AH15" s="668" t="s">
        <v>293</v>
      </c>
      <c r="AI15" s="668" t="s">
        <v>293</v>
      </c>
      <c r="AJ15" s="668" t="s">
        <v>293</v>
      </c>
      <c r="AK15" s="668" t="s">
        <v>293</v>
      </c>
      <c r="AL15" s="668" t="s">
        <v>293</v>
      </c>
      <c r="AM15" s="668" t="s">
        <v>293</v>
      </c>
      <c r="AN15" s="668" t="s">
        <v>293</v>
      </c>
      <c r="AO15" s="668" t="s">
        <v>293</v>
      </c>
      <c r="AP15" s="668" t="s">
        <v>293</v>
      </c>
      <c r="AQ15" s="668" t="s">
        <v>293</v>
      </c>
      <c r="AR15" s="664" t="s">
        <v>1272</v>
      </c>
      <c r="AS15" s="668" t="s">
        <v>293</v>
      </c>
      <c r="AT15" s="668" t="s">
        <v>293</v>
      </c>
      <c r="AU15" s="668" t="s">
        <v>293</v>
      </c>
      <c r="AV15" s="668" t="s">
        <v>293</v>
      </c>
      <c r="AW15" s="668" t="s">
        <v>293</v>
      </c>
      <c r="AX15" s="668" t="s">
        <v>293</v>
      </c>
      <c r="AY15" s="668" t="s">
        <v>293</v>
      </c>
      <c r="AZ15" s="668" t="s">
        <v>293</v>
      </c>
      <c r="BA15" s="668" t="s">
        <v>293</v>
      </c>
      <c r="BB15" s="668" t="s">
        <v>293</v>
      </c>
      <c r="BC15" s="668" t="s">
        <v>293</v>
      </c>
      <c r="BD15" s="668" t="s">
        <v>293</v>
      </c>
      <c r="BE15" s="668" t="s">
        <v>293</v>
      </c>
      <c r="BF15" s="662" t="s">
        <v>1287</v>
      </c>
      <c r="BG15" s="662" t="s">
        <v>1288</v>
      </c>
      <c r="BH15" s="668" t="s">
        <v>293</v>
      </c>
      <c r="BI15" s="668" t="s">
        <v>293</v>
      </c>
      <c r="BJ15" s="668" t="s">
        <v>293</v>
      </c>
      <c r="BK15" s="668" t="s">
        <v>293</v>
      </c>
      <c r="BL15" s="668" t="s">
        <v>293</v>
      </c>
      <c r="BM15" s="668" t="s">
        <v>293</v>
      </c>
      <c r="BN15" s="668" t="s">
        <v>293</v>
      </c>
      <c r="BO15" s="668" t="s">
        <v>293</v>
      </c>
      <c r="BP15" s="668" t="s">
        <v>293</v>
      </c>
      <c r="BQ15" s="668" t="s">
        <v>293</v>
      </c>
      <c r="BR15" s="668" t="s">
        <v>293</v>
      </c>
      <c r="BS15" s="668" t="s">
        <v>293</v>
      </c>
      <c r="BT15" s="668" t="s">
        <v>293</v>
      </c>
      <c r="BU15" s="668" t="s">
        <v>293</v>
      </c>
      <c r="BV15" s="668" t="s">
        <v>293</v>
      </c>
      <c r="BW15" s="668" t="s">
        <v>293</v>
      </c>
      <c r="BX15" s="668" t="s">
        <v>293</v>
      </c>
      <c r="BY15" s="668" t="s">
        <v>293</v>
      </c>
      <c r="BZ15" s="662" t="s">
        <v>1287</v>
      </c>
      <c r="CA15" s="668" t="s">
        <v>293</v>
      </c>
      <c r="CB15" s="668" t="s">
        <v>293</v>
      </c>
      <c r="CC15" s="668" t="s">
        <v>293</v>
      </c>
      <c r="CD15" s="668" t="s">
        <v>293</v>
      </c>
      <c r="CE15" s="668" t="s">
        <v>293</v>
      </c>
      <c r="CF15" s="668" t="s">
        <v>293</v>
      </c>
      <c r="CG15" s="668" t="s">
        <v>293</v>
      </c>
      <c r="CH15" s="668" t="s">
        <v>293</v>
      </c>
      <c r="CI15" s="668" t="s">
        <v>293</v>
      </c>
      <c r="CJ15" s="668" t="s">
        <v>293</v>
      </c>
      <c r="CK15" s="668" t="s">
        <v>293</v>
      </c>
      <c r="CL15" s="668" t="s">
        <v>293</v>
      </c>
      <c r="CM15" s="668" t="s">
        <v>293</v>
      </c>
      <c r="CN15" s="662" t="s">
        <v>1287</v>
      </c>
      <c r="CO15" s="668" t="s">
        <v>293</v>
      </c>
      <c r="CP15" s="668" t="s">
        <v>293</v>
      </c>
      <c r="CQ15" s="662" t="s">
        <v>1273</v>
      </c>
      <c r="CR15" s="662" t="s">
        <v>1287</v>
      </c>
      <c r="CS15" s="668" t="s">
        <v>293</v>
      </c>
      <c r="CT15" s="668" t="s">
        <v>293</v>
      </c>
      <c r="CU15" s="668" t="s">
        <v>293</v>
      </c>
      <c r="CV15" s="668" t="s">
        <v>293</v>
      </c>
      <c r="CW15" s="668" t="s">
        <v>293</v>
      </c>
      <c r="CX15" s="668" t="s">
        <v>293</v>
      </c>
      <c r="CY15" s="668" t="s">
        <v>293</v>
      </c>
      <c r="CZ15" s="668" t="s">
        <v>293</v>
      </c>
      <c r="DA15" s="668" t="s">
        <v>293</v>
      </c>
      <c r="DB15" s="668" t="s">
        <v>293</v>
      </c>
      <c r="DC15" s="668" t="s">
        <v>293</v>
      </c>
      <c r="DD15" s="668" t="s">
        <v>293</v>
      </c>
      <c r="DE15" s="668" t="s">
        <v>293</v>
      </c>
      <c r="DF15" s="668" t="s">
        <v>293</v>
      </c>
      <c r="DG15" s="668" t="s">
        <v>293</v>
      </c>
      <c r="DH15" s="668" t="s">
        <v>293</v>
      </c>
      <c r="DI15" s="668" t="s">
        <v>293</v>
      </c>
      <c r="DJ15" s="668" t="s">
        <v>293</v>
      </c>
      <c r="DK15" s="668" t="s">
        <v>293</v>
      </c>
      <c r="DL15" s="668" t="s">
        <v>293</v>
      </c>
      <c r="DM15" s="668" t="s">
        <v>293</v>
      </c>
      <c r="DN15" s="668" t="s">
        <v>293</v>
      </c>
      <c r="DO15" s="668" t="s">
        <v>293</v>
      </c>
      <c r="DP15" s="668" t="s">
        <v>293</v>
      </c>
      <c r="DQ15" s="668" t="s">
        <v>293</v>
      </c>
      <c r="DR15" s="668" t="s">
        <v>293</v>
      </c>
      <c r="DS15" s="668" t="s">
        <v>293</v>
      </c>
      <c r="DT15" s="668" t="s">
        <v>293</v>
      </c>
      <c r="DU15" s="668" t="s">
        <v>293</v>
      </c>
      <c r="DV15" s="668" t="s">
        <v>293</v>
      </c>
      <c r="DW15" s="668" t="s">
        <v>293</v>
      </c>
      <c r="DX15" s="668" t="s">
        <v>293</v>
      </c>
      <c r="DY15" s="668" t="s">
        <v>293</v>
      </c>
      <c r="DZ15" s="668" t="s">
        <v>293</v>
      </c>
      <c r="EA15" s="668" t="s">
        <v>293</v>
      </c>
      <c r="EB15" s="668" t="s">
        <v>293</v>
      </c>
      <c r="EC15" s="668" t="s">
        <v>293</v>
      </c>
      <c r="ED15" s="668" t="s">
        <v>293</v>
      </c>
      <c r="EE15" s="668" t="s">
        <v>293</v>
      </c>
      <c r="EF15" s="668" t="s">
        <v>293</v>
      </c>
      <c r="EG15" s="668" t="s">
        <v>293</v>
      </c>
      <c r="EH15" s="668" t="s">
        <v>293</v>
      </c>
      <c r="EI15" s="668" t="s">
        <v>293</v>
      </c>
      <c r="EJ15" s="668" t="s">
        <v>293</v>
      </c>
      <c r="EK15" s="668" t="s">
        <v>293</v>
      </c>
      <c r="EL15" s="668" t="s">
        <v>293</v>
      </c>
      <c r="EM15" s="668" t="s">
        <v>293</v>
      </c>
      <c r="EN15" s="668" t="s">
        <v>293</v>
      </c>
      <c r="EO15" s="668" t="s">
        <v>293</v>
      </c>
      <c r="EP15" s="668" t="s">
        <v>293</v>
      </c>
      <c r="EQ15" s="668" t="s">
        <v>293</v>
      </c>
      <c r="ER15" s="668" t="s">
        <v>293</v>
      </c>
      <c r="ES15" s="668" t="s">
        <v>293</v>
      </c>
      <c r="ET15" s="668" t="s">
        <v>293</v>
      </c>
      <c r="EU15" s="668" t="s">
        <v>293</v>
      </c>
      <c r="EV15" s="668" t="s">
        <v>293</v>
      </c>
      <c r="EW15" s="668" t="s">
        <v>293</v>
      </c>
      <c r="EX15" s="668" t="s">
        <v>293</v>
      </c>
      <c r="EY15" s="668" t="s">
        <v>293</v>
      </c>
      <c r="EZ15" s="668" t="s">
        <v>293</v>
      </c>
      <c r="FA15" s="668" t="s">
        <v>293</v>
      </c>
      <c r="FB15" s="668" t="s">
        <v>293</v>
      </c>
      <c r="FC15" s="668" t="s">
        <v>293</v>
      </c>
      <c r="FD15" s="668" t="s">
        <v>293</v>
      </c>
      <c r="FE15" s="668" t="s">
        <v>293</v>
      </c>
      <c r="FF15" s="668" t="s">
        <v>293</v>
      </c>
      <c r="FG15" s="668" t="s">
        <v>293</v>
      </c>
      <c r="FH15" s="668" t="s">
        <v>293</v>
      </c>
      <c r="FI15" s="668" t="s">
        <v>293</v>
      </c>
      <c r="FJ15" s="668" t="s">
        <v>293</v>
      </c>
      <c r="FK15" s="668" t="s">
        <v>293</v>
      </c>
      <c r="FL15" s="668" t="s">
        <v>293</v>
      </c>
      <c r="FM15" s="668" t="s">
        <v>293</v>
      </c>
      <c r="FN15" s="668" t="s">
        <v>293</v>
      </c>
      <c r="FO15" s="668" t="s">
        <v>293</v>
      </c>
      <c r="FP15" s="668" t="s">
        <v>293</v>
      </c>
      <c r="FQ15" s="668" t="s">
        <v>293</v>
      </c>
      <c r="FR15" s="668" t="s">
        <v>293</v>
      </c>
      <c r="FS15" s="668" t="s">
        <v>293</v>
      </c>
      <c r="FT15" s="668" t="s">
        <v>293</v>
      </c>
      <c r="FU15" s="668" t="s">
        <v>293</v>
      </c>
      <c r="FV15" s="668" t="s">
        <v>293</v>
      </c>
      <c r="FW15" s="668" t="s">
        <v>293</v>
      </c>
      <c r="FX15" s="668" t="s">
        <v>293</v>
      </c>
      <c r="FY15" s="668" t="s">
        <v>293</v>
      </c>
      <c r="FZ15" s="668" t="s">
        <v>293</v>
      </c>
      <c r="GA15" s="668" t="s">
        <v>293</v>
      </c>
      <c r="GB15" s="668" t="s">
        <v>293</v>
      </c>
      <c r="GC15" s="668" t="s">
        <v>293</v>
      </c>
      <c r="GD15" s="668" t="s">
        <v>293</v>
      </c>
      <c r="GE15" s="668" t="s">
        <v>293</v>
      </c>
      <c r="GF15" s="668" t="s">
        <v>293</v>
      </c>
      <c r="GG15" s="668" t="s">
        <v>293</v>
      </c>
      <c r="GH15" s="668" t="s">
        <v>293</v>
      </c>
      <c r="GI15" s="668" t="s">
        <v>293</v>
      </c>
      <c r="GJ15" s="668" t="s">
        <v>293</v>
      </c>
      <c r="GK15" s="668" t="s">
        <v>293</v>
      </c>
      <c r="GL15" s="668" t="s">
        <v>293</v>
      </c>
      <c r="GM15" s="668" t="s">
        <v>293</v>
      </c>
      <c r="GN15" s="668" t="s">
        <v>293</v>
      </c>
      <c r="GO15" s="668" t="s">
        <v>293</v>
      </c>
    </row>
    <row r="16" spans="1:197" ht="30" customHeight="1">
      <c r="A16" s="805" t="s">
        <v>1286</v>
      </c>
      <c r="B16" s="697"/>
      <c r="C16" s="697"/>
      <c r="D16" s="697"/>
      <c r="E16" s="697"/>
      <c r="F16" s="697"/>
      <c r="G16" s="697"/>
      <c r="H16" s="697"/>
      <c r="I16" s="697"/>
      <c r="J16" s="697"/>
      <c r="K16" s="697"/>
      <c r="L16" s="697"/>
      <c r="M16" s="697"/>
      <c r="N16" s="697"/>
      <c r="O16" s="697"/>
      <c r="P16" s="697"/>
      <c r="Q16" s="697"/>
      <c r="R16" s="697"/>
      <c r="S16" s="697"/>
      <c r="T16" s="697"/>
      <c r="U16" s="697"/>
      <c r="V16" s="697"/>
      <c r="W16" s="697"/>
      <c r="X16" s="697"/>
      <c r="Y16" s="697"/>
      <c r="Z16" s="697"/>
      <c r="AA16" s="697"/>
      <c r="AB16" s="697"/>
      <c r="AC16" s="697"/>
      <c r="AD16" s="697"/>
      <c r="AE16" s="697"/>
      <c r="AF16" s="697"/>
      <c r="AG16" s="697"/>
      <c r="AH16" s="697"/>
      <c r="AI16" s="697"/>
      <c r="AJ16" s="697"/>
      <c r="AK16" s="697"/>
      <c r="AL16" s="697"/>
      <c r="AM16" s="697"/>
      <c r="AN16" s="697"/>
      <c r="AO16" s="697"/>
      <c r="AP16" s="697"/>
      <c r="AQ16" s="697"/>
      <c r="AR16" s="697"/>
      <c r="AS16" s="697"/>
      <c r="AT16" s="697"/>
      <c r="AU16" s="697"/>
      <c r="AV16" s="697"/>
      <c r="AW16" s="697"/>
      <c r="AX16" s="697"/>
      <c r="AY16" s="697"/>
      <c r="AZ16" s="697"/>
      <c r="BA16" s="697"/>
      <c r="BB16" s="697"/>
      <c r="BC16" s="697"/>
      <c r="BD16" s="697"/>
      <c r="BE16" s="697"/>
      <c r="BF16" s="697"/>
      <c r="BG16" s="697"/>
      <c r="BH16" s="697"/>
      <c r="BI16" s="697"/>
      <c r="BJ16" s="697"/>
      <c r="BK16" s="697"/>
      <c r="BL16" s="697"/>
      <c r="BM16" s="697"/>
      <c r="BN16" s="697"/>
      <c r="BO16" s="697"/>
      <c r="BP16" s="697"/>
      <c r="BQ16" s="697"/>
      <c r="BR16" s="697"/>
      <c r="BS16" s="697"/>
      <c r="BT16" s="697"/>
      <c r="BU16" s="697"/>
      <c r="BV16" s="697"/>
      <c r="BW16" s="697"/>
      <c r="BX16" s="697"/>
      <c r="BY16" s="697"/>
      <c r="BZ16" s="697"/>
      <c r="CA16" s="697"/>
      <c r="CB16" s="697"/>
      <c r="CC16" s="697"/>
      <c r="CD16" s="697"/>
      <c r="CE16" s="697"/>
      <c r="CF16" s="697"/>
      <c r="CG16" s="697"/>
      <c r="CH16" s="697"/>
      <c r="CI16" s="697"/>
      <c r="CJ16" s="697"/>
      <c r="CK16" s="697"/>
      <c r="CL16" s="697"/>
      <c r="CM16" s="697"/>
      <c r="CN16" s="697"/>
      <c r="CO16" s="697"/>
      <c r="CP16" s="697"/>
      <c r="CQ16" s="697"/>
      <c r="CR16" s="697"/>
      <c r="CS16" s="697"/>
      <c r="CT16" s="697"/>
      <c r="CU16" s="697"/>
      <c r="CV16" s="697"/>
      <c r="CW16" s="697"/>
      <c r="CX16" s="697"/>
      <c r="CY16" s="697"/>
      <c r="CZ16" s="697"/>
      <c r="DA16" s="697"/>
      <c r="DB16" s="697"/>
      <c r="DC16" s="697"/>
      <c r="DD16" s="697"/>
      <c r="DE16" s="697"/>
      <c r="DF16" s="697"/>
      <c r="DG16" s="697"/>
      <c r="DH16" s="697"/>
      <c r="DI16" s="697"/>
      <c r="DJ16" s="697"/>
      <c r="DK16" s="697"/>
      <c r="DL16" s="697"/>
      <c r="DM16" s="697"/>
      <c r="DN16" s="697"/>
      <c r="DO16" s="697"/>
      <c r="DP16" s="697"/>
      <c r="DQ16" s="697"/>
      <c r="DR16" s="697"/>
      <c r="DS16" s="697"/>
      <c r="DT16" s="697"/>
      <c r="DU16" s="697"/>
      <c r="DV16" s="697"/>
      <c r="DW16" s="697"/>
      <c r="DX16" s="697"/>
      <c r="DY16" s="697"/>
      <c r="DZ16" s="697"/>
      <c r="EA16" s="697"/>
      <c r="EB16" s="697"/>
      <c r="EC16" s="697"/>
      <c r="ED16" s="697"/>
      <c r="EE16" s="697"/>
      <c r="EF16" s="697"/>
      <c r="EG16" s="697"/>
      <c r="EH16" s="697"/>
      <c r="EI16" s="697"/>
      <c r="EJ16" s="697"/>
      <c r="EK16" s="697"/>
      <c r="EL16" s="697"/>
      <c r="EM16" s="697"/>
      <c r="EN16" s="697"/>
      <c r="EO16" s="697"/>
      <c r="EP16" s="697"/>
      <c r="EQ16" s="697"/>
      <c r="ER16" s="697"/>
      <c r="ES16" s="697"/>
      <c r="ET16" s="697"/>
      <c r="EU16" s="697"/>
      <c r="EV16" s="697"/>
      <c r="EW16" s="697"/>
      <c r="EX16" s="697"/>
      <c r="EY16" s="697"/>
      <c r="EZ16" s="697"/>
      <c r="FA16" s="697"/>
      <c r="FB16" s="697"/>
      <c r="FC16" s="697"/>
      <c r="FD16" s="697"/>
      <c r="FE16" s="697"/>
      <c r="FF16" s="697"/>
      <c r="FG16" s="697"/>
      <c r="FH16" s="697"/>
      <c r="FI16" s="697"/>
      <c r="FJ16" s="697"/>
      <c r="FK16" s="697"/>
      <c r="FL16" s="697"/>
      <c r="FM16" s="697"/>
      <c r="FN16" s="697"/>
      <c r="FO16" s="697"/>
      <c r="FP16" s="697"/>
      <c r="FQ16" s="697"/>
      <c r="FR16" s="697"/>
      <c r="FS16" s="697"/>
      <c r="FT16" s="697"/>
      <c r="FU16" s="697"/>
      <c r="FV16" s="697"/>
      <c r="FW16" s="697"/>
      <c r="FX16" s="697"/>
      <c r="FY16" s="697"/>
      <c r="FZ16" s="697"/>
      <c r="GA16" s="697"/>
      <c r="GB16" s="697"/>
      <c r="GC16" s="697"/>
      <c r="GD16" s="697"/>
      <c r="GE16" s="697"/>
      <c r="GF16" s="697"/>
      <c r="GG16" s="697"/>
      <c r="GH16" s="697"/>
      <c r="GI16" s="697"/>
      <c r="GJ16" s="697"/>
      <c r="GK16" s="697"/>
      <c r="GL16" s="697"/>
      <c r="GM16" s="697"/>
      <c r="GN16" s="697"/>
      <c r="GO16" s="697"/>
    </row>
    <row r="17" spans="1:197" ht="41.25" customHeight="1">
      <c r="A17" s="776" t="s">
        <v>1270</v>
      </c>
      <c r="B17" s="668" t="s">
        <v>293</v>
      </c>
      <c r="C17" s="668" t="s">
        <v>293</v>
      </c>
      <c r="D17" s="668" t="s">
        <v>293</v>
      </c>
      <c r="E17" s="668" t="s">
        <v>293</v>
      </c>
      <c r="F17" s="668" t="s">
        <v>293</v>
      </c>
      <c r="G17" s="668" t="s">
        <v>293</v>
      </c>
      <c r="H17" s="668" t="s">
        <v>293</v>
      </c>
      <c r="I17" s="668" t="s">
        <v>293</v>
      </c>
      <c r="J17" s="668" t="s">
        <v>293</v>
      </c>
      <c r="K17" s="668" t="s">
        <v>293</v>
      </c>
      <c r="L17" s="790" t="s">
        <v>1260</v>
      </c>
      <c r="M17" s="790" t="s">
        <v>1281</v>
      </c>
      <c r="N17" s="668" t="s">
        <v>293</v>
      </c>
      <c r="O17" s="668" t="s">
        <v>293</v>
      </c>
      <c r="P17" s="668" t="s">
        <v>293</v>
      </c>
      <c r="Q17" s="668" t="s">
        <v>293</v>
      </c>
      <c r="R17" s="790" t="s">
        <v>1279</v>
      </c>
      <c r="S17" s="790" t="s">
        <v>1281</v>
      </c>
      <c r="T17" s="790" t="s">
        <v>1281</v>
      </c>
      <c r="U17" s="668" t="s">
        <v>293</v>
      </c>
      <c r="V17" s="668" t="s">
        <v>293</v>
      </c>
      <c r="W17" s="668" t="s">
        <v>293</v>
      </c>
      <c r="X17" s="668" t="s">
        <v>293</v>
      </c>
      <c r="Y17" s="668" t="s">
        <v>293</v>
      </c>
      <c r="Z17" s="668" t="s">
        <v>293</v>
      </c>
      <c r="AA17" s="790" t="s">
        <v>1285</v>
      </c>
      <c r="AB17" s="790" t="s">
        <v>293</v>
      </c>
      <c r="AC17" s="790" t="s">
        <v>1281</v>
      </c>
      <c r="AD17" s="790" t="s">
        <v>293</v>
      </c>
      <c r="AE17" s="790" t="s">
        <v>293</v>
      </c>
      <c r="AF17" s="790" t="s">
        <v>293</v>
      </c>
      <c r="AG17" s="790" t="s">
        <v>293</v>
      </c>
      <c r="AH17" s="668" t="s">
        <v>293</v>
      </c>
      <c r="AI17" s="790" t="s">
        <v>293</v>
      </c>
      <c r="AJ17" s="790" t="s">
        <v>293</v>
      </c>
      <c r="AK17" s="790" t="s">
        <v>293</v>
      </c>
      <c r="AL17" s="790" t="s">
        <v>293</v>
      </c>
      <c r="AM17" s="790" t="s">
        <v>1284</v>
      </c>
      <c r="AN17" s="790" t="s">
        <v>1283</v>
      </c>
      <c r="AO17" s="668" t="s">
        <v>293</v>
      </c>
      <c r="AP17" s="668" t="s">
        <v>293</v>
      </c>
      <c r="AQ17" s="668" t="s">
        <v>293</v>
      </c>
      <c r="AR17" s="790" t="s">
        <v>1260</v>
      </c>
      <c r="AS17" s="668" t="s">
        <v>293</v>
      </c>
      <c r="AT17" s="668" t="s">
        <v>293</v>
      </c>
      <c r="AU17" s="790" t="s">
        <v>1281</v>
      </c>
      <c r="AV17" s="668" t="s">
        <v>293</v>
      </c>
      <c r="AW17" s="790" t="s">
        <v>1281</v>
      </c>
      <c r="AX17" s="790" t="s">
        <v>1069</v>
      </c>
      <c r="AY17" s="668" t="s">
        <v>293</v>
      </c>
      <c r="AZ17" s="668" t="s">
        <v>293</v>
      </c>
      <c r="BA17" s="790" t="s">
        <v>1282</v>
      </c>
      <c r="BB17" s="668" t="s">
        <v>293</v>
      </c>
      <c r="BC17" s="790" t="s">
        <v>1281</v>
      </c>
      <c r="BD17" s="668" t="s">
        <v>293</v>
      </c>
      <c r="BE17" s="668" t="s">
        <v>293</v>
      </c>
      <c r="BF17" s="668" t="s">
        <v>293</v>
      </c>
      <c r="BG17" s="668" t="s">
        <v>293</v>
      </c>
      <c r="BH17" s="668" t="s">
        <v>293</v>
      </c>
      <c r="BI17" s="668" t="s">
        <v>293</v>
      </c>
      <c r="BJ17" s="790" t="s">
        <v>896</v>
      </c>
      <c r="BK17" s="790" t="s">
        <v>1279</v>
      </c>
      <c r="BL17" s="790" t="s">
        <v>1280</v>
      </c>
      <c r="BM17" s="790" t="s">
        <v>1279</v>
      </c>
      <c r="BN17" s="790" t="s">
        <v>1279</v>
      </c>
      <c r="BO17" s="668" t="s">
        <v>293</v>
      </c>
      <c r="BP17" s="668" t="s">
        <v>293</v>
      </c>
      <c r="BQ17" s="668" t="s">
        <v>293</v>
      </c>
      <c r="BR17" s="668" t="s">
        <v>293</v>
      </c>
      <c r="BS17" s="668" t="s">
        <v>293</v>
      </c>
      <c r="BT17" s="668" t="s">
        <v>293</v>
      </c>
      <c r="BU17" s="668" t="s">
        <v>293</v>
      </c>
      <c r="BV17" s="668" t="s">
        <v>293</v>
      </c>
      <c r="BW17" s="668" t="s">
        <v>293</v>
      </c>
      <c r="BX17" s="668" t="s">
        <v>293</v>
      </c>
      <c r="BY17" s="790" t="s">
        <v>1278</v>
      </c>
      <c r="BZ17" s="668" t="s">
        <v>293</v>
      </c>
      <c r="CA17" s="668" t="s">
        <v>293</v>
      </c>
      <c r="CB17" s="668" t="s">
        <v>293</v>
      </c>
      <c r="CC17" s="668" t="s">
        <v>293</v>
      </c>
      <c r="CD17" s="668" t="s">
        <v>293</v>
      </c>
      <c r="CE17" s="668" t="s">
        <v>293</v>
      </c>
      <c r="CF17" s="668" t="s">
        <v>293</v>
      </c>
      <c r="CG17" s="668" t="s">
        <v>293</v>
      </c>
      <c r="CH17" s="668" t="s">
        <v>293</v>
      </c>
      <c r="CI17" s="668" t="s">
        <v>293</v>
      </c>
      <c r="CJ17" s="668" t="s">
        <v>293</v>
      </c>
      <c r="CK17" s="668" t="s">
        <v>293</v>
      </c>
      <c r="CL17" s="668" t="s">
        <v>293</v>
      </c>
      <c r="CM17" s="790" t="s">
        <v>920</v>
      </c>
      <c r="CN17" s="668" t="s">
        <v>293</v>
      </c>
      <c r="CO17" s="668" t="s">
        <v>293</v>
      </c>
      <c r="CP17" s="790" t="s">
        <v>920</v>
      </c>
      <c r="CQ17" s="668" t="s">
        <v>293</v>
      </c>
      <c r="CR17" s="668" t="s">
        <v>293</v>
      </c>
      <c r="CS17" s="668" t="s">
        <v>293</v>
      </c>
      <c r="CT17" s="668" t="s">
        <v>293</v>
      </c>
      <c r="CU17" s="668" t="s">
        <v>293</v>
      </c>
      <c r="CV17" s="790" t="s">
        <v>1277</v>
      </c>
      <c r="CW17" s="668" t="s">
        <v>293</v>
      </c>
      <c r="CX17" s="668" t="s">
        <v>293</v>
      </c>
      <c r="CY17" s="668" t="s">
        <v>293</v>
      </c>
      <c r="CZ17" s="668" t="s">
        <v>293</v>
      </c>
      <c r="DA17" s="668" t="s">
        <v>293</v>
      </c>
      <c r="DB17" s="668" t="s">
        <v>293</v>
      </c>
      <c r="DC17" s="668" t="s">
        <v>293</v>
      </c>
      <c r="DD17" s="668" t="s">
        <v>293</v>
      </c>
      <c r="DE17" s="668" t="s">
        <v>293</v>
      </c>
      <c r="DF17" s="668" t="s">
        <v>293</v>
      </c>
      <c r="DG17" s="668" t="s">
        <v>293</v>
      </c>
      <c r="DH17" s="668" t="s">
        <v>293</v>
      </c>
      <c r="DI17" s="668" t="s">
        <v>293</v>
      </c>
      <c r="DJ17" s="668" t="s">
        <v>293</v>
      </c>
      <c r="DK17" s="668" t="s">
        <v>293</v>
      </c>
      <c r="DL17" s="668" t="s">
        <v>293</v>
      </c>
      <c r="DM17" s="668" t="s">
        <v>293</v>
      </c>
      <c r="DN17" s="668" t="s">
        <v>293</v>
      </c>
      <c r="DO17" s="668" t="s">
        <v>293</v>
      </c>
      <c r="DP17" s="668" t="s">
        <v>293</v>
      </c>
      <c r="DQ17" s="668" t="s">
        <v>293</v>
      </c>
      <c r="DR17" s="668" t="s">
        <v>293</v>
      </c>
      <c r="DS17" s="668" t="s">
        <v>293</v>
      </c>
      <c r="DT17" s="668" t="s">
        <v>293</v>
      </c>
      <c r="DU17" s="668" t="s">
        <v>293</v>
      </c>
      <c r="DV17" s="668" t="s">
        <v>293</v>
      </c>
      <c r="DW17" s="668" t="s">
        <v>293</v>
      </c>
      <c r="DX17" s="668" t="s">
        <v>293</v>
      </c>
      <c r="DY17" s="668" t="s">
        <v>293</v>
      </c>
      <c r="DZ17" s="668" t="s">
        <v>293</v>
      </c>
      <c r="EA17" s="668" t="s">
        <v>293</v>
      </c>
      <c r="EB17" s="668" t="s">
        <v>293</v>
      </c>
      <c r="EC17" s="668" t="s">
        <v>293</v>
      </c>
      <c r="ED17" s="668" t="s">
        <v>293</v>
      </c>
      <c r="EE17" s="668" t="s">
        <v>293</v>
      </c>
      <c r="EF17" s="668" t="s">
        <v>293</v>
      </c>
      <c r="EG17" s="668" t="s">
        <v>293</v>
      </c>
      <c r="EH17" s="668" t="s">
        <v>293</v>
      </c>
      <c r="EI17" s="668" t="s">
        <v>293</v>
      </c>
      <c r="EJ17" s="668" t="s">
        <v>293</v>
      </c>
      <c r="EK17" s="668" t="s">
        <v>293</v>
      </c>
      <c r="EL17" s="668" t="s">
        <v>293</v>
      </c>
      <c r="EM17" s="668" t="s">
        <v>293</v>
      </c>
      <c r="EN17" s="668" t="s">
        <v>293</v>
      </c>
      <c r="EO17" s="668" t="s">
        <v>293</v>
      </c>
      <c r="EP17" s="668" t="s">
        <v>293</v>
      </c>
      <c r="EQ17" s="668" t="s">
        <v>293</v>
      </c>
      <c r="ER17" s="668" t="s">
        <v>293</v>
      </c>
      <c r="ES17" s="668" t="s">
        <v>293</v>
      </c>
      <c r="ET17" s="668" t="s">
        <v>293</v>
      </c>
      <c r="EU17" s="668" t="s">
        <v>293</v>
      </c>
      <c r="EV17" s="668" t="s">
        <v>293</v>
      </c>
      <c r="EW17" s="668" t="s">
        <v>293</v>
      </c>
      <c r="EX17" s="668" t="s">
        <v>293</v>
      </c>
      <c r="EY17" s="668" t="s">
        <v>293</v>
      </c>
      <c r="EZ17" s="668" t="s">
        <v>293</v>
      </c>
      <c r="FA17" s="668" t="s">
        <v>293</v>
      </c>
      <c r="FB17" s="668" t="s">
        <v>293</v>
      </c>
      <c r="FC17" s="668" t="s">
        <v>293</v>
      </c>
      <c r="FD17" s="668" t="s">
        <v>293</v>
      </c>
      <c r="FE17" s="668" t="s">
        <v>293</v>
      </c>
      <c r="FF17" s="668" t="s">
        <v>293</v>
      </c>
      <c r="FG17" s="668" t="s">
        <v>293</v>
      </c>
      <c r="FH17" s="668" t="s">
        <v>293</v>
      </c>
      <c r="FI17" s="668" t="s">
        <v>293</v>
      </c>
      <c r="FJ17" s="668" t="s">
        <v>293</v>
      </c>
      <c r="FK17" s="668" t="s">
        <v>293</v>
      </c>
      <c r="FL17" s="668" t="s">
        <v>293</v>
      </c>
      <c r="FM17" s="668" t="s">
        <v>293</v>
      </c>
      <c r="FN17" s="668" t="s">
        <v>293</v>
      </c>
      <c r="FO17" s="668" t="s">
        <v>293</v>
      </c>
      <c r="FP17" s="668" t="s">
        <v>293</v>
      </c>
      <c r="FQ17" s="668" t="s">
        <v>293</v>
      </c>
      <c r="FR17" s="668" t="s">
        <v>293</v>
      </c>
      <c r="FS17" s="668" t="s">
        <v>293</v>
      </c>
      <c r="FT17" s="668" t="s">
        <v>293</v>
      </c>
      <c r="FU17" s="668" t="s">
        <v>293</v>
      </c>
      <c r="FV17" s="668" t="s">
        <v>293</v>
      </c>
      <c r="FW17" s="668" t="s">
        <v>293</v>
      </c>
      <c r="FX17" s="668" t="s">
        <v>293</v>
      </c>
      <c r="FY17" s="668" t="s">
        <v>293</v>
      </c>
      <c r="FZ17" s="668" t="s">
        <v>293</v>
      </c>
      <c r="GA17" s="668" t="s">
        <v>293</v>
      </c>
      <c r="GB17" s="668" t="s">
        <v>293</v>
      </c>
      <c r="GC17" s="668" t="s">
        <v>293</v>
      </c>
      <c r="GD17" s="668" t="s">
        <v>293</v>
      </c>
      <c r="GE17" s="668" t="s">
        <v>293</v>
      </c>
      <c r="GF17" s="668" t="s">
        <v>293</v>
      </c>
      <c r="GG17" s="668" t="s">
        <v>293</v>
      </c>
      <c r="GH17" s="668" t="s">
        <v>293</v>
      </c>
      <c r="GI17" s="668" t="s">
        <v>293</v>
      </c>
      <c r="GJ17" s="668" t="s">
        <v>293</v>
      </c>
      <c r="GK17" s="668" t="s">
        <v>293</v>
      </c>
      <c r="GL17" s="668" t="s">
        <v>293</v>
      </c>
      <c r="GM17" s="668" t="s">
        <v>293</v>
      </c>
      <c r="GN17" s="668" t="s">
        <v>293</v>
      </c>
      <c r="GO17" s="668" t="s">
        <v>293</v>
      </c>
    </row>
    <row r="18" spans="1:197" ht="12.75">
      <c r="A18" s="728" t="s">
        <v>1247</v>
      </c>
      <c r="B18" s="668" t="s">
        <v>293</v>
      </c>
      <c r="C18" s="668" t="s">
        <v>293</v>
      </c>
      <c r="D18" s="668" t="s">
        <v>293</v>
      </c>
      <c r="E18" s="668" t="s">
        <v>293</v>
      </c>
      <c r="F18" s="668" t="s">
        <v>293</v>
      </c>
      <c r="G18" s="668" t="s">
        <v>293</v>
      </c>
      <c r="H18" s="668" t="s">
        <v>293</v>
      </c>
      <c r="I18" s="668" t="s">
        <v>293</v>
      </c>
      <c r="J18" s="668" t="s">
        <v>293</v>
      </c>
      <c r="K18" s="668" t="s">
        <v>293</v>
      </c>
      <c r="L18" s="664" t="s">
        <v>1242</v>
      </c>
      <c r="M18" s="664" t="s">
        <v>1242</v>
      </c>
      <c r="N18" s="668" t="s">
        <v>293</v>
      </c>
      <c r="O18" s="668" t="s">
        <v>293</v>
      </c>
      <c r="P18" s="668" t="s">
        <v>293</v>
      </c>
      <c r="Q18" s="668" t="s">
        <v>293</v>
      </c>
      <c r="R18" s="662" t="s">
        <v>1245</v>
      </c>
      <c r="S18" s="662" t="s">
        <v>1245</v>
      </c>
      <c r="T18" s="662" t="s">
        <v>1245</v>
      </c>
      <c r="U18" s="668" t="s">
        <v>293</v>
      </c>
      <c r="V18" s="668" t="s">
        <v>293</v>
      </c>
      <c r="W18" s="668" t="s">
        <v>293</v>
      </c>
      <c r="X18" s="668" t="s">
        <v>293</v>
      </c>
      <c r="Y18" s="668" t="s">
        <v>293</v>
      </c>
      <c r="Z18" s="668" t="s">
        <v>293</v>
      </c>
      <c r="AA18" s="662" t="s">
        <v>1243</v>
      </c>
      <c r="AB18" s="668" t="s">
        <v>293</v>
      </c>
      <c r="AC18" s="662" t="s">
        <v>1243</v>
      </c>
      <c r="AD18" s="668" t="s">
        <v>293</v>
      </c>
      <c r="AE18" s="668" t="s">
        <v>293</v>
      </c>
      <c r="AF18" s="668" t="s">
        <v>293</v>
      </c>
      <c r="AG18" s="668" t="s">
        <v>293</v>
      </c>
      <c r="AH18" s="668" t="s">
        <v>293</v>
      </c>
      <c r="AI18" s="668" t="s">
        <v>293</v>
      </c>
      <c r="AJ18" s="668" t="s">
        <v>293</v>
      </c>
      <c r="AK18" s="668" t="s">
        <v>293</v>
      </c>
      <c r="AL18" s="668" t="s">
        <v>293</v>
      </c>
      <c r="AM18" s="662" t="s">
        <v>1242</v>
      </c>
      <c r="AN18" s="662" t="s">
        <v>1242</v>
      </c>
      <c r="AO18" s="668" t="s">
        <v>293</v>
      </c>
      <c r="AP18" s="668" t="s">
        <v>293</v>
      </c>
      <c r="AQ18" s="668" t="s">
        <v>293</v>
      </c>
      <c r="AR18" s="662" t="s">
        <v>1242</v>
      </c>
      <c r="AS18" s="668" t="s">
        <v>293</v>
      </c>
      <c r="AT18" s="668" t="s">
        <v>293</v>
      </c>
      <c r="AU18" s="662" t="s">
        <v>1242</v>
      </c>
      <c r="AV18" s="668" t="s">
        <v>293</v>
      </c>
      <c r="AW18" s="662" t="s">
        <v>1242</v>
      </c>
      <c r="AX18" s="662" t="s">
        <v>1242</v>
      </c>
      <c r="AY18" s="668" t="s">
        <v>293</v>
      </c>
      <c r="AZ18" s="668" t="s">
        <v>293</v>
      </c>
      <c r="BA18" s="662" t="s">
        <v>1245</v>
      </c>
      <c r="BB18" s="668" t="s">
        <v>293</v>
      </c>
      <c r="BC18" s="662" t="s">
        <v>1245</v>
      </c>
      <c r="BD18" s="668" t="s">
        <v>293</v>
      </c>
      <c r="BE18" s="668" t="s">
        <v>293</v>
      </c>
      <c r="BF18" s="668" t="s">
        <v>293</v>
      </c>
      <c r="BG18" s="668" t="s">
        <v>293</v>
      </c>
      <c r="BH18" s="668" t="s">
        <v>293</v>
      </c>
      <c r="BI18" s="668" t="s">
        <v>293</v>
      </c>
      <c r="BJ18" s="662" t="s">
        <v>1242</v>
      </c>
      <c r="BK18" s="662" t="s">
        <v>1242</v>
      </c>
      <c r="BL18" s="662" t="s">
        <v>1242</v>
      </c>
      <c r="BM18" s="662" t="s">
        <v>1242</v>
      </c>
      <c r="BN18" s="662" t="s">
        <v>1242</v>
      </c>
      <c r="BO18" s="668" t="s">
        <v>293</v>
      </c>
      <c r="BP18" s="668" t="s">
        <v>293</v>
      </c>
      <c r="BQ18" s="668" t="s">
        <v>293</v>
      </c>
      <c r="BR18" s="668" t="s">
        <v>293</v>
      </c>
      <c r="BS18" s="668" t="s">
        <v>293</v>
      </c>
      <c r="BT18" s="668" t="s">
        <v>293</v>
      </c>
      <c r="BU18" s="668" t="s">
        <v>293</v>
      </c>
      <c r="BV18" s="668" t="s">
        <v>293</v>
      </c>
      <c r="BW18" s="668" t="s">
        <v>293</v>
      </c>
      <c r="BX18" s="668" t="s">
        <v>293</v>
      </c>
      <c r="BY18" s="662" t="s">
        <v>1246</v>
      </c>
      <c r="BZ18" s="668" t="s">
        <v>293</v>
      </c>
      <c r="CA18" s="668" t="s">
        <v>293</v>
      </c>
      <c r="CB18" s="668" t="s">
        <v>293</v>
      </c>
      <c r="CC18" s="668" t="s">
        <v>293</v>
      </c>
      <c r="CD18" s="668" t="s">
        <v>293</v>
      </c>
      <c r="CE18" s="668" t="s">
        <v>293</v>
      </c>
      <c r="CF18" s="668" t="s">
        <v>293</v>
      </c>
      <c r="CG18" s="668" t="s">
        <v>293</v>
      </c>
      <c r="CH18" s="668" t="s">
        <v>293</v>
      </c>
      <c r="CI18" s="668" t="s">
        <v>293</v>
      </c>
      <c r="CJ18" s="668" t="s">
        <v>293</v>
      </c>
      <c r="CK18" s="668" t="s">
        <v>293</v>
      </c>
      <c r="CL18" s="668" t="s">
        <v>293</v>
      </c>
      <c r="CM18" s="662" t="s">
        <v>1276</v>
      </c>
      <c r="CN18" s="668" t="s">
        <v>293</v>
      </c>
      <c r="CO18" s="668" t="s">
        <v>293</v>
      </c>
      <c r="CP18" s="662" t="s">
        <v>1276</v>
      </c>
      <c r="CQ18" s="668" t="s">
        <v>293</v>
      </c>
      <c r="CR18" s="668" t="s">
        <v>293</v>
      </c>
      <c r="CS18" s="668" t="s">
        <v>293</v>
      </c>
      <c r="CT18" s="668" t="s">
        <v>293</v>
      </c>
      <c r="CU18" s="668" t="s">
        <v>293</v>
      </c>
      <c r="CV18" s="662" t="s">
        <v>1245</v>
      </c>
      <c r="CW18" s="668" t="s">
        <v>293</v>
      </c>
      <c r="CX18" s="668" t="s">
        <v>293</v>
      </c>
      <c r="CY18" s="668" t="s">
        <v>293</v>
      </c>
      <c r="CZ18" s="668" t="s">
        <v>293</v>
      </c>
      <c r="DA18" s="668" t="s">
        <v>293</v>
      </c>
      <c r="DB18" s="668" t="s">
        <v>293</v>
      </c>
      <c r="DC18" s="668" t="s">
        <v>293</v>
      </c>
      <c r="DD18" s="668" t="s">
        <v>293</v>
      </c>
      <c r="DE18" s="668" t="s">
        <v>293</v>
      </c>
      <c r="DF18" s="668" t="s">
        <v>293</v>
      </c>
      <c r="DG18" s="668" t="s">
        <v>293</v>
      </c>
      <c r="DH18" s="668" t="s">
        <v>293</v>
      </c>
      <c r="DI18" s="668" t="s">
        <v>293</v>
      </c>
      <c r="DJ18" s="668" t="s">
        <v>293</v>
      </c>
      <c r="DK18" s="668" t="s">
        <v>293</v>
      </c>
      <c r="DL18" s="668" t="s">
        <v>293</v>
      </c>
      <c r="DM18" s="668" t="s">
        <v>293</v>
      </c>
      <c r="DN18" s="668" t="s">
        <v>293</v>
      </c>
      <c r="DO18" s="668" t="s">
        <v>293</v>
      </c>
      <c r="DP18" s="668" t="s">
        <v>293</v>
      </c>
      <c r="DQ18" s="668" t="s">
        <v>293</v>
      </c>
      <c r="DR18" s="668" t="s">
        <v>293</v>
      </c>
      <c r="DS18" s="668" t="s">
        <v>293</v>
      </c>
      <c r="DT18" s="668" t="s">
        <v>293</v>
      </c>
      <c r="DU18" s="668" t="s">
        <v>293</v>
      </c>
      <c r="DV18" s="668" t="s">
        <v>293</v>
      </c>
      <c r="DW18" s="668" t="s">
        <v>293</v>
      </c>
      <c r="DX18" s="668" t="s">
        <v>293</v>
      </c>
      <c r="DY18" s="668" t="s">
        <v>293</v>
      </c>
      <c r="DZ18" s="668" t="s">
        <v>293</v>
      </c>
      <c r="EA18" s="668" t="s">
        <v>293</v>
      </c>
      <c r="EB18" s="668" t="s">
        <v>293</v>
      </c>
      <c r="EC18" s="668" t="s">
        <v>293</v>
      </c>
      <c r="ED18" s="668" t="s">
        <v>293</v>
      </c>
      <c r="EE18" s="668" t="s">
        <v>293</v>
      </c>
      <c r="EF18" s="668" t="s">
        <v>293</v>
      </c>
      <c r="EG18" s="668" t="s">
        <v>293</v>
      </c>
      <c r="EH18" s="668" t="s">
        <v>293</v>
      </c>
      <c r="EI18" s="668" t="s">
        <v>293</v>
      </c>
      <c r="EJ18" s="668" t="s">
        <v>293</v>
      </c>
      <c r="EK18" s="668" t="s">
        <v>293</v>
      </c>
      <c r="EL18" s="668" t="s">
        <v>293</v>
      </c>
      <c r="EM18" s="668" t="s">
        <v>293</v>
      </c>
      <c r="EN18" s="668" t="s">
        <v>293</v>
      </c>
      <c r="EO18" s="668" t="s">
        <v>293</v>
      </c>
      <c r="EP18" s="668" t="s">
        <v>293</v>
      </c>
      <c r="EQ18" s="668" t="s">
        <v>293</v>
      </c>
      <c r="ER18" s="668" t="s">
        <v>293</v>
      </c>
      <c r="ES18" s="668" t="s">
        <v>293</v>
      </c>
      <c r="ET18" s="668" t="s">
        <v>293</v>
      </c>
      <c r="EU18" s="668" t="s">
        <v>293</v>
      </c>
      <c r="EV18" s="668" t="s">
        <v>293</v>
      </c>
      <c r="EW18" s="668" t="s">
        <v>293</v>
      </c>
      <c r="EX18" s="668" t="s">
        <v>293</v>
      </c>
      <c r="EY18" s="668" t="s">
        <v>293</v>
      </c>
      <c r="EZ18" s="668" t="s">
        <v>293</v>
      </c>
      <c r="FA18" s="668" t="s">
        <v>293</v>
      </c>
      <c r="FB18" s="668" t="s">
        <v>293</v>
      </c>
      <c r="FC18" s="668" t="s">
        <v>293</v>
      </c>
      <c r="FD18" s="668" t="s">
        <v>293</v>
      </c>
      <c r="FE18" s="668" t="s">
        <v>293</v>
      </c>
      <c r="FF18" s="668" t="s">
        <v>293</v>
      </c>
      <c r="FG18" s="668" t="s">
        <v>293</v>
      </c>
      <c r="FH18" s="668" t="s">
        <v>293</v>
      </c>
      <c r="FI18" s="668" t="s">
        <v>293</v>
      </c>
      <c r="FJ18" s="668" t="s">
        <v>293</v>
      </c>
      <c r="FK18" s="668" t="s">
        <v>293</v>
      </c>
      <c r="FL18" s="668" t="s">
        <v>293</v>
      </c>
      <c r="FM18" s="668" t="s">
        <v>293</v>
      </c>
      <c r="FN18" s="668" t="s">
        <v>293</v>
      </c>
      <c r="FO18" s="668" t="s">
        <v>293</v>
      </c>
      <c r="FP18" s="668" t="s">
        <v>293</v>
      </c>
      <c r="FQ18" s="668" t="s">
        <v>293</v>
      </c>
      <c r="FR18" s="668" t="s">
        <v>293</v>
      </c>
      <c r="FS18" s="668" t="s">
        <v>293</v>
      </c>
      <c r="FT18" s="668" t="s">
        <v>293</v>
      </c>
      <c r="FU18" s="668" t="s">
        <v>293</v>
      </c>
      <c r="FV18" s="668" t="s">
        <v>293</v>
      </c>
      <c r="FW18" s="668" t="s">
        <v>293</v>
      </c>
      <c r="FX18" s="668" t="s">
        <v>293</v>
      </c>
      <c r="FY18" s="668" t="s">
        <v>293</v>
      </c>
      <c r="FZ18" s="668" t="s">
        <v>293</v>
      </c>
      <c r="GA18" s="668" t="s">
        <v>293</v>
      </c>
      <c r="GB18" s="668" t="s">
        <v>293</v>
      </c>
      <c r="GC18" s="668" t="s">
        <v>293</v>
      </c>
      <c r="GD18" s="668" t="s">
        <v>293</v>
      </c>
      <c r="GE18" s="668" t="s">
        <v>293</v>
      </c>
      <c r="GF18" s="668" t="s">
        <v>293</v>
      </c>
      <c r="GG18" s="668" t="s">
        <v>293</v>
      </c>
      <c r="GH18" s="668" t="s">
        <v>293</v>
      </c>
      <c r="GI18" s="668" t="s">
        <v>293</v>
      </c>
      <c r="GJ18" s="668" t="s">
        <v>293</v>
      </c>
      <c r="GK18" s="668" t="s">
        <v>293</v>
      </c>
      <c r="GL18" s="668" t="s">
        <v>293</v>
      </c>
      <c r="GM18" s="668" t="s">
        <v>293</v>
      </c>
      <c r="GN18" s="668" t="s">
        <v>293</v>
      </c>
      <c r="GO18" s="668" t="s">
        <v>293</v>
      </c>
    </row>
    <row r="19" spans="1:197" ht="12.75">
      <c r="A19" s="728" t="s">
        <v>1244</v>
      </c>
      <c r="B19" s="668" t="s">
        <v>293</v>
      </c>
      <c r="C19" s="668" t="s">
        <v>293</v>
      </c>
      <c r="D19" s="668" t="s">
        <v>293</v>
      </c>
      <c r="E19" s="668" t="s">
        <v>293</v>
      </c>
      <c r="F19" s="668" t="s">
        <v>293</v>
      </c>
      <c r="G19" s="668" t="s">
        <v>293</v>
      </c>
      <c r="H19" s="668" t="s">
        <v>293</v>
      </c>
      <c r="I19" s="668" t="s">
        <v>293</v>
      </c>
      <c r="J19" s="668" t="s">
        <v>293</v>
      </c>
      <c r="K19" s="668" t="s">
        <v>293</v>
      </c>
      <c r="L19" s="664" t="s">
        <v>1242</v>
      </c>
      <c r="M19" s="664" t="s">
        <v>1242</v>
      </c>
      <c r="N19" s="668" t="s">
        <v>293</v>
      </c>
      <c r="O19" s="668" t="s">
        <v>293</v>
      </c>
      <c r="P19" s="668" t="s">
        <v>293</v>
      </c>
      <c r="Q19" s="668" t="s">
        <v>293</v>
      </c>
      <c r="R19" s="662" t="s">
        <v>1240</v>
      </c>
      <c r="S19" s="662" t="s">
        <v>1240</v>
      </c>
      <c r="T19" s="662" t="s">
        <v>1240</v>
      </c>
      <c r="U19" s="668" t="s">
        <v>293</v>
      </c>
      <c r="V19" s="668" t="s">
        <v>293</v>
      </c>
      <c r="W19" s="668" t="s">
        <v>293</v>
      </c>
      <c r="X19" s="668" t="s">
        <v>293</v>
      </c>
      <c r="Y19" s="668" t="s">
        <v>293</v>
      </c>
      <c r="Z19" s="668" t="s">
        <v>293</v>
      </c>
      <c r="AA19" s="662" t="s">
        <v>1243</v>
      </c>
      <c r="AB19" s="668" t="s">
        <v>293</v>
      </c>
      <c r="AC19" s="662" t="s">
        <v>1243</v>
      </c>
      <c r="AD19" s="668" t="s">
        <v>293</v>
      </c>
      <c r="AE19" s="668" t="s">
        <v>293</v>
      </c>
      <c r="AF19" s="668" t="s">
        <v>293</v>
      </c>
      <c r="AG19" s="668" t="s">
        <v>293</v>
      </c>
      <c r="AH19" s="668" t="s">
        <v>293</v>
      </c>
      <c r="AI19" s="668" t="s">
        <v>293</v>
      </c>
      <c r="AJ19" s="668" t="s">
        <v>293</v>
      </c>
      <c r="AK19" s="668" t="s">
        <v>293</v>
      </c>
      <c r="AL19" s="668" t="s">
        <v>293</v>
      </c>
      <c r="AM19" s="662" t="s">
        <v>1242</v>
      </c>
      <c r="AN19" s="662" t="s">
        <v>1242</v>
      </c>
      <c r="AO19" s="668" t="s">
        <v>293</v>
      </c>
      <c r="AP19" s="668" t="s">
        <v>293</v>
      </c>
      <c r="AQ19" s="668" t="s">
        <v>293</v>
      </c>
      <c r="AR19" s="662" t="s">
        <v>1242</v>
      </c>
      <c r="AS19" s="668" t="s">
        <v>293</v>
      </c>
      <c r="AT19" s="668" t="s">
        <v>293</v>
      </c>
      <c r="AU19" s="662" t="s">
        <v>1242</v>
      </c>
      <c r="AV19" s="668" t="s">
        <v>293</v>
      </c>
      <c r="AW19" s="662" t="s">
        <v>1242</v>
      </c>
      <c r="AX19" s="662" t="s">
        <v>1242</v>
      </c>
      <c r="AY19" s="668" t="s">
        <v>293</v>
      </c>
      <c r="AZ19" s="668" t="s">
        <v>293</v>
      </c>
      <c r="BA19" s="662" t="s">
        <v>1240</v>
      </c>
      <c r="BB19" s="668" t="s">
        <v>293</v>
      </c>
      <c r="BC19" s="662" t="s">
        <v>1240</v>
      </c>
      <c r="BD19" s="668" t="s">
        <v>293</v>
      </c>
      <c r="BE19" s="668" t="s">
        <v>293</v>
      </c>
      <c r="BF19" s="668" t="s">
        <v>293</v>
      </c>
      <c r="BG19" s="668" t="s">
        <v>293</v>
      </c>
      <c r="BH19" s="668" t="s">
        <v>293</v>
      </c>
      <c r="BI19" s="668" t="s">
        <v>293</v>
      </c>
      <c r="BJ19" s="662" t="s">
        <v>1242</v>
      </c>
      <c r="BK19" s="662" t="s">
        <v>1242</v>
      </c>
      <c r="BL19" s="662" t="s">
        <v>1242</v>
      </c>
      <c r="BM19" s="662" t="s">
        <v>1242</v>
      </c>
      <c r="BN19" s="662" t="s">
        <v>1242</v>
      </c>
      <c r="BO19" s="668" t="s">
        <v>293</v>
      </c>
      <c r="BP19" s="668" t="s">
        <v>293</v>
      </c>
      <c r="BQ19" s="668" t="s">
        <v>293</v>
      </c>
      <c r="BR19" s="668" t="s">
        <v>293</v>
      </c>
      <c r="BS19" s="668" t="s">
        <v>293</v>
      </c>
      <c r="BT19" s="668" t="s">
        <v>293</v>
      </c>
      <c r="BU19" s="668" t="s">
        <v>293</v>
      </c>
      <c r="BV19" s="668" t="s">
        <v>293</v>
      </c>
      <c r="BW19" s="668" t="s">
        <v>293</v>
      </c>
      <c r="BX19" s="668" t="s">
        <v>293</v>
      </c>
      <c r="BY19" s="662" t="s">
        <v>1241</v>
      </c>
      <c r="BZ19" s="668" t="s">
        <v>293</v>
      </c>
      <c r="CA19" s="668" t="s">
        <v>293</v>
      </c>
      <c r="CB19" s="668" t="s">
        <v>293</v>
      </c>
      <c r="CC19" s="668" t="s">
        <v>293</v>
      </c>
      <c r="CD19" s="668" t="s">
        <v>293</v>
      </c>
      <c r="CE19" s="668" t="s">
        <v>293</v>
      </c>
      <c r="CF19" s="668" t="s">
        <v>293</v>
      </c>
      <c r="CG19" s="668" t="s">
        <v>293</v>
      </c>
      <c r="CH19" s="668" t="s">
        <v>293</v>
      </c>
      <c r="CI19" s="668" t="s">
        <v>293</v>
      </c>
      <c r="CJ19" s="668" t="s">
        <v>293</v>
      </c>
      <c r="CK19" s="668" t="s">
        <v>293</v>
      </c>
      <c r="CL19" s="668" t="s">
        <v>293</v>
      </c>
      <c r="CM19" s="662" t="s">
        <v>1276</v>
      </c>
      <c r="CN19" s="668" t="s">
        <v>293</v>
      </c>
      <c r="CO19" s="668" t="s">
        <v>293</v>
      </c>
      <c r="CP19" s="662" t="s">
        <v>1276</v>
      </c>
      <c r="CQ19" s="668" t="s">
        <v>293</v>
      </c>
      <c r="CR19" s="668" t="s">
        <v>293</v>
      </c>
      <c r="CS19" s="668" t="s">
        <v>293</v>
      </c>
      <c r="CT19" s="668" t="s">
        <v>293</v>
      </c>
      <c r="CU19" s="668" t="s">
        <v>293</v>
      </c>
      <c r="CV19" s="662" t="s">
        <v>1240</v>
      </c>
      <c r="CW19" s="668" t="s">
        <v>293</v>
      </c>
      <c r="CX19" s="668" t="s">
        <v>293</v>
      </c>
      <c r="CY19" s="668" t="s">
        <v>293</v>
      </c>
      <c r="CZ19" s="668" t="s">
        <v>293</v>
      </c>
      <c r="DA19" s="668" t="s">
        <v>293</v>
      </c>
      <c r="DB19" s="668" t="s">
        <v>293</v>
      </c>
      <c r="DC19" s="668" t="s">
        <v>293</v>
      </c>
      <c r="DD19" s="668" t="s">
        <v>293</v>
      </c>
      <c r="DE19" s="668" t="s">
        <v>293</v>
      </c>
      <c r="DF19" s="668" t="s">
        <v>293</v>
      </c>
      <c r="DG19" s="668" t="s">
        <v>293</v>
      </c>
      <c r="DH19" s="668" t="s">
        <v>293</v>
      </c>
      <c r="DI19" s="668" t="s">
        <v>293</v>
      </c>
      <c r="DJ19" s="668" t="s">
        <v>293</v>
      </c>
      <c r="DK19" s="668" t="s">
        <v>293</v>
      </c>
      <c r="DL19" s="668" t="s">
        <v>293</v>
      </c>
      <c r="DM19" s="668" t="s">
        <v>293</v>
      </c>
      <c r="DN19" s="668" t="s">
        <v>293</v>
      </c>
      <c r="DO19" s="668" t="s">
        <v>293</v>
      </c>
      <c r="DP19" s="668" t="s">
        <v>293</v>
      </c>
      <c r="DQ19" s="668" t="s">
        <v>293</v>
      </c>
      <c r="DR19" s="668" t="s">
        <v>293</v>
      </c>
      <c r="DS19" s="668" t="s">
        <v>293</v>
      </c>
      <c r="DT19" s="668" t="s">
        <v>293</v>
      </c>
      <c r="DU19" s="668" t="s">
        <v>293</v>
      </c>
      <c r="DV19" s="668" t="s">
        <v>293</v>
      </c>
      <c r="DW19" s="668" t="s">
        <v>293</v>
      </c>
      <c r="DX19" s="668" t="s">
        <v>293</v>
      </c>
      <c r="DY19" s="668" t="s">
        <v>293</v>
      </c>
      <c r="DZ19" s="668" t="s">
        <v>293</v>
      </c>
      <c r="EA19" s="668" t="s">
        <v>293</v>
      </c>
      <c r="EB19" s="668" t="s">
        <v>293</v>
      </c>
      <c r="EC19" s="668" t="s">
        <v>293</v>
      </c>
      <c r="ED19" s="668" t="s">
        <v>293</v>
      </c>
      <c r="EE19" s="668" t="s">
        <v>293</v>
      </c>
      <c r="EF19" s="668" t="s">
        <v>293</v>
      </c>
      <c r="EG19" s="668" t="s">
        <v>293</v>
      </c>
      <c r="EH19" s="668" t="s">
        <v>293</v>
      </c>
      <c r="EI19" s="668" t="s">
        <v>293</v>
      </c>
      <c r="EJ19" s="668" t="s">
        <v>293</v>
      </c>
      <c r="EK19" s="668" t="s">
        <v>293</v>
      </c>
      <c r="EL19" s="668" t="s">
        <v>293</v>
      </c>
      <c r="EM19" s="668" t="s">
        <v>293</v>
      </c>
      <c r="EN19" s="668" t="s">
        <v>293</v>
      </c>
      <c r="EO19" s="668" t="s">
        <v>293</v>
      </c>
      <c r="EP19" s="668" t="s">
        <v>293</v>
      </c>
      <c r="EQ19" s="668" t="s">
        <v>293</v>
      </c>
      <c r="ER19" s="668" t="s">
        <v>293</v>
      </c>
      <c r="ES19" s="668" t="s">
        <v>293</v>
      </c>
      <c r="ET19" s="668" t="s">
        <v>293</v>
      </c>
      <c r="EU19" s="668" t="s">
        <v>293</v>
      </c>
      <c r="EV19" s="668" t="s">
        <v>293</v>
      </c>
      <c r="EW19" s="668" t="s">
        <v>293</v>
      </c>
      <c r="EX19" s="668" t="s">
        <v>293</v>
      </c>
      <c r="EY19" s="668" t="s">
        <v>293</v>
      </c>
      <c r="EZ19" s="668" t="s">
        <v>293</v>
      </c>
      <c r="FA19" s="668" t="s">
        <v>293</v>
      </c>
      <c r="FB19" s="668" t="s">
        <v>293</v>
      </c>
      <c r="FC19" s="668" t="s">
        <v>293</v>
      </c>
      <c r="FD19" s="668" t="s">
        <v>293</v>
      </c>
      <c r="FE19" s="668" t="s">
        <v>293</v>
      </c>
      <c r="FF19" s="668" t="s">
        <v>293</v>
      </c>
      <c r="FG19" s="668" t="s">
        <v>293</v>
      </c>
      <c r="FH19" s="668" t="s">
        <v>293</v>
      </c>
      <c r="FI19" s="668" t="s">
        <v>293</v>
      </c>
      <c r="FJ19" s="668" t="s">
        <v>293</v>
      </c>
      <c r="FK19" s="668" t="s">
        <v>293</v>
      </c>
      <c r="FL19" s="668" t="s">
        <v>293</v>
      </c>
      <c r="FM19" s="668" t="s">
        <v>293</v>
      </c>
      <c r="FN19" s="668" t="s">
        <v>293</v>
      </c>
      <c r="FO19" s="668" t="s">
        <v>293</v>
      </c>
      <c r="FP19" s="668" t="s">
        <v>293</v>
      </c>
      <c r="FQ19" s="668" t="s">
        <v>293</v>
      </c>
      <c r="FR19" s="668" t="s">
        <v>293</v>
      </c>
      <c r="FS19" s="668" t="s">
        <v>293</v>
      </c>
      <c r="FT19" s="668" t="s">
        <v>293</v>
      </c>
      <c r="FU19" s="668" t="s">
        <v>293</v>
      </c>
      <c r="FV19" s="668" t="s">
        <v>293</v>
      </c>
      <c r="FW19" s="668" t="s">
        <v>293</v>
      </c>
      <c r="FX19" s="668" t="s">
        <v>293</v>
      </c>
      <c r="FY19" s="668" t="s">
        <v>293</v>
      </c>
      <c r="FZ19" s="668" t="s">
        <v>293</v>
      </c>
      <c r="GA19" s="668" t="s">
        <v>293</v>
      </c>
      <c r="GB19" s="668" t="s">
        <v>293</v>
      </c>
      <c r="GC19" s="668" t="s">
        <v>293</v>
      </c>
      <c r="GD19" s="668" t="s">
        <v>293</v>
      </c>
      <c r="GE19" s="668" t="s">
        <v>293</v>
      </c>
      <c r="GF19" s="668" t="s">
        <v>293</v>
      </c>
      <c r="GG19" s="668" t="s">
        <v>293</v>
      </c>
      <c r="GH19" s="668" t="s">
        <v>293</v>
      </c>
      <c r="GI19" s="668" t="s">
        <v>293</v>
      </c>
      <c r="GJ19" s="668" t="s">
        <v>293</v>
      </c>
      <c r="GK19" s="668" t="s">
        <v>293</v>
      </c>
      <c r="GL19" s="668" t="s">
        <v>293</v>
      </c>
      <c r="GM19" s="668" t="s">
        <v>293</v>
      </c>
      <c r="GN19" s="668" t="s">
        <v>293</v>
      </c>
      <c r="GO19" s="668" t="s">
        <v>293</v>
      </c>
    </row>
    <row r="20" spans="1:197" ht="12.75">
      <c r="A20" s="728" t="s">
        <v>1275</v>
      </c>
      <c r="B20" s="668" t="s">
        <v>293</v>
      </c>
      <c r="C20" s="668" t="s">
        <v>293</v>
      </c>
      <c r="D20" s="668" t="s">
        <v>293</v>
      </c>
      <c r="E20" s="668" t="s">
        <v>293</v>
      </c>
      <c r="F20" s="668" t="s">
        <v>293</v>
      </c>
      <c r="G20" s="668" t="s">
        <v>293</v>
      </c>
      <c r="H20" s="668" t="s">
        <v>293</v>
      </c>
      <c r="I20" s="668" t="s">
        <v>293</v>
      </c>
      <c r="J20" s="668" t="s">
        <v>293</v>
      </c>
      <c r="K20" s="668" t="s">
        <v>293</v>
      </c>
      <c r="L20" s="662" t="s">
        <v>1273</v>
      </c>
      <c r="M20" s="662" t="s">
        <v>1273</v>
      </c>
      <c r="N20" s="668" t="s">
        <v>293</v>
      </c>
      <c r="O20" s="668" t="s">
        <v>293</v>
      </c>
      <c r="P20" s="668" t="s">
        <v>293</v>
      </c>
      <c r="Q20" s="668" t="s">
        <v>293</v>
      </c>
      <c r="R20" s="662" t="s">
        <v>1273</v>
      </c>
      <c r="S20" s="662" t="s">
        <v>1273</v>
      </c>
      <c r="T20" s="662" t="s">
        <v>1273</v>
      </c>
      <c r="U20" s="668" t="s">
        <v>293</v>
      </c>
      <c r="V20" s="668" t="s">
        <v>293</v>
      </c>
      <c r="W20" s="668" t="s">
        <v>293</v>
      </c>
      <c r="X20" s="668" t="s">
        <v>293</v>
      </c>
      <c r="Y20" s="668" t="s">
        <v>293</v>
      </c>
      <c r="Z20" s="668" t="s">
        <v>293</v>
      </c>
      <c r="AA20" s="662" t="s">
        <v>1271</v>
      </c>
      <c r="AB20" s="668" t="s">
        <v>293</v>
      </c>
      <c r="AC20" s="662" t="s">
        <v>1274</v>
      </c>
      <c r="AD20" s="668" t="s">
        <v>293</v>
      </c>
      <c r="AE20" s="668" t="s">
        <v>293</v>
      </c>
      <c r="AF20" s="668" t="s">
        <v>293</v>
      </c>
      <c r="AG20" s="668" t="s">
        <v>293</v>
      </c>
      <c r="AH20" s="668" t="s">
        <v>293</v>
      </c>
      <c r="AI20" s="668" t="s">
        <v>293</v>
      </c>
      <c r="AJ20" s="668" t="s">
        <v>293</v>
      </c>
      <c r="AK20" s="668" t="s">
        <v>293</v>
      </c>
      <c r="AL20" s="668" t="s">
        <v>293</v>
      </c>
      <c r="AM20" s="662" t="s">
        <v>1273</v>
      </c>
      <c r="AN20" s="662" t="s">
        <v>1273</v>
      </c>
      <c r="AO20" s="668" t="s">
        <v>293</v>
      </c>
      <c r="AP20" s="668" t="s">
        <v>293</v>
      </c>
      <c r="AQ20" s="668" t="s">
        <v>293</v>
      </c>
      <c r="AR20" s="662" t="s">
        <v>1273</v>
      </c>
      <c r="AS20" s="668" t="s">
        <v>293</v>
      </c>
      <c r="AT20" s="668" t="s">
        <v>293</v>
      </c>
      <c r="AU20" s="662" t="s">
        <v>1273</v>
      </c>
      <c r="AV20" s="668" t="s">
        <v>293</v>
      </c>
      <c r="AW20" s="662" t="s">
        <v>1273</v>
      </c>
      <c r="AX20" s="662" t="s">
        <v>1273</v>
      </c>
      <c r="AY20" s="668" t="s">
        <v>293</v>
      </c>
      <c r="AZ20" s="668" t="s">
        <v>293</v>
      </c>
      <c r="BA20" s="662" t="s">
        <v>1273</v>
      </c>
      <c r="BB20" s="668" t="s">
        <v>293</v>
      </c>
      <c r="BC20" s="662" t="s">
        <v>1273</v>
      </c>
      <c r="BD20" s="668" t="s">
        <v>293</v>
      </c>
      <c r="BE20" s="668" t="s">
        <v>293</v>
      </c>
      <c r="BF20" s="668" t="s">
        <v>293</v>
      </c>
      <c r="BG20" s="668" t="s">
        <v>293</v>
      </c>
      <c r="BH20" s="668" t="s">
        <v>293</v>
      </c>
      <c r="BI20" s="668" t="s">
        <v>293</v>
      </c>
      <c r="BJ20" s="662" t="s">
        <v>1273</v>
      </c>
      <c r="BK20" s="662" t="s">
        <v>1273</v>
      </c>
      <c r="BL20" s="662" t="s">
        <v>1273</v>
      </c>
      <c r="BM20" s="662" t="s">
        <v>1273</v>
      </c>
      <c r="BN20" s="662" t="s">
        <v>1273</v>
      </c>
      <c r="BO20" s="668" t="s">
        <v>293</v>
      </c>
      <c r="BP20" s="668" t="s">
        <v>293</v>
      </c>
      <c r="BQ20" s="668" t="s">
        <v>293</v>
      </c>
      <c r="BR20" s="668" t="s">
        <v>293</v>
      </c>
      <c r="BS20" s="668" t="s">
        <v>293</v>
      </c>
      <c r="BT20" s="668" t="s">
        <v>293</v>
      </c>
      <c r="BU20" s="668" t="s">
        <v>293</v>
      </c>
      <c r="BV20" s="668" t="s">
        <v>293</v>
      </c>
      <c r="BW20" s="668" t="s">
        <v>293</v>
      </c>
      <c r="BX20" s="668" t="s">
        <v>293</v>
      </c>
      <c r="BY20" s="662" t="s">
        <v>1272</v>
      </c>
      <c r="BZ20" s="668" t="s">
        <v>293</v>
      </c>
      <c r="CA20" s="668" t="s">
        <v>293</v>
      </c>
      <c r="CB20" s="668" t="s">
        <v>293</v>
      </c>
      <c r="CC20" s="668" t="s">
        <v>293</v>
      </c>
      <c r="CD20" s="668" t="s">
        <v>293</v>
      </c>
      <c r="CE20" s="668" t="s">
        <v>293</v>
      </c>
      <c r="CF20" s="668" t="s">
        <v>293</v>
      </c>
      <c r="CG20" s="668" t="s">
        <v>293</v>
      </c>
      <c r="CH20" s="668" t="s">
        <v>293</v>
      </c>
      <c r="CI20" s="668" t="s">
        <v>293</v>
      </c>
      <c r="CJ20" s="668" t="s">
        <v>293</v>
      </c>
      <c r="CK20" s="668" t="s">
        <v>293</v>
      </c>
      <c r="CL20" s="668" t="s">
        <v>293</v>
      </c>
      <c r="CM20" s="662" t="s">
        <v>1272</v>
      </c>
      <c r="CN20" s="668" t="s">
        <v>293</v>
      </c>
      <c r="CO20" s="668" t="s">
        <v>293</v>
      </c>
      <c r="CP20" s="662" t="s">
        <v>1272</v>
      </c>
      <c r="CQ20" s="668" t="s">
        <v>293</v>
      </c>
      <c r="CR20" s="668" t="s">
        <v>293</v>
      </c>
      <c r="CS20" s="668" t="s">
        <v>293</v>
      </c>
      <c r="CT20" s="668" t="s">
        <v>293</v>
      </c>
      <c r="CU20" s="668" t="s">
        <v>293</v>
      </c>
      <c r="CV20" s="662" t="s">
        <v>1271</v>
      </c>
      <c r="CW20" s="668" t="s">
        <v>293</v>
      </c>
      <c r="CX20" s="668" t="s">
        <v>293</v>
      </c>
      <c r="CY20" s="668" t="s">
        <v>293</v>
      </c>
      <c r="CZ20" s="668" t="s">
        <v>293</v>
      </c>
      <c r="DA20" s="668" t="s">
        <v>293</v>
      </c>
      <c r="DB20" s="668" t="s">
        <v>293</v>
      </c>
      <c r="DC20" s="668" t="s">
        <v>293</v>
      </c>
      <c r="DD20" s="668" t="s">
        <v>293</v>
      </c>
      <c r="DE20" s="668" t="s">
        <v>293</v>
      </c>
      <c r="DF20" s="668" t="s">
        <v>293</v>
      </c>
      <c r="DG20" s="668" t="s">
        <v>293</v>
      </c>
      <c r="DH20" s="668" t="s">
        <v>293</v>
      </c>
      <c r="DI20" s="668" t="s">
        <v>293</v>
      </c>
      <c r="DJ20" s="668" t="s">
        <v>293</v>
      </c>
      <c r="DK20" s="668" t="s">
        <v>293</v>
      </c>
      <c r="DL20" s="668" t="s">
        <v>293</v>
      </c>
      <c r="DM20" s="668" t="s">
        <v>293</v>
      </c>
      <c r="DN20" s="668" t="s">
        <v>293</v>
      </c>
      <c r="DO20" s="668" t="s">
        <v>293</v>
      </c>
      <c r="DP20" s="668" t="s">
        <v>293</v>
      </c>
      <c r="DQ20" s="668" t="s">
        <v>293</v>
      </c>
      <c r="DR20" s="668" t="s">
        <v>293</v>
      </c>
      <c r="DS20" s="668" t="s">
        <v>293</v>
      </c>
      <c r="DT20" s="668" t="s">
        <v>293</v>
      </c>
      <c r="DU20" s="668" t="s">
        <v>293</v>
      </c>
      <c r="DV20" s="668" t="s">
        <v>293</v>
      </c>
      <c r="DW20" s="668" t="s">
        <v>293</v>
      </c>
      <c r="DX20" s="668" t="s">
        <v>293</v>
      </c>
      <c r="DY20" s="668" t="s">
        <v>293</v>
      </c>
      <c r="DZ20" s="668" t="s">
        <v>293</v>
      </c>
      <c r="EA20" s="668" t="s">
        <v>293</v>
      </c>
      <c r="EB20" s="668" t="s">
        <v>293</v>
      </c>
      <c r="EC20" s="668" t="s">
        <v>293</v>
      </c>
      <c r="ED20" s="668" t="s">
        <v>293</v>
      </c>
      <c r="EE20" s="668" t="s">
        <v>293</v>
      </c>
      <c r="EF20" s="668" t="s">
        <v>293</v>
      </c>
      <c r="EG20" s="668" t="s">
        <v>293</v>
      </c>
      <c r="EH20" s="668" t="s">
        <v>293</v>
      </c>
      <c r="EI20" s="668" t="s">
        <v>293</v>
      </c>
      <c r="EJ20" s="668" t="s">
        <v>293</v>
      </c>
      <c r="EK20" s="668" t="s">
        <v>293</v>
      </c>
      <c r="EL20" s="668" t="s">
        <v>293</v>
      </c>
      <c r="EM20" s="668" t="s">
        <v>293</v>
      </c>
      <c r="EN20" s="668" t="s">
        <v>293</v>
      </c>
      <c r="EO20" s="668" t="s">
        <v>293</v>
      </c>
      <c r="EP20" s="668" t="s">
        <v>293</v>
      </c>
      <c r="EQ20" s="668" t="s">
        <v>293</v>
      </c>
      <c r="ER20" s="668" t="s">
        <v>293</v>
      </c>
      <c r="ES20" s="668" t="s">
        <v>293</v>
      </c>
      <c r="ET20" s="668" t="s">
        <v>293</v>
      </c>
      <c r="EU20" s="668" t="s">
        <v>293</v>
      </c>
      <c r="EV20" s="668" t="s">
        <v>293</v>
      </c>
      <c r="EW20" s="668" t="s">
        <v>293</v>
      </c>
      <c r="EX20" s="668" t="s">
        <v>293</v>
      </c>
      <c r="EY20" s="668" t="s">
        <v>293</v>
      </c>
      <c r="EZ20" s="668" t="s">
        <v>293</v>
      </c>
      <c r="FA20" s="668" t="s">
        <v>293</v>
      </c>
      <c r="FB20" s="668" t="s">
        <v>293</v>
      </c>
      <c r="FC20" s="668" t="s">
        <v>293</v>
      </c>
      <c r="FD20" s="668" t="s">
        <v>293</v>
      </c>
      <c r="FE20" s="668" t="s">
        <v>293</v>
      </c>
      <c r="FF20" s="668" t="s">
        <v>293</v>
      </c>
      <c r="FG20" s="668" t="s">
        <v>293</v>
      </c>
      <c r="FH20" s="668" t="s">
        <v>293</v>
      </c>
      <c r="FI20" s="668" t="s">
        <v>293</v>
      </c>
      <c r="FJ20" s="668" t="s">
        <v>293</v>
      </c>
      <c r="FK20" s="668" t="s">
        <v>293</v>
      </c>
      <c r="FL20" s="668" t="s">
        <v>293</v>
      </c>
      <c r="FM20" s="668" t="s">
        <v>293</v>
      </c>
      <c r="FN20" s="668" t="s">
        <v>293</v>
      </c>
      <c r="FO20" s="668" t="s">
        <v>293</v>
      </c>
      <c r="FP20" s="668" t="s">
        <v>293</v>
      </c>
      <c r="FQ20" s="668" t="s">
        <v>293</v>
      </c>
      <c r="FR20" s="668" t="s">
        <v>293</v>
      </c>
      <c r="FS20" s="668" t="s">
        <v>293</v>
      </c>
      <c r="FT20" s="668" t="s">
        <v>293</v>
      </c>
      <c r="FU20" s="668" t="s">
        <v>293</v>
      </c>
      <c r="FV20" s="668" t="s">
        <v>293</v>
      </c>
      <c r="FW20" s="668" t="s">
        <v>293</v>
      </c>
      <c r="FX20" s="668" t="s">
        <v>293</v>
      </c>
      <c r="FY20" s="668" t="s">
        <v>293</v>
      </c>
      <c r="FZ20" s="668" t="s">
        <v>293</v>
      </c>
      <c r="GA20" s="668" t="s">
        <v>293</v>
      </c>
      <c r="GB20" s="668" t="s">
        <v>293</v>
      </c>
      <c r="GC20" s="668" t="s">
        <v>293</v>
      </c>
      <c r="GD20" s="668" t="s">
        <v>293</v>
      </c>
      <c r="GE20" s="668" t="s">
        <v>293</v>
      </c>
      <c r="GF20" s="668" t="s">
        <v>293</v>
      </c>
      <c r="GG20" s="668" t="s">
        <v>293</v>
      </c>
      <c r="GH20" s="668" t="s">
        <v>293</v>
      </c>
      <c r="GI20" s="668" t="s">
        <v>293</v>
      </c>
      <c r="GJ20" s="668" t="s">
        <v>293</v>
      </c>
      <c r="GK20" s="668" t="s">
        <v>293</v>
      </c>
      <c r="GL20" s="668" t="s">
        <v>293</v>
      </c>
      <c r="GM20" s="668" t="s">
        <v>293</v>
      </c>
      <c r="GN20" s="668" t="s">
        <v>293</v>
      </c>
      <c r="GO20" s="668" t="s">
        <v>293</v>
      </c>
    </row>
    <row r="21" spans="1:197" ht="41.25" customHeight="1">
      <c r="A21" s="775" t="s">
        <v>1270</v>
      </c>
      <c r="B21" s="815" t="s">
        <v>1269</v>
      </c>
      <c r="C21" s="790" t="s">
        <v>1268</v>
      </c>
      <c r="D21" s="790" t="s">
        <v>1267</v>
      </c>
      <c r="E21" s="790" t="s">
        <v>1266</v>
      </c>
      <c r="F21" s="668" t="s">
        <v>293</v>
      </c>
      <c r="G21" s="790" t="s">
        <v>1265</v>
      </c>
      <c r="H21" s="815" t="s">
        <v>1264</v>
      </c>
      <c r="I21" s="815" t="s">
        <v>1264</v>
      </c>
      <c r="J21" s="790" t="s">
        <v>1259</v>
      </c>
      <c r="K21" s="790" t="s">
        <v>1259</v>
      </c>
      <c r="L21" s="790" t="s">
        <v>293</v>
      </c>
      <c r="M21" s="790" t="s">
        <v>293</v>
      </c>
      <c r="N21" s="790" t="s">
        <v>1263</v>
      </c>
      <c r="O21" s="790" t="s">
        <v>1263</v>
      </c>
      <c r="P21" s="790" t="s">
        <v>293</v>
      </c>
      <c r="Q21" s="790" t="s">
        <v>293</v>
      </c>
      <c r="R21" s="790" t="s">
        <v>293</v>
      </c>
      <c r="S21" s="790" t="s">
        <v>293</v>
      </c>
      <c r="T21" s="790" t="s">
        <v>293</v>
      </c>
      <c r="U21" s="790" t="s">
        <v>1262</v>
      </c>
      <c r="V21" s="790" t="s">
        <v>293</v>
      </c>
      <c r="W21" s="790" t="s">
        <v>293</v>
      </c>
      <c r="X21" s="790" t="s">
        <v>293</v>
      </c>
      <c r="Y21" s="790" t="s">
        <v>1261</v>
      </c>
      <c r="Z21" s="790" t="s">
        <v>1261</v>
      </c>
      <c r="AA21" s="668" t="s">
        <v>293</v>
      </c>
      <c r="AB21" s="790" t="s">
        <v>1257</v>
      </c>
      <c r="AC21" s="790" t="s">
        <v>293</v>
      </c>
      <c r="AD21" s="790" t="s">
        <v>1257</v>
      </c>
      <c r="AE21" s="790" t="s">
        <v>1257</v>
      </c>
      <c r="AF21" s="790" t="s">
        <v>1257</v>
      </c>
      <c r="AG21" s="790" t="s">
        <v>1257</v>
      </c>
      <c r="AH21" s="668" t="s">
        <v>293</v>
      </c>
      <c r="AI21" s="790" t="s">
        <v>1063</v>
      </c>
      <c r="AJ21" s="790" t="s">
        <v>1063</v>
      </c>
      <c r="AK21" s="790" t="s">
        <v>1063</v>
      </c>
      <c r="AL21" s="790" t="s">
        <v>1063</v>
      </c>
      <c r="AM21" s="790" t="s">
        <v>1260</v>
      </c>
      <c r="AN21" s="668" t="s">
        <v>293</v>
      </c>
      <c r="AO21" s="790" t="s">
        <v>1259</v>
      </c>
      <c r="AP21" s="790" t="s">
        <v>1257</v>
      </c>
      <c r="AQ21" s="790" t="s">
        <v>1259</v>
      </c>
      <c r="AR21" s="668" t="s">
        <v>293</v>
      </c>
      <c r="AS21" s="790" t="s">
        <v>1259</v>
      </c>
      <c r="AT21" s="790" t="s">
        <v>1257</v>
      </c>
      <c r="AU21" s="668" t="s">
        <v>293</v>
      </c>
      <c r="AV21" s="668" t="s">
        <v>293</v>
      </c>
      <c r="AW21" s="668" t="s">
        <v>293</v>
      </c>
      <c r="AX21" s="668" t="s">
        <v>293</v>
      </c>
      <c r="AY21" s="790" t="s">
        <v>1257</v>
      </c>
      <c r="AZ21" s="668" t="s">
        <v>293</v>
      </c>
      <c r="BA21" s="668" t="s">
        <v>293</v>
      </c>
      <c r="BB21" s="668" t="s">
        <v>293</v>
      </c>
      <c r="BC21" s="668" t="s">
        <v>293</v>
      </c>
      <c r="BD21" s="790" t="s">
        <v>1258</v>
      </c>
      <c r="BE21" s="668" t="s">
        <v>293</v>
      </c>
      <c r="BF21" s="668" t="s">
        <v>293</v>
      </c>
      <c r="BG21" s="668" t="s">
        <v>293</v>
      </c>
      <c r="BH21" s="668" t="s">
        <v>293</v>
      </c>
      <c r="BI21" s="668" t="s">
        <v>293</v>
      </c>
      <c r="BJ21" s="790" t="s">
        <v>895</v>
      </c>
      <c r="BK21" s="790" t="s">
        <v>1257</v>
      </c>
      <c r="BL21" s="790" t="s">
        <v>896</v>
      </c>
      <c r="BM21" s="790" t="s">
        <v>1256</v>
      </c>
      <c r="BN21" s="790" t="s">
        <v>1256</v>
      </c>
      <c r="BO21" s="668" t="s">
        <v>293</v>
      </c>
      <c r="BP21" s="790" t="s">
        <v>901</v>
      </c>
      <c r="BQ21" s="668" t="s">
        <v>293</v>
      </c>
      <c r="BR21" s="790" t="s">
        <v>1059</v>
      </c>
      <c r="BS21" s="668" t="s">
        <v>293</v>
      </c>
      <c r="BT21" s="790" t="s">
        <v>1252</v>
      </c>
      <c r="BU21" s="790" t="s">
        <v>1252</v>
      </c>
      <c r="BV21" s="790" t="s">
        <v>1255</v>
      </c>
      <c r="BW21" s="790" t="s">
        <v>1248</v>
      </c>
      <c r="BX21" s="668" t="s">
        <v>293</v>
      </c>
      <c r="BY21" s="668" t="s">
        <v>293</v>
      </c>
      <c r="BZ21" s="668" t="s">
        <v>293</v>
      </c>
      <c r="CA21" s="668" t="s">
        <v>293</v>
      </c>
      <c r="CB21" s="668" t="s">
        <v>293</v>
      </c>
      <c r="CC21" s="790" t="s">
        <v>901</v>
      </c>
      <c r="CD21" s="668" t="s">
        <v>293</v>
      </c>
      <c r="CE21" s="668" t="s">
        <v>293</v>
      </c>
      <c r="CF21" s="790" t="s">
        <v>901</v>
      </c>
      <c r="CG21" s="790" t="s">
        <v>901</v>
      </c>
      <c r="CH21" s="668" t="s">
        <v>293</v>
      </c>
      <c r="CI21" s="790" t="s">
        <v>1254</v>
      </c>
      <c r="CJ21" s="668" t="s">
        <v>293</v>
      </c>
      <c r="CK21" s="790" t="s">
        <v>1253</v>
      </c>
      <c r="CL21" s="668" t="s">
        <v>293</v>
      </c>
      <c r="CM21" s="790" t="s">
        <v>1253</v>
      </c>
      <c r="CN21" s="790" t="s">
        <v>1252</v>
      </c>
      <c r="CO21" s="790" t="s">
        <v>1251</v>
      </c>
      <c r="CP21" s="790" t="s">
        <v>1250</v>
      </c>
      <c r="CQ21" s="790" t="s">
        <v>1249</v>
      </c>
      <c r="CR21" s="668" t="s">
        <v>293</v>
      </c>
      <c r="CS21" s="668" t="s">
        <v>293</v>
      </c>
      <c r="CT21" s="668" t="s">
        <v>293</v>
      </c>
      <c r="CU21" s="790" t="s">
        <v>1248</v>
      </c>
      <c r="CV21" s="668" t="s">
        <v>293</v>
      </c>
      <c r="CW21" s="668" t="s">
        <v>293</v>
      </c>
      <c r="CX21" s="668" t="s">
        <v>293</v>
      </c>
      <c r="CY21" s="668" t="s">
        <v>293</v>
      </c>
      <c r="CZ21" s="668" t="s">
        <v>293</v>
      </c>
      <c r="DA21" s="668" t="s">
        <v>293</v>
      </c>
      <c r="DB21" s="668" t="s">
        <v>293</v>
      </c>
      <c r="DC21" s="668" t="s">
        <v>293</v>
      </c>
      <c r="DD21" s="668" t="s">
        <v>293</v>
      </c>
      <c r="DE21" s="668" t="s">
        <v>293</v>
      </c>
      <c r="DF21" s="668" t="s">
        <v>293</v>
      </c>
      <c r="DG21" s="668" t="s">
        <v>293</v>
      </c>
      <c r="DH21" s="668" t="s">
        <v>293</v>
      </c>
      <c r="DI21" s="668" t="s">
        <v>293</v>
      </c>
      <c r="DJ21" s="668" t="s">
        <v>293</v>
      </c>
      <c r="DK21" s="668" t="s">
        <v>293</v>
      </c>
      <c r="DL21" s="668" t="s">
        <v>293</v>
      </c>
      <c r="DM21" s="668" t="s">
        <v>293</v>
      </c>
      <c r="DN21" s="668" t="s">
        <v>293</v>
      </c>
      <c r="DO21" s="668" t="s">
        <v>293</v>
      </c>
      <c r="DP21" s="668" t="s">
        <v>293</v>
      </c>
      <c r="DQ21" s="668" t="s">
        <v>293</v>
      </c>
      <c r="DR21" s="668" t="s">
        <v>293</v>
      </c>
      <c r="DS21" s="668" t="s">
        <v>293</v>
      </c>
      <c r="DT21" s="668" t="s">
        <v>293</v>
      </c>
      <c r="DU21" s="668" t="s">
        <v>293</v>
      </c>
      <c r="DV21" s="668" t="s">
        <v>293</v>
      </c>
      <c r="DW21" s="668" t="s">
        <v>293</v>
      </c>
      <c r="DX21" s="668" t="s">
        <v>293</v>
      </c>
      <c r="DY21" s="668" t="s">
        <v>293</v>
      </c>
      <c r="DZ21" s="668" t="s">
        <v>293</v>
      </c>
      <c r="EA21" s="668" t="s">
        <v>293</v>
      </c>
      <c r="EB21" s="668" t="s">
        <v>293</v>
      </c>
      <c r="EC21" s="668" t="s">
        <v>293</v>
      </c>
      <c r="ED21" s="668" t="s">
        <v>293</v>
      </c>
      <c r="EE21" s="668" t="s">
        <v>293</v>
      </c>
      <c r="EF21" s="668" t="s">
        <v>293</v>
      </c>
      <c r="EG21" s="668" t="s">
        <v>293</v>
      </c>
      <c r="EH21" s="668" t="s">
        <v>293</v>
      </c>
      <c r="EI21" s="668" t="s">
        <v>293</v>
      </c>
      <c r="EJ21" s="668" t="s">
        <v>293</v>
      </c>
      <c r="EK21" s="668" t="s">
        <v>293</v>
      </c>
      <c r="EL21" s="668" t="s">
        <v>293</v>
      </c>
      <c r="EM21" s="668" t="s">
        <v>293</v>
      </c>
      <c r="EN21" s="668" t="s">
        <v>293</v>
      </c>
      <c r="EO21" s="668" t="s">
        <v>293</v>
      </c>
      <c r="EP21" s="668" t="s">
        <v>293</v>
      </c>
      <c r="EQ21" s="668" t="s">
        <v>293</v>
      </c>
      <c r="ER21" s="668" t="s">
        <v>293</v>
      </c>
      <c r="ES21" s="668" t="s">
        <v>293</v>
      </c>
      <c r="ET21" s="668" t="s">
        <v>293</v>
      </c>
      <c r="EU21" s="668" t="s">
        <v>293</v>
      </c>
      <c r="EV21" s="668" t="s">
        <v>293</v>
      </c>
      <c r="EW21" s="668" t="s">
        <v>293</v>
      </c>
      <c r="EX21" s="668" t="s">
        <v>293</v>
      </c>
      <c r="EY21" s="668" t="s">
        <v>293</v>
      </c>
      <c r="EZ21" s="668" t="s">
        <v>293</v>
      </c>
      <c r="FA21" s="668" t="s">
        <v>293</v>
      </c>
      <c r="FB21" s="668" t="s">
        <v>293</v>
      </c>
      <c r="FC21" s="668" t="s">
        <v>293</v>
      </c>
      <c r="FD21" s="668" t="s">
        <v>293</v>
      </c>
      <c r="FE21" s="668" t="s">
        <v>293</v>
      </c>
      <c r="FF21" s="668" t="s">
        <v>293</v>
      </c>
      <c r="FG21" s="668" t="s">
        <v>293</v>
      </c>
      <c r="FH21" s="668" t="s">
        <v>293</v>
      </c>
      <c r="FI21" s="668" t="s">
        <v>293</v>
      </c>
      <c r="FJ21" s="668" t="s">
        <v>293</v>
      </c>
      <c r="FK21" s="668" t="s">
        <v>293</v>
      </c>
      <c r="FL21" s="668" t="s">
        <v>293</v>
      </c>
      <c r="FM21" s="668" t="s">
        <v>293</v>
      </c>
      <c r="FN21" s="668" t="s">
        <v>293</v>
      </c>
      <c r="FO21" s="668" t="s">
        <v>293</v>
      </c>
      <c r="FP21" s="668" t="s">
        <v>293</v>
      </c>
      <c r="FQ21" s="668" t="s">
        <v>293</v>
      </c>
      <c r="FR21" s="668" t="s">
        <v>293</v>
      </c>
      <c r="FS21" s="668" t="s">
        <v>293</v>
      </c>
      <c r="FT21" s="668" t="s">
        <v>293</v>
      </c>
      <c r="FU21" s="668" t="s">
        <v>293</v>
      </c>
      <c r="FV21" s="668" t="s">
        <v>293</v>
      </c>
      <c r="FW21" s="668" t="s">
        <v>293</v>
      </c>
      <c r="FX21" s="668" t="s">
        <v>293</v>
      </c>
      <c r="FY21" s="668" t="s">
        <v>293</v>
      </c>
      <c r="FZ21" s="668" t="s">
        <v>293</v>
      </c>
      <c r="GA21" s="668" t="s">
        <v>293</v>
      </c>
      <c r="GB21" s="668" t="s">
        <v>293</v>
      </c>
      <c r="GC21" s="668" t="s">
        <v>293</v>
      </c>
      <c r="GD21" s="668" t="s">
        <v>293</v>
      </c>
      <c r="GE21" s="668" t="s">
        <v>293</v>
      </c>
      <c r="GF21" s="668" t="s">
        <v>293</v>
      </c>
      <c r="GG21" s="668" t="s">
        <v>293</v>
      </c>
      <c r="GH21" s="668" t="s">
        <v>293</v>
      </c>
      <c r="GI21" s="668" t="s">
        <v>293</v>
      </c>
      <c r="GJ21" s="668" t="s">
        <v>293</v>
      </c>
      <c r="GK21" s="668" t="s">
        <v>293</v>
      </c>
      <c r="GL21" s="668" t="s">
        <v>293</v>
      </c>
      <c r="GM21" s="668" t="s">
        <v>293</v>
      </c>
      <c r="GN21" s="668" t="s">
        <v>293</v>
      </c>
      <c r="GO21" s="668" t="s">
        <v>293</v>
      </c>
    </row>
    <row r="22" spans="1:197" ht="12.75">
      <c r="A22" s="728" t="s">
        <v>1247</v>
      </c>
      <c r="B22" s="664" t="s">
        <v>1242</v>
      </c>
      <c r="C22" s="664" t="s">
        <v>1242</v>
      </c>
      <c r="D22" s="664" t="s">
        <v>1242</v>
      </c>
      <c r="E22" s="664" t="s">
        <v>1242</v>
      </c>
      <c r="F22" s="668" t="s">
        <v>293</v>
      </c>
      <c r="G22" s="664" t="s">
        <v>1242</v>
      </c>
      <c r="H22" s="664" t="s">
        <v>1242</v>
      </c>
      <c r="I22" s="664" t="s">
        <v>1242</v>
      </c>
      <c r="J22" s="664" t="s">
        <v>1242</v>
      </c>
      <c r="K22" s="664" t="s">
        <v>1242</v>
      </c>
      <c r="L22" s="668" t="s">
        <v>293</v>
      </c>
      <c r="M22" s="668" t="s">
        <v>293</v>
      </c>
      <c r="N22" s="662" t="s">
        <v>1243</v>
      </c>
      <c r="O22" s="662" t="s">
        <v>1243</v>
      </c>
      <c r="P22" s="668" t="s">
        <v>293</v>
      </c>
      <c r="Q22" s="668" t="s">
        <v>293</v>
      </c>
      <c r="R22" s="668" t="s">
        <v>293</v>
      </c>
      <c r="S22" s="668" t="s">
        <v>293</v>
      </c>
      <c r="T22" s="668" t="s">
        <v>293</v>
      </c>
      <c r="U22" s="662" t="s">
        <v>1242</v>
      </c>
      <c r="V22" s="668" t="s">
        <v>293</v>
      </c>
      <c r="W22" s="668" t="s">
        <v>293</v>
      </c>
      <c r="X22" s="668" t="s">
        <v>293</v>
      </c>
      <c r="Y22" s="662" t="s">
        <v>1243</v>
      </c>
      <c r="Z22" s="662" t="s">
        <v>1243</v>
      </c>
      <c r="AA22" s="668" t="s">
        <v>293</v>
      </c>
      <c r="AB22" s="662" t="s">
        <v>1243</v>
      </c>
      <c r="AC22" s="668" t="s">
        <v>293</v>
      </c>
      <c r="AD22" s="662" t="s">
        <v>1243</v>
      </c>
      <c r="AE22" s="662" t="s">
        <v>1243</v>
      </c>
      <c r="AF22" s="662" t="s">
        <v>1243</v>
      </c>
      <c r="AG22" s="662" t="s">
        <v>1243</v>
      </c>
      <c r="AH22" s="668" t="s">
        <v>293</v>
      </c>
      <c r="AI22" s="662" t="s">
        <v>1242</v>
      </c>
      <c r="AJ22" s="662" t="s">
        <v>1242</v>
      </c>
      <c r="AK22" s="662" t="s">
        <v>1242</v>
      </c>
      <c r="AL22" s="662" t="s">
        <v>1242</v>
      </c>
      <c r="AM22" s="662" t="s">
        <v>1242</v>
      </c>
      <c r="AN22" s="668" t="s">
        <v>293</v>
      </c>
      <c r="AO22" s="662" t="s">
        <v>1243</v>
      </c>
      <c r="AP22" s="662" t="s">
        <v>1243</v>
      </c>
      <c r="AQ22" s="662" t="s">
        <v>1243</v>
      </c>
      <c r="AR22" s="668" t="s">
        <v>293</v>
      </c>
      <c r="AS22" s="662" t="s">
        <v>1243</v>
      </c>
      <c r="AT22" s="662" t="s">
        <v>1243</v>
      </c>
      <c r="AU22" s="668" t="s">
        <v>293</v>
      </c>
      <c r="AV22" s="668" t="s">
        <v>293</v>
      </c>
      <c r="AW22" s="668" t="s">
        <v>293</v>
      </c>
      <c r="AX22" s="668" t="s">
        <v>293</v>
      </c>
      <c r="AY22" s="662" t="s">
        <v>1243</v>
      </c>
      <c r="AZ22" s="668" t="s">
        <v>293</v>
      </c>
      <c r="BA22" s="668" t="s">
        <v>293</v>
      </c>
      <c r="BB22" s="668" t="s">
        <v>293</v>
      </c>
      <c r="BC22" s="668" t="s">
        <v>293</v>
      </c>
      <c r="BD22" s="662" t="s">
        <v>1243</v>
      </c>
      <c r="BE22" s="668" t="s">
        <v>293</v>
      </c>
      <c r="BF22" s="668" t="s">
        <v>293</v>
      </c>
      <c r="BG22" s="668" t="s">
        <v>293</v>
      </c>
      <c r="BH22" s="668" t="s">
        <v>293</v>
      </c>
      <c r="BI22" s="668" t="s">
        <v>293</v>
      </c>
      <c r="BJ22" s="662" t="s">
        <v>1242</v>
      </c>
      <c r="BK22" s="662" t="s">
        <v>1242</v>
      </c>
      <c r="BL22" s="662" t="s">
        <v>1242</v>
      </c>
      <c r="BM22" s="662" t="s">
        <v>1242</v>
      </c>
      <c r="BN22" s="662" t="s">
        <v>1242</v>
      </c>
      <c r="BO22" s="668" t="s">
        <v>293</v>
      </c>
      <c r="BP22" s="662" t="s">
        <v>1242</v>
      </c>
      <c r="BQ22" s="668" t="s">
        <v>293</v>
      </c>
      <c r="BR22" s="662" t="s">
        <v>1245</v>
      </c>
      <c r="BS22" s="668" t="s">
        <v>293</v>
      </c>
      <c r="BT22" s="662" t="s">
        <v>1245</v>
      </c>
      <c r="BU22" s="662" t="s">
        <v>1245</v>
      </c>
      <c r="BV22" s="662" t="s">
        <v>1245</v>
      </c>
      <c r="BW22" s="662" t="s">
        <v>1246</v>
      </c>
      <c r="BX22" s="668" t="s">
        <v>293</v>
      </c>
      <c r="BY22" s="668" t="s">
        <v>293</v>
      </c>
      <c r="BZ22" s="668" t="s">
        <v>293</v>
      </c>
      <c r="CA22" s="668" t="s">
        <v>293</v>
      </c>
      <c r="CB22" s="668" t="s">
        <v>293</v>
      </c>
      <c r="CC22" s="662" t="s">
        <v>1245</v>
      </c>
      <c r="CD22" s="668" t="s">
        <v>293</v>
      </c>
      <c r="CE22" s="668" t="s">
        <v>293</v>
      </c>
      <c r="CF22" s="662" t="s">
        <v>1245</v>
      </c>
      <c r="CG22" s="662" t="s">
        <v>1245</v>
      </c>
      <c r="CH22" s="668" t="s">
        <v>293</v>
      </c>
      <c r="CI22" s="662" t="s">
        <v>1245</v>
      </c>
      <c r="CJ22" s="668" t="s">
        <v>293</v>
      </c>
      <c r="CK22" s="662" t="s">
        <v>1245</v>
      </c>
      <c r="CL22" s="668" t="s">
        <v>293</v>
      </c>
      <c r="CM22" s="662" t="s">
        <v>1245</v>
      </c>
      <c r="CN22" s="662" t="s">
        <v>1245</v>
      </c>
      <c r="CO22" s="662" t="s">
        <v>1245</v>
      </c>
      <c r="CP22" s="662" t="s">
        <v>1245</v>
      </c>
      <c r="CQ22" s="662" t="s">
        <v>1245</v>
      </c>
      <c r="CR22" s="668" t="s">
        <v>293</v>
      </c>
      <c r="CS22" s="668" t="s">
        <v>293</v>
      </c>
      <c r="CT22" s="668" t="s">
        <v>293</v>
      </c>
      <c r="CU22" s="662" t="s">
        <v>1245</v>
      </c>
      <c r="CV22" s="668" t="s">
        <v>293</v>
      </c>
      <c r="CW22" s="668" t="s">
        <v>293</v>
      </c>
      <c r="CX22" s="668" t="s">
        <v>293</v>
      </c>
      <c r="CY22" s="668" t="s">
        <v>293</v>
      </c>
      <c r="CZ22" s="668" t="s">
        <v>293</v>
      </c>
      <c r="DA22" s="668" t="s">
        <v>293</v>
      </c>
      <c r="DB22" s="668" t="s">
        <v>293</v>
      </c>
      <c r="DC22" s="668" t="s">
        <v>293</v>
      </c>
      <c r="DD22" s="668" t="s">
        <v>293</v>
      </c>
      <c r="DE22" s="668" t="s">
        <v>293</v>
      </c>
      <c r="DF22" s="668" t="s">
        <v>293</v>
      </c>
      <c r="DG22" s="668" t="s">
        <v>293</v>
      </c>
      <c r="DH22" s="668" t="s">
        <v>293</v>
      </c>
      <c r="DI22" s="668" t="s">
        <v>293</v>
      </c>
      <c r="DJ22" s="668" t="s">
        <v>293</v>
      </c>
      <c r="DK22" s="668" t="s">
        <v>293</v>
      </c>
      <c r="DL22" s="668" t="s">
        <v>293</v>
      </c>
      <c r="DM22" s="668" t="s">
        <v>293</v>
      </c>
      <c r="DN22" s="668" t="s">
        <v>293</v>
      </c>
      <c r="DO22" s="668" t="s">
        <v>293</v>
      </c>
      <c r="DP22" s="668" t="s">
        <v>293</v>
      </c>
      <c r="DQ22" s="668" t="s">
        <v>293</v>
      </c>
      <c r="DR22" s="668" t="s">
        <v>293</v>
      </c>
      <c r="DS22" s="668" t="s">
        <v>293</v>
      </c>
      <c r="DT22" s="668" t="s">
        <v>293</v>
      </c>
      <c r="DU22" s="668" t="s">
        <v>293</v>
      </c>
      <c r="DV22" s="668" t="s">
        <v>293</v>
      </c>
      <c r="DW22" s="668" t="s">
        <v>293</v>
      </c>
      <c r="DX22" s="668" t="s">
        <v>293</v>
      </c>
      <c r="DY22" s="668" t="s">
        <v>293</v>
      </c>
      <c r="DZ22" s="668" t="s">
        <v>293</v>
      </c>
      <c r="EA22" s="668" t="s">
        <v>293</v>
      </c>
      <c r="EB22" s="668" t="s">
        <v>293</v>
      </c>
      <c r="EC22" s="668" t="s">
        <v>293</v>
      </c>
      <c r="ED22" s="668" t="s">
        <v>293</v>
      </c>
      <c r="EE22" s="668" t="s">
        <v>293</v>
      </c>
      <c r="EF22" s="668" t="s">
        <v>293</v>
      </c>
      <c r="EG22" s="668" t="s">
        <v>293</v>
      </c>
      <c r="EH22" s="668" t="s">
        <v>293</v>
      </c>
      <c r="EI22" s="668" t="s">
        <v>293</v>
      </c>
      <c r="EJ22" s="668" t="s">
        <v>293</v>
      </c>
      <c r="EK22" s="668" t="s">
        <v>293</v>
      </c>
      <c r="EL22" s="668" t="s">
        <v>293</v>
      </c>
      <c r="EM22" s="668" t="s">
        <v>293</v>
      </c>
      <c r="EN22" s="668" t="s">
        <v>293</v>
      </c>
      <c r="EO22" s="668" t="s">
        <v>293</v>
      </c>
      <c r="EP22" s="668" t="s">
        <v>293</v>
      </c>
      <c r="EQ22" s="668" t="s">
        <v>293</v>
      </c>
      <c r="ER22" s="668" t="s">
        <v>293</v>
      </c>
      <c r="ES22" s="668" t="s">
        <v>293</v>
      </c>
      <c r="ET22" s="668" t="s">
        <v>293</v>
      </c>
      <c r="EU22" s="668" t="s">
        <v>293</v>
      </c>
      <c r="EV22" s="668" t="s">
        <v>293</v>
      </c>
      <c r="EW22" s="668" t="s">
        <v>293</v>
      </c>
      <c r="EX22" s="668" t="s">
        <v>293</v>
      </c>
      <c r="EY22" s="668" t="s">
        <v>293</v>
      </c>
      <c r="EZ22" s="668" t="s">
        <v>293</v>
      </c>
      <c r="FA22" s="668" t="s">
        <v>293</v>
      </c>
      <c r="FB22" s="668" t="s">
        <v>293</v>
      </c>
      <c r="FC22" s="668" t="s">
        <v>293</v>
      </c>
      <c r="FD22" s="668" t="s">
        <v>293</v>
      </c>
      <c r="FE22" s="668" t="s">
        <v>293</v>
      </c>
      <c r="FF22" s="668" t="s">
        <v>293</v>
      </c>
      <c r="FG22" s="668" t="s">
        <v>293</v>
      </c>
      <c r="FH22" s="668" t="s">
        <v>293</v>
      </c>
      <c r="FI22" s="668" t="s">
        <v>293</v>
      </c>
      <c r="FJ22" s="668" t="s">
        <v>293</v>
      </c>
      <c r="FK22" s="668" t="s">
        <v>293</v>
      </c>
      <c r="FL22" s="668" t="s">
        <v>293</v>
      </c>
      <c r="FM22" s="668" t="s">
        <v>293</v>
      </c>
      <c r="FN22" s="668" t="s">
        <v>293</v>
      </c>
      <c r="FO22" s="668" t="s">
        <v>293</v>
      </c>
      <c r="FP22" s="668" t="s">
        <v>293</v>
      </c>
      <c r="FQ22" s="668" t="s">
        <v>293</v>
      </c>
      <c r="FR22" s="668" t="s">
        <v>293</v>
      </c>
      <c r="FS22" s="668" t="s">
        <v>293</v>
      </c>
      <c r="FT22" s="668" t="s">
        <v>293</v>
      </c>
      <c r="FU22" s="668" t="s">
        <v>293</v>
      </c>
      <c r="FV22" s="668" t="s">
        <v>293</v>
      </c>
      <c r="FW22" s="668" t="s">
        <v>293</v>
      </c>
      <c r="FX22" s="668" t="s">
        <v>293</v>
      </c>
      <c r="FY22" s="668" t="s">
        <v>293</v>
      </c>
      <c r="FZ22" s="668" t="s">
        <v>293</v>
      </c>
      <c r="GA22" s="668" t="s">
        <v>293</v>
      </c>
      <c r="GB22" s="668" t="s">
        <v>293</v>
      </c>
      <c r="GC22" s="668" t="s">
        <v>293</v>
      </c>
      <c r="GD22" s="668" t="s">
        <v>293</v>
      </c>
      <c r="GE22" s="668" t="s">
        <v>293</v>
      </c>
      <c r="GF22" s="668" t="s">
        <v>293</v>
      </c>
      <c r="GG22" s="668" t="s">
        <v>293</v>
      </c>
      <c r="GH22" s="668" t="s">
        <v>293</v>
      </c>
      <c r="GI22" s="668" t="s">
        <v>293</v>
      </c>
      <c r="GJ22" s="668" t="s">
        <v>293</v>
      </c>
      <c r="GK22" s="668" t="s">
        <v>293</v>
      </c>
      <c r="GL22" s="668" t="s">
        <v>293</v>
      </c>
      <c r="GM22" s="668" t="s">
        <v>293</v>
      </c>
      <c r="GN22" s="668" t="s">
        <v>293</v>
      </c>
      <c r="GO22" s="668" t="s">
        <v>293</v>
      </c>
    </row>
    <row r="23" spans="1:197" ht="12.75">
      <c r="A23" s="728" t="s">
        <v>1244</v>
      </c>
      <c r="B23" s="664" t="s">
        <v>1242</v>
      </c>
      <c r="C23" s="664" t="s">
        <v>1242</v>
      </c>
      <c r="D23" s="664" t="s">
        <v>1242</v>
      </c>
      <c r="E23" s="664" t="s">
        <v>1242</v>
      </c>
      <c r="F23" s="668" t="s">
        <v>293</v>
      </c>
      <c r="G23" s="664" t="s">
        <v>1242</v>
      </c>
      <c r="H23" s="664" t="s">
        <v>1242</v>
      </c>
      <c r="I23" s="664" t="s">
        <v>1242</v>
      </c>
      <c r="J23" s="664" t="s">
        <v>1242</v>
      </c>
      <c r="K23" s="664" t="s">
        <v>1242</v>
      </c>
      <c r="L23" s="668" t="s">
        <v>293</v>
      </c>
      <c r="M23" s="668" t="s">
        <v>293</v>
      </c>
      <c r="N23" s="662" t="s">
        <v>1243</v>
      </c>
      <c r="O23" s="662" t="s">
        <v>1243</v>
      </c>
      <c r="P23" s="668" t="s">
        <v>293</v>
      </c>
      <c r="Q23" s="668" t="s">
        <v>293</v>
      </c>
      <c r="R23" s="668" t="s">
        <v>293</v>
      </c>
      <c r="S23" s="668" t="s">
        <v>293</v>
      </c>
      <c r="T23" s="668" t="s">
        <v>293</v>
      </c>
      <c r="U23" s="662" t="s">
        <v>1242</v>
      </c>
      <c r="V23" s="668" t="s">
        <v>293</v>
      </c>
      <c r="W23" s="668" t="s">
        <v>293</v>
      </c>
      <c r="X23" s="668" t="s">
        <v>293</v>
      </c>
      <c r="Y23" s="662" t="s">
        <v>1243</v>
      </c>
      <c r="Z23" s="662" t="s">
        <v>1243</v>
      </c>
      <c r="AA23" s="668" t="s">
        <v>293</v>
      </c>
      <c r="AB23" s="662" t="s">
        <v>1243</v>
      </c>
      <c r="AC23" s="668" t="s">
        <v>293</v>
      </c>
      <c r="AD23" s="662" t="s">
        <v>1243</v>
      </c>
      <c r="AE23" s="662" t="s">
        <v>1243</v>
      </c>
      <c r="AF23" s="662" t="s">
        <v>1243</v>
      </c>
      <c r="AG23" s="662" t="s">
        <v>1243</v>
      </c>
      <c r="AH23" s="668" t="s">
        <v>293</v>
      </c>
      <c r="AI23" s="662" t="s">
        <v>1242</v>
      </c>
      <c r="AJ23" s="662" t="s">
        <v>1242</v>
      </c>
      <c r="AK23" s="662" t="s">
        <v>1242</v>
      </c>
      <c r="AL23" s="662" t="s">
        <v>1242</v>
      </c>
      <c r="AM23" s="662" t="s">
        <v>1242</v>
      </c>
      <c r="AN23" s="668" t="s">
        <v>293</v>
      </c>
      <c r="AO23" s="662" t="s">
        <v>1243</v>
      </c>
      <c r="AP23" s="662" t="s">
        <v>1243</v>
      </c>
      <c r="AQ23" s="662" t="s">
        <v>1243</v>
      </c>
      <c r="AR23" s="668" t="s">
        <v>293</v>
      </c>
      <c r="AS23" s="662" t="s">
        <v>1243</v>
      </c>
      <c r="AT23" s="662" t="s">
        <v>1243</v>
      </c>
      <c r="AU23" s="668" t="s">
        <v>293</v>
      </c>
      <c r="AV23" s="668" t="s">
        <v>293</v>
      </c>
      <c r="AW23" s="668" t="s">
        <v>293</v>
      </c>
      <c r="AX23" s="668" t="s">
        <v>293</v>
      </c>
      <c r="AY23" s="662" t="s">
        <v>1243</v>
      </c>
      <c r="AZ23" s="668" t="s">
        <v>293</v>
      </c>
      <c r="BA23" s="668" t="s">
        <v>293</v>
      </c>
      <c r="BB23" s="668" t="s">
        <v>293</v>
      </c>
      <c r="BC23" s="668" t="s">
        <v>293</v>
      </c>
      <c r="BD23" s="662" t="s">
        <v>1243</v>
      </c>
      <c r="BE23" s="668" t="s">
        <v>293</v>
      </c>
      <c r="BF23" s="668" t="s">
        <v>293</v>
      </c>
      <c r="BG23" s="668" t="s">
        <v>293</v>
      </c>
      <c r="BH23" s="668" t="s">
        <v>293</v>
      </c>
      <c r="BI23" s="668" t="s">
        <v>293</v>
      </c>
      <c r="BJ23" s="662" t="s">
        <v>1242</v>
      </c>
      <c r="BK23" s="662" t="s">
        <v>1242</v>
      </c>
      <c r="BL23" s="662" t="s">
        <v>1242</v>
      </c>
      <c r="BM23" s="662" t="s">
        <v>1242</v>
      </c>
      <c r="BN23" s="662" t="s">
        <v>1242</v>
      </c>
      <c r="BO23" s="668" t="s">
        <v>293</v>
      </c>
      <c r="BP23" s="662" t="s">
        <v>1242</v>
      </c>
      <c r="BQ23" s="668" t="s">
        <v>293</v>
      </c>
      <c r="BR23" s="662" t="s">
        <v>1240</v>
      </c>
      <c r="BS23" s="668" t="s">
        <v>293</v>
      </c>
      <c r="BT23" s="662" t="s">
        <v>1240</v>
      </c>
      <c r="BU23" s="662" t="s">
        <v>1240</v>
      </c>
      <c r="BV23" s="662" t="s">
        <v>1240</v>
      </c>
      <c r="BW23" s="662" t="s">
        <v>1241</v>
      </c>
      <c r="BX23" s="668" t="s">
        <v>293</v>
      </c>
      <c r="BY23" s="668" t="s">
        <v>293</v>
      </c>
      <c r="BZ23" s="668" t="s">
        <v>293</v>
      </c>
      <c r="CA23" s="668" t="s">
        <v>293</v>
      </c>
      <c r="CB23" s="668" t="s">
        <v>293</v>
      </c>
      <c r="CC23" s="662" t="s">
        <v>1240</v>
      </c>
      <c r="CD23" s="668" t="s">
        <v>293</v>
      </c>
      <c r="CE23" s="668" t="s">
        <v>293</v>
      </c>
      <c r="CF23" s="662" t="s">
        <v>1240</v>
      </c>
      <c r="CG23" s="662" t="s">
        <v>1240</v>
      </c>
      <c r="CH23" s="668" t="s">
        <v>293</v>
      </c>
      <c r="CI23" s="662" t="s">
        <v>1240</v>
      </c>
      <c r="CJ23" s="668" t="s">
        <v>293</v>
      </c>
      <c r="CK23" s="662" t="s">
        <v>1240</v>
      </c>
      <c r="CL23" s="668" t="s">
        <v>293</v>
      </c>
      <c r="CM23" s="662" t="s">
        <v>1240</v>
      </c>
      <c r="CN23" s="662" t="s">
        <v>1240</v>
      </c>
      <c r="CO23" s="662" t="s">
        <v>1240</v>
      </c>
      <c r="CP23" s="662" t="s">
        <v>1240</v>
      </c>
      <c r="CQ23" s="662" t="s">
        <v>1240</v>
      </c>
      <c r="CR23" s="668" t="s">
        <v>293</v>
      </c>
      <c r="CS23" s="668" t="s">
        <v>293</v>
      </c>
      <c r="CT23" s="668" t="s">
        <v>293</v>
      </c>
      <c r="CU23" s="662" t="s">
        <v>1240</v>
      </c>
      <c r="CV23" s="668" t="s">
        <v>293</v>
      </c>
      <c r="CW23" s="668" t="s">
        <v>293</v>
      </c>
      <c r="CX23" s="668" t="s">
        <v>293</v>
      </c>
      <c r="CY23" s="668" t="s">
        <v>293</v>
      </c>
      <c r="CZ23" s="668" t="s">
        <v>293</v>
      </c>
      <c r="DA23" s="668" t="s">
        <v>293</v>
      </c>
      <c r="DB23" s="668" t="s">
        <v>293</v>
      </c>
      <c r="DC23" s="668" t="s">
        <v>293</v>
      </c>
      <c r="DD23" s="668" t="s">
        <v>293</v>
      </c>
      <c r="DE23" s="668" t="s">
        <v>293</v>
      </c>
      <c r="DF23" s="668" t="s">
        <v>293</v>
      </c>
      <c r="DG23" s="668" t="s">
        <v>293</v>
      </c>
      <c r="DH23" s="668" t="s">
        <v>293</v>
      </c>
      <c r="DI23" s="668" t="s">
        <v>293</v>
      </c>
      <c r="DJ23" s="668" t="s">
        <v>293</v>
      </c>
      <c r="DK23" s="668" t="s">
        <v>293</v>
      </c>
      <c r="DL23" s="668" t="s">
        <v>293</v>
      </c>
      <c r="DM23" s="668" t="s">
        <v>293</v>
      </c>
      <c r="DN23" s="668" t="s">
        <v>293</v>
      </c>
      <c r="DO23" s="668" t="s">
        <v>293</v>
      </c>
      <c r="DP23" s="668" t="s">
        <v>293</v>
      </c>
      <c r="DQ23" s="668" t="s">
        <v>293</v>
      </c>
      <c r="DR23" s="668" t="s">
        <v>293</v>
      </c>
      <c r="DS23" s="668" t="s">
        <v>293</v>
      </c>
      <c r="DT23" s="668" t="s">
        <v>293</v>
      </c>
      <c r="DU23" s="668" t="s">
        <v>293</v>
      </c>
      <c r="DV23" s="668" t="s">
        <v>293</v>
      </c>
      <c r="DW23" s="668" t="s">
        <v>293</v>
      </c>
      <c r="DX23" s="668" t="s">
        <v>293</v>
      </c>
      <c r="DY23" s="668" t="s">
        <v>293</v>
      </c>
      <c r="DZ23" s="668" t="s">
        <v>293</v>
      </c>
      <c r="EA23" s="668" t="s">
        <v>293</v>
      </c>
      <c r="EB23" s="668" t="s">
        <v>293</v>
      </c>
      <c r="EC23" s="668" t="s">
        <v>293</v>
      </c>
      <c r="ED23" s="668" t="s">
        <v>293</v>
      </c>
      <c r="EE23" s="668" t="s">
        <v>293</v>
      </c>
      <c r="EF23" s="668" t="s">
        <v>293</v>
      </c>
      <c r="EG23" s="668" t="s">
        <v>293</v>
      </c>
      <c r="EH23" s="668" t="s">
        <v>293</v>
      </c>
      <c r="EI23" s="668" t="s">
        <v>293</v>
      </c>
      <c r="EJ23" s="668" t="s">
        <v>293</v>
      </c>
      <c r="EK23" s="668" t="s">
        <v>293</v>
      </c>
      <c r="EL23" s="668" t="s">
        <v>293</v>
      </c>
      <c r="EM23" s="668" t="s">
        <v>293</v>
      </c>
      <c r="EN23" s="668" t="s">
        <v>293</v>
      </c>
      <c r="EO23" s="668" t="s">
        <v>293</v>
      </c>
      <c r="EP23" s="668" t="s">
        <v>293</v>
      </c>
      <c r="EQ23" s="668" t="s">
        <v>293</v>
      </c>
      <c r="ER23" s="668" t="s">
        <v>293</v>
      </c>
      <c r="ES23" s="668" t="s">
        <v>293</v>
      </c>
      <c r="ET23" s="668" t="s">
        <v>293</v>
      </c>
      <c r="EU23" s="668" t="s">
        <v>293</v>
      </c>
      <c r="EV23" s="668" t="s">
        <v>293</v>
      </c>
      <c r="EW23" s="668" t="s">
        <v>293</v>
      </c>
      <c r="EX23" s="668" t="s">
        <v>293</v>
      </c>
      <c r="EY23" s="668" t="s">
        <v>293</v>
      </c>
      <c r="EZ23" s="668" t="s">
        <v>293</v>
      </c>
      <c r="FA23" s="668" t="s">
        <v>293</v>
      </c>
      <c r="FB23" s="668" t="s">
        <v>293</v>
      </c>
      <c r="FC23" s="668" t="s">
        <v>293</v>
      </c>
      <c r="FD23" s="668" t="s">
        <v>293</v>
      </c>
      <c r="FE23" s="668" t="s">
        <v>293</v>
      </c>
      <c r="FF23" s="668" t="s">
        <v>293</v>
      </c>
      <c r="FG23" s="668" t="s">
        <v>293</v>
      </c>
      <c r="FH23" s="668" t="s">
        <v>293</v>
      </c>
      <c r="FI23" s="668" t="s">
        <v>293</v>
      </c>
      <c r="FJ23" s="668" t="s">
        <v>293</v>
      </c>
      <c r="FK23" s="668" t="s">
        <v>293</v>
      </c>
      <c r="FL23" s="668" t="s">
        <v>293</v>
      </c>
      <c r="FM23" s="668" t="s">
        <v>293</v>
      </c>
      <c r="FN23" s="668" t="s">
        <v>293</v>
      </c>
      <c r="FO23" s="668" t="s">
        <v>293</v>
      </c>
      <c r="FP23" s="668" t="s">
        <v>293</v>
      </c>
      <c r="FQ23" s="668" t="s">
        <v>293</v>
      </c>
      <c r="FR23" s="668" t="s">
        <v>293</v>
      </c>
      <c r="FS23" s="668" t="s">
        <v>293</v>
      </c>
      <c r="FT23" s="668" t="s">
        <v>293</v>
      </c>
      <c r="FU23" s="668" t="s">
        <v>293</v>
      </c>
      <c r="FV23" s="668" t="s">
        <v>293</v>
      </c>
      <c r="FW23" s="668" t="s">
        <v>293</v>
      </c>
      <c r="FX23" s="668" t="s">
        <v>293</v>
      </c>
      <c r="FY23" s="668" t="s">
        <v>293</v>
      </c>
      <c r="FZ23" s="668" t="s">
        <v>293</v>
      </c>
      <c r="GA23" s="668" t="s">
        <v>293</v>
      </c>
      <c r="GB23" s="668" t="s">
        <v>293</v>
      </c>
      <c r="GC23" s="668" t="s">
        <v>293</v>
      </c>
      <c r="GD23" s="668" t="s">
        <v>293</v>
      </c>
      <c r="GE23" s="668" t="s">
        <v>293</v>
      </c>
      <c r="GF23" s="668" t="s">
        <v>293</v>
      </c>
      <c r="GG23" s="668" t="s">
        <v>293</v>
      </c>
      <c r="GH23" s="668" t="s">
        <v>293</v>
      </c>
      <c r="GI23" s="668" t="s">
        <v>293</v>
      </c>
      <c r="GJ23" s="668" t="s">
        <v>293</v>
      </c>
      <c r="GK23" s="668" t="s">
        <v>293</v>
      </c>
      <c r="GL23" s="668" t="s">
        <v>293</v>
      </c>
      <c r="GM23" s="668" t="s">
        <v>293</v>
      </c>
      <c r="GN23" s="668" t="s">
        <v>293</v>
      </c>
      <c r="GO23" s="668" t="s">
        <v>293</v>
      </c>
    </row>
    <row r="24" spans="1:197" ht="83.25" customHeight="1">
      <c r="A24" s="722" t="s">
        <v>635</v>
      </c>
      <c r="B24" s="724"/>
      <c r="C24" s="724"/>
      <c r="D24" s="724"/>
      <c r="E24" s="724"/>
      <c r="F24" s="724"/>
      <c r="G24" s="724"/>
      <c r="H24" s="724"/>
      <c r="I24" s="724"/>
      <c r="J24" s="724"/>
      <c r="K24" s="724"/>
      <c r="L24" s="724"/>
      <c r="M24" s="724"/>
      <c r="N24" s="724"/>
      <c r="O24" s="724"/>
      <c r="P24" s="724"/>
      <c r="Q24" s="724"/>
      <c r="R24" s="724"/>
      <c r="S24" s="724"/>
      <c r="T24" s="724"/>
      <c r="U24" s="724"/>
      <c r="V24" s="724"/>
      <c r="W24" s="724"/>
      <c r="X24" s="724"/>
      <c r="Y24" s="724"/>
      <c r="Z24" s="724"/>
      <c r="AA24" s="724"/>
      <c r="AB24" s="724"/>
      <c r="AC24" s="724"/>
      <c r="AD24" s="724"/>
      <c r="AE24" s="724"/>
      <c r="AF24" s="724"/>
      <c r="AG24" s="724"/>
      <c r="AH24" s="724"/>
      <c r="AI24" s="724"/>
      <c r="AJ24" s="724"/>
      <c r="AK24" s="724"/>
      <c r="AL24" s="724"/>
      <c r="AM24" s="724"/>
      <c r="AN24" s="724"/>
      <c r="AO24" s="724"/>
      <c r="AP24" s="724"/>
      <c r="AQ24" s="724"/>
      <c r="AR24" s="724"/>
      <c r="AS24" s="724"/>
      <c r="AT24" s="724"/>
      <c r="AU24" s="724"/>
      <c r="AV24" s="724"/>
      <c r="AW24" s="724"/>
      <c r="AX24" s="724"/>
      <c r="AY24" s="724"/>
      <c r="AZ24" s="724"/>
      <c r="BA24" s="724"/>
      <c r="BB24" s="724"/>
      <c r="BC24" s="724"/>
      <c r="BD24" s="724"/>
      <c r="BE24" s="724"/>
      <c r="BF24" s="724"/>
      <c r="BG24" s="724"/>
      <c r="BH24" s="724"/>
      <c r="BI24" s="724"/>
      <c r="BJ24" s="724"/>
      <c r="BK24" s="724"/>
      <c r="BL24" s="724"/>
      <c r="BM24" s="724"/>
      <c r="BN24" s="724"/>
      <c r="BO24" s="724"/>
      <c r="BP24" s="724"/>
      <c r="BQ24" s="724"/>
      <c r="BR24" s="724"/>
      <c r="BS24" s="724"/>
      <c r="BT24" s="724"/>
      <c r="BU24" s="724"/>
      <c r="BV24" s="724"/>
      <c r="BW24" s="724"/>
      <c r="BX24" s="724"/>
      <c r="BY24" s="724"/>
      <c r="BZ24" s="724"/>
      <c r="CA24" s="724"/>
      <c r="CB24" s="724"/>
      <c r="CC24" s="724"/>
      <c r="CD24" s="724"/>
      <c r="CE24" s="724"/>
      <c r="CF24" s="724"/>
      <c r="CG24" s="724"/>
      <c r="CH24" s="724"/>
      <c r="CI24" s="724"/>
      <c r="CJ24" s="724"/>
      <c r="CK24" s="724"/>
      <c r="CL24" s="724"/>
      <c r="CM24" s="724"/>
      <c r="CN24" s="724"/>
      <c r="CO24" s="724"/>
      <c r="CP24" s="724"/>
      <c r="CQ24" s="724"/>
      <c r="CR24" s="724"/>
      <c r="CS24" s="724"/>
      <c r="CT24" s="724"/>
      <c r="CU24" s="724"/>
      <c r="CV24" s="724"/>
      <c r="CW24" s="724"/>
      <c r="CX24" s="724"/>
      <c r="CY24" s="724"/>
      <c r="CZ24" s="724"/>
      <c r="DA24" s="724"/>
      <c r="DB24" s="724"/>
      <c r="DC24" s="724"/>
      <c r="DD24" s="724"/>
      <c r="DE24" s="724"/>
      <c r="DF24" s="724"/>
      <c r="DG24" s="724"/>
      <c r="DH24" s="724"/>
      <c r="DI24" s="724"/>
      <c r="DJ24" s="724"/>
      <c r="DK24" s="724"/>
      <c r="DL24" s="724"/>
      <c r="DM24" s="724"/>
      <c r="DN24" s="724"/>
      <c r="DO24" s="724"/>
      <c r="DP24" s="724"/>
      <c r="DQ24" s="724"/>
      <c r="DR24" s="724"/>
      <c r="DS24" s="724"/>
      <c r="DT24" s="724"/>
      <c r="DU24" s="724"/>
      <c r="DV24" s="724"/>
      <c r="DW24" s="724"/>
      <c r="DX24" s="724"/>
      <c r="DY24" s="724"/>
      <c r="DZ24" s="724"/>
      <c r="EA24" s="724"/>
      <c r="EB24" s="724"/>
      <c r="EC24" s="724"/>
      <c r="ED24" s="724"/>
      <c r="EE24" s="724"/>
      <c r="EF24" s="724"/>
      <c r="EG24" s="724"/>
      <c r="EH24" s="724"/>
      <c r="EI24" s="724"/>
      <c r="EJ24" s="724"/>
      <c r="EK24" s="724"/>
      <c r="EL24" s="724"/>
      <c r="EM24" s="724"/>
      <c r="EN24" s="724"/>
      <c r="EO24" s="724"/>
      <c r="EP24" s="724"/>
      <c r="EQ24" s="724"/>
      <c r="ER24" s="724"/>
      <c r="ES24" s="724"/>
      <c r="ET24" s="724"/>
      <c r="EU24" s="724"/>
      <c r="EV24" s="724"/>
      <c r="EW24" s="724"/>
      <c r="EX24" s="724"/>
      <c r="EY24" s="724"/>
      <c r="EZ24" s="724"/>
      <c r="FA24" s="724"/>
      <c r="FB24" s="724"/>
      <c r="FC24" s="724"/>
      <c r="FD24" s="724"/>
      <c r="FE24" s="724"/>
      <c r="FF24" s="724"/>
      <c r="FG24" s="724"/>
      <c r="FH24" s="724"/>
      <c r="FI24" s="724"/>
      <c r="FJ24" s="724"/>
      <c r="FK24" s="724"/>
      <c r="FL24" s="724"/>
      <c r="FM24" s="724"/>
      <c r="FN24" s="724"/>
      <c r="FO24" s="724"/>
      <c r="FP24" s="724"/>
      <c r="FQ24" s="724"/>
      <c r="FR24" s="724"/>
      <c r="FS24" s="724"/>
      <c r="FT24" s="724"/>
      <c r="FU24" s="724"/>
      <c r="FV24" s="724"/>
      <c r="FW24" s="724"/>
      <c r="FX24" s="724"/>
      <c r="FY24" s="724"/>
      <c r="FZ24" s="724"/>
      <c r="GA24" s="724"/>
      <c r="GB24" s="724"/>
      <c r="GC24" s="724"/>
      <c r="GD24" s="724"/>
      <c r="GE24" s="724"/>
      <c r="GF24" s="724"/>
      <c r="GG24" s="724"/>
      <c r="GH24" s="724"/>
      <c r="GI24" s="724"/>
      <c r="GJ24" s="724"/>
      <c r="GK24" s="724"/>
      <c r="GL24" s="724"/>
      <c r="GM24" s="724"/>
      <c r="GN24" s="724"/>
      <c r="GO24" s="724"/>
    </row>
    <row r="25" spans="1:197">
      <c r="A25" s="852"/>
      <c r="B25" s="728"/>
      <c r="C25" s="765"/>
      <c r="D25" s="728"/>
      <c r="E25" s="728"/>
      <c r="F25" s="765"/>
      <c r="G25" s="783"/>
      <c r="H25" s="783"/>
      <c r="I25" s="765"/>
      <c r="J25" s="765"/>
      <c r="K25" s="765"/>
      <c r="L25" s="765"/>
      <c r="M25" s="765"/>
      <c r="N25" s="765"/>
      <c r="O25" s="765"/>
      <c r="P25" s="728"/>
      <c r="Q25" s="765"/>
      <c r="R25" s="765"/>
      <c r="S25" s="765"/>
      <c r="T25" s="765"/>
      <c r="U25" s="765"/>
      <c r="V25" s="765"/>
      <c r="W25" s="765"/>
      <c r="X25" s="765"/>
      <c r="Y25" s="765"/>
      <c r="Z25" s="765"/>
      <c r="AA25" s="765"/>
      <c r="AB25" s="765"/>
      <c r="AC25" s="765"/>
      <c r="AD25" s="765"/>
      <c r="AE25" s="765"/>
      <c r="AF25" s="765"/>
      <c r="AG25" s="765"/>
      <c r="AH25" s="765"/>
      <c r="AI25" s="765"/>
      <c r="AJ25" s="765"/>
      <c r="AK25" s="765"/>
      <c r="AL25" s="765"/>
      <c r="AM25" s="765"/>
      <c r="AN25" s="765"/>
      <c r="AO25" s="765"/>
      <c r="AP25" s="765"/>
      <c r="AQ25" s="765"/>
      <c r="AR25" s="765"/>
      <c r="AS25" s="765"/>
      <c r="AT25" s="765"/>
      <c r="AU25" s="765"/>
      <c r="AV25" s="765"/>
      <c r="AW25" s="765"/>
      <c r="AX25" s="765"/>
      <c r="AY25" s="765"/>
      <c r="AZ25" s="765"/>
      <c r="BA25" s="765"/>
      <c r="BB25" s="765"/>
      <c r="BC25" s="765"/>
      <c r="BD25" s="765"/>
      <c r="BE25" s="765"/>
      <c r="BF25" s="765"/>
      <c r="BG25" s="765"/>
      <c r="BH25" s="765"/>
      <c r="BI25" s="765"/>
      <c r="BJ25" s="765"/>
      <c r="BK25" s="765"/>
      <c r="BL25" s="765"/>
      <c r="BM25" s="765"/>
      <c r="BN25" s="765"/>
      <c r="BO25" s="765"/>
      <c r="BP25" s="765"/>
      <c r="BQ25" s="765"/>
      <c r="BR25" s="765"/>
      <c r="BS25" s="765"/>
      <c r="BT25" s="765"/>
      <c r="BU25" s="765"/>
      <c r="BV25" s="765"/>
      <c r="BW25" s="765"/>
      <c r="BX25" s="765"/>
      <c r="BY25" s="765"/>
      <c r="BZ25" s="765"/>
      <c r="CA25" s="765"/>
      <c r="CB25" s="765"/>
      <c r="CC25" s="765"/>
      <c r="CD25" s="765"/>
      <c r="CE25" s="765"/>
      <c r="CF25" s="765"/>
      <c r="CG25" s="765"/>
      <c r="CH25" s="765"/>
      <c r="CI25" s="765"/>
      <c r="CJ25" s="765"/>
      <c r="CK25" s="765"/>
      <c r="CL25" s="765"/>
      <c r="CM25" s="765"/>
      <c r="CN25" s="765"/>
      <c r="CO25" s="765"/>
      <c r="CP25" s="765"/>
      <c r="CQ25" s="765"/>
      <c r="CR25" s="765"/>
      <c r="CS25" s="765"/>
      <c r="CT25" s="765"/>
      <c r="CU25" s="765"/>
      <c r="CV25" s="765"/>
      <c r="CW25" s="765"/>
      <c r="CX25" s="765"/>
      <c r="CY25" s="765"/>
      <c r="CZ25" s="765"/>
      <c r="DA25" s="765"/>
      <c r="DB25" s="765"/>
      <c r="DC25" s="765"/>
      <c r="DD25" s="765"/>
      <c r="DE25" s="765"/>
      <c r="DF25" s="765"/>
      <c r="DG25" s="765"/>
      <c r="DH25" s="765"/>
      <c r="DI25" s="765"/>
      <c r="DJ25" s="765"/>
      <c r="DK25" s="765"/>
      <c r="DL25" s="765"/>
      <c r="DM25" s="765"/>
      <c r="DN25" s="765"/>
      <c r="DO25" s="765"/>
      <c r="DP25" s="765"/>
      <c r="DQ25" s="765"/>
      <c r="DR25" s="765"/>
      <c r="DS25" s="765"/>
      <c r="DT25" s="765"/>
      <c r="DU25" s="765"/>
      <c r="DV25" s="765"/>
      <c r="DW25" s="765"/>
      <c r="DX25" s="765"/>
      <c r="DY25" s="765"/>
      <c r="DZ25" s="765"/>
      <c r="EA25" s="765"/>
      <c r="EB25" s="765"/>
      <c r="EC25" s="765"/>
      <c r="ED25" s="765"/>
      <c r="EE25" s="765"/>
      <c r="EF25" s="765"/>
      <c r="EG25" s="765"/>
      <c r="EH25" s="765"/>
      <c r="EI25" s="765"/>
      <c r="EJ25" s="765"/>
      <c r="EK25" s="765"/>
      <c r="EL25" s="765"/>
      <c r="EM25" s="765"/>
      <c r="EN25" s="765"/>
      <c r="EO25" s="765"/>
      <c r="EP25" s="765"/>
      <c r="EQ25" s="765"/>
      <c r="ER25" s="765"/>
      <c r="ES25" s="765"/>
      <c r="ET25" s="765"/>
      <c r="EU25" s="765"/>
      <c r="EV25" s="765"/>
      <c r="EW25" s="765"/>
      <c r="EX25" s="765"/>
      <c r="EY25" s="765"/>
      <c r="EZ25" s="765"/>
      <c r="FA25" s="765"/>
      <c r="FB25" s="765"/>
      <c r="FC25" s="765"/>
      <c r="FD25" s="765"/>
      <c r="FE25" s="765"/>
      <c r="FF25" s="765"/>
      <c r="FG25" s="765"/>
      <c r="FH25" s="765"/>
      <c r="FI25" s="765"/>
      <c r="FJ25" s="765"/>
      <c r="FK25" s="765"/>
      <c r="FL25" s="765"/>
      <c r="FM25" s="765"/>
      <c r="FN25" s="765"/>
      <c r="FO25" s="765"/>
      <c r="FP25" s="765"/>
      <c r="FQ25" s="765"/>
      <c r="FR25" s="765"/>
      <c r="FS25" s="765"/>
      <c r="FT25" s="765"/>
      <c r="FU25" s="765"/>
      <c r="FV25" s="765"/>
      <c r="FW25" s="765"/>
      <c r="FX25" s="765"/>
      <c r="FY25" s="765"/>
      <c r="FZ25" s="765"/>
      <c r="GA25" s="765"/>
      <c r="GB25" s="765"/>
      <c r="GC25" s="765"/>
      <c r="GD25" s="765"/>
      <c r="GE25" s="765"/>
      <c r="GF25" s="765"/>
      <c r="GG25" s="765"/>
      <c r="GH25" s="765"/>
      <c r="GI25" s="765"/>
      <c r="GJ25" s="765"/>
      <c r="GK25" s="765"/>
      <c r="GL25" s="765"/>
      <c r="GM25" s="765"/>
      <c r="GN25" s="765"/>
      <c r="GO25" s="765"/>
    </row>
    <row r="26" spans="1:197" ht="36" customHeight="1">
      <c r="A26" s="851"/>
      <c r="B26" s="728"/>
      <c r="C26" s="849"/>
      <c r="D26" s="728"/>
      <c r="E26" s="728"/>
      <c r="F26" s="849"/>
      <c r="G26" s="850"/>
      <c r="H26" s="850"/>
      <c r="I26" s="849"/>
      <c r="J26" s="849"/>
      <c r="K26" s="849"/>
      <c r="L26" s="849"/>
      <c r="M26" s="849"/>
      <c r="N26" s="849"/>
      <c r="O26" s="849"/>
      <c r="P26" s="728"/>
      <c r="Q26" s="849"/>
      <c r="R26" s="849"/>
      <c r="S26" s="849"/>
      <c r="T26" s="849"/>
      <c r="U26" s="849"/>
      <c r="V26" s="849"/>
      <c r="W26" s="849"/>
      <c r="X26" s="849"/>
      <c r="Y26" s="849"/>
      <c r="Z26" s="849"/>
      <c r="AA26" s="849"/>
      <c r="AB26" s="849"/>
      <c r="AC26" s="849"/>
      <c r="AD26" s="849"/>
      <c r="AE26" s="849"/>
      <c r="AF26" s="849"/>
      <c r="AG26" s="849"/>
      <c r="AH26" s="849"/>
      <c r="AI26" s="849"/>
      <c r="AJ26" s="849"/>
      <c r="AK26" s="849"/>
      <c r="AL26" s="849"/>
      <c r="AM26" s="849"/>
      <c r="AN26" s="849"/>
      <c r="AO26" s="849"/>
      <c r="AP26" s="849"/>
      <c r="AQ26" s="849"/>
      <c r="AR26" s="849"/>
      <c r="AS26" s="849"/>
      <c r="AT26" s="849"/>
      <c r="AU26" s="849"/>
      <c r="AV26" s="849"/>
      <c r="AW26" s="849"/>
      <c r="AX26" s="849"/>
      <c r="AY26" s="849"/>
      <c r="AZ26" s="849"/>
      <c r="BA26" s="849"/>
      <c r="BB26" s="849"/>
      <c r="BC26" s="849"/>
      <c r="BD26" s="849"/>
      <c r="BE26" s="849"/>
      <c r="BF26" s="849"/>
      <c r="BG26" s="849"/>
      <c r="BH26" s="849"/>
      <c r="BI26" s="849"/>
      <c r="BJ26" s="849"/>
      <c r="BK26" s="849"/>
      <c r="BL26" s="849"/>
      <c r="BM26" s="849"/>
      <c r="BN26" s="849"/>
      <c r="BO26" s="849"/>
      <c r="BP26" s="849"/>
      <c r="BQ26" s="849"/>
      <c r="BR26" s="849"/>
      <c r="BS26" s="849"/>
      <c r="BT26" s="849"/>
      <c r="BU26" s="849"/>
      <c r="BV26" s="849"/>
      <c r="BW26" s="849"/>
      <c r="BX26" s="849"/>
      <c r="BY26" s="849"/>
      <c r="BZ26" s="849"/>
      <c r="CA26" s="849"/>
      <c r="CB26" s="849"/>
      <c r="CC26" s="849"/>
      <c r="CD26" s="849"/>
      <c r="CE26" s="849"/>
      <c r="CF26" s="849"/>
      <c r="CG26" s="849"/>
      <c r="CH26" s="849"/>
      <c r="CI26" s="849"/>
      <c r="CJ26" s="849"/>
      <c r="CK26" s="849"/>
      <c r="CL26" s="849"/>
      <c r="CM26" s="849"/>
      <c r="CN26" s="849"/>
      <c r="CO26" s="849"/>
      <c r="CP26" s="849"/>
      <c r="CQ26" s="849"/>
      <c r="CR26" s="849"/>
      <c r="CS26" s="849"/>
      <c r="CT26" s="849"/>
      <c r="CU26" s="849"/>
      <c r="CV26" s="849"/>
      <c r="CW26" s="849"/>
      <c r="CX26" s="849"/>
      <c r="CY26" s="849"/>
      <c r="CZ26" s="849"/>
      <c r="DA26" s="849"/>
      <c r="DB26" s="849"/>
      <c r="DC26" s="849"/>
      <c r="DD26" s="849"/>
      <c r="DE26" s="849"/>
      <c r="DF26" s="849"/>
      <c r="DG26" s="849"/>
      <c r="DH26" s="849"/>
      <c r="DI26" s="849"/>
      <c r="DJ26" s="849"/>
      <c r="DK26" s="849"/>
      <c r="DL26" s="849"/>
      <c r="DM26" s="849"/>
      <c r="DN26" s="849"/>
      <c r="DO26" s="849"/>
      <c r="DP26" s="849"/>
      <c r="DQ26" s="849"/>
      <c r="DR26" s="849"/>
      <c r="DS26" s="849"/>
      <c r="DT26" s="849"/>
      <c r="DU26" s="849"/>
      <c r="DV26" s="849"/>
      <c r="DW26" s="849"/>
      <c r="DX26" s="849"/>
      <c r="DY26" s="849"/>
      <c r="DZ26" s="849"/>
      <c r="EA26" s="849"/>
      <c r="EB26" s="849"/>
      <c r="EC26" s="849"/>
      <c r="ED26" s="849"/>
      <c r="EE26" s="849"/>
      <c r="EF26" s="849"/>
      <c r="EG26" s="849"/>
      <c r="EH26" s="849"/>
      <c r="EI26" s="849"/>
      <c r="EJ26" s="849"/>
      <c r="EK26" s="849"/>
      <c r="EL26" s="849"/>
      <c r="EM26" s="849"/>
      <c r="EN26" s="849"/>
      <c r="EO26" s="849"/>
      <c r="EP26" s="849"/>
      <c r="EQ26" s="849"/>
      <c r="ER26" s="849"/>
      <c r="ES26" s="849"/>
      <c r="ET26" s="849"/>
      <c r="EU26" s="849"/>
      <c r="EV26" s="849"/>
      <c r="EW26" s="849"/>
      <c r="EX26" s="849"/>
      <c r="EY26" s="849"/>
      <c r="EZ26" s="849"/>
      <c r="FA26" s="849"/>
      <c r="FB26" s="849"/>
      <c r="FC26" s="849"/>
      <c r="FD26" s="849"/>
      <c r="FE26" s="849"/>
      <c r="FF26" s="849"/>
      <c r="FG26" s="849"/>
      <c r="FH26" s="849"/>
      <c r="FI26" s="849"/>
      <c r="FJ26" s="849"/>
      <c r="FK26" s="849"/>
      <c r="FL26" s="849"/>
      <c r="FM26" s="849"/>
      <c r="FN26" s="849"/>
      <c r="FO26" s="849"/>
      <c r="FP26" s="849"/>
      <c r="FQ26" s="849"/>
      <c r="FR26" s="849"/>
      <c r="FS26" s="849"/>
      <c r="FT26" s="849"/>
      <c r="FU26" s="849"/>
      <c r="FV26" s="849"/>
      <c r="FW26" s="849"/>
      <c r="FX26" s="849"/>
      <c r="FY26" s="849"/>
      <c r="FZ26" s="849"/>
      <c r="GA26" s="849"/>
      <c r="GB26" s="849"/>
      <c r="GC26" s="849"/>
      <c r="GD26" s="849"/>
      <c r="GE26" s="849"/>
      <c r="GF26" s="849"/>
      <c r="GG26" s="849"/>
      <c r="GH26" s="849"/>
      <c r="GI26" s="849"/>
      <c r="GJ26" s="849"/>
      <c r="GK26" s="849"/>
      <c r="GL26" s="849"/>
      <c r="GM26" s="849"/>
      <c r="GN26" s="849"/>
      <c r="GO26" s="849"/>
    </row>
    <row r="27" spans="1:197" ht="53.25" customHeight="1">
      <c r="A27" s="776"/>
      <c r="B27" s="728"/>
      <c r="C27" s="765"/>
      <c r="D27" s="728"/>
      <c r="E27" s="728"/>
      <c r="F27" s="765"/>
      <c r="G27" s="783"/>
      <c r="H27" s="783"/>
      <c r="I27" s="765"/>
      <c r="J27" s="765"/>
      <c r="K27" s="765"/>
      <c r="L27" s="765"/>
      <c r="M27" s="765"/>
      <c r="N27" s="765"/>
      <c r="O27" s="765"/>
      <c r="P27" s="728"/>
      <c r="Q27" s="765"/>
      <c r="R27" s="765"/>
      <c r="S27" s="765"/>
      <c r="T27" s="765"/>
      <c r="U27" s="765"/>
      <c r="V27" s="765"/>
      <c r="W27" s="765"/>
      <c r="X27" s="765"/>
      <c r="Y27" s="765"/>
      <c r="Z27" s="765"/>
      <c r="AA27" s="765"/>
      <c r="AB27" s="765"/>
      <c r="AC27" s="765"/>
      <c r="AD27" s="765"/>
      <c r="AE27" s="765"/>
      <c r="AF27" s="765"/>
      <c r="AG27" s="765"/>
      <c r="AH27" s="765"/>
      <c r="AI27" s="765"/>
      <c r="AJ27" s="765"/>
      <c r="AK27" s="765"/>
      <c r="AL27" s="765"/>
      <c r="AM27" s="765"/>
      <c r="AN27" s="765"/>
      <c r="AO27" s="765"/>
      <c r="AP27" s="765"/>
      <c r="AQ27" s="765"/>
      <c r="AR27" s="765"/>
      <c r="AS27" s="765"/>
      <c r="AT27" s="765"/>
      <c r="AU27" s="765"/>
      <c r="AV27" s="765"/>
      <c r="AW27" s="765"/>
      <c r="AX27" s="765"/>
      <c r="AY27" s="765"/>
      <c r="AZ27" s="765"/>
      <c r="BA27" s="765"/>
      <c r="BB27" s="765"/>
      <c r="BC27" s="765"/>
      <c r="BD27" s="765"/>
      <c r="BE27" s="765"/>
      <c r="BF27" s="765"/>
      <c r="BG27" s="765"/>
      <c r="BH27" s="765"/>
      <c r="BI27" s="765"/>
      <c r="BJ27" s="765"/>
      <c r="BK27" s="765"/>
      <c r="BL27" s="765"/>
      <c r="BM27" s="765"/>
      <c r="BN27" s="765"/>
      <c r="BO27" s="765"/>
      <c r="BP27" s="765"/>
      <c r="BQ27" s="765"/>
      <c r="BR27" s="765"/>
      <c r="BS27" s="765"/>
      <c r="BT27" s="765"/>
      <c r="BU27" s="765"/>
      <c r="BV27" s="765"/>
      <c r="BW27" s="765"/>
      <c r="BX27" s="765"/>
      <c r="BY27" s="765"/>
      <c r="BZ27" s="765"/>
      <c r="CA27" s="765"/>
      <c r="CB27" s="765"/>
      <c r="CC27" s="765"/>
      <c r="CD27" s="765"/>
      <c r="CE27" s="765"/>
      <c r="CF27" s="765"/>
      <c r="CG27" s="765"/>
      <c r="CH27" s="765"/>
      <c r="CI27" s="765"/>
      <c r="CJ27" s="765"/>
      <c r="CK27" s="765"/>
      <c r="CL27" s="765"/>
      <c r="CM27" s="765"/>
      <c r="CN27" s="765"/>
      <c r="CO27" s="765"/>
      <c r="CP27" s="765"/>
      <c r="CQ27" s="765"/>
      <c r="CR27" s="765"/>
      <c r="CS27" s="765"/>
      <c r="CT27" s="765"/>
      <c r="CU27" s="765"/>
      <c r="CV27" s="765"/>
      <c r="CW27" s="765"/>
      <c r="CX27" s="765"/>
      <c r="CY27" s="765"/>
      <c r="CZ27" s="765"/>
      <c r="DA27" s="765"/>
      <c r="DB27" s="765"/>
      <c r="DC27" s="765"/>
      <c r="DD27" s="765"/>
      <c r="DE27" s="765"/>
      <c r="DF27" s="765"/>
      <c r="DG27" s="765"/>
      <c r="DH27" s="765"/>
      <c r="DI27" s="765"/>
      <c r="DJ27" s="765"/>
      <c r="DK27" s="765"/>
      <c r="DL27" s="765"/>
      <c r="DM27" s="765"/>
      <c r="DN27" s="765"/>
      <c r="DO27" s="765"/>
      <c r="DP27" s="765"/>
      <c r="DQ27" s="765"/>
      <c r="DR27" s="765"/>
      <c r="DS27" s="765"/>
      <c r="DT27" s="765"/>
      <c r="DU27" s="765"/>
      <c r="DV27" s="765"/>
      <c r="DW27" s="765"/>
      <c r="DX27" s="765"/>
      <c r="DY27" s="765"/>
      <c r="DZ27" s="765"/>
      <c r="EA27" s="765"/>
      <c r="EB27" s="765"/>
      <c r="EC27" s="765"/>
      <c r="ED27" s="765"/>
      <c r="EE27" s="765"/>
      <c r="EF27" s="765"/>
      <c r="EG27" s="765"/>
      <c r="EH27" s="765"/>
      <c r="EI27" s="765"/>
      <c r="EJ27" s="765"/>
      <c r="EK27" s="765"/>
      <c r="EL27" s="765"/>
      <c r="EM27" s="765"/>
      <c r="EN27" s="765"/>
      <c r="EO27" s="765"/>
      <c r="EP27" s="765"/>
      <c r="EQ27" s="765"/>
      <c r="ER27" s="765"/>
      <c r="ES27" s="765"/>
      <c r="ET27" s="765"/>
      <c r="EU27" s="765"/>
      <c r="EV27" s="765"/>
      <c r="EW27" s="765"/>
      <c r="EX27" s="765"/>
      <c r="EY27" s="765"/>
      <c r="EZ27" s="765"/>
      <c r="FA27" s="765"/>
      <c r="FB27" s="765"/>
      <c r="FC27" s="765"/>
      <c r="FD27" s="765"/>
      <c r="FE27" s="765"/>
      <c r="FF27" s="765"/>
      <c r="FG27" s="765"/>
      <c r="FH27" s="765"/>
      <c r="FI27" s="765"/>
      <c r="FJ27" s="765"/>
      <c r="FK27" s="765"/>
      <c r="FL27" s="765"/>
      <c r="FM27" s="765"/>
      <c r="FN27" s="765"/>
      <c r="FO27" s="765"/>
      <c r="FP27" s="765"/>
      <c r="FQ27" s="765"/>
      <c r="FR27" s="765"/>
      <c r="FS27" s="765"/>
      <c r="FT27" s="765"/>
      <c r="FU27" s="765"/>
      <c r="FV27" s="765"/>
      <c r="FW27" s="765"/>
      <c r="FX27" s="765"/>
      <c r="FY27" s="765"/>
      <c r="FZ27" s="765"/>
      <c r="GA27" s="765"/>
      <c r="GB27" s="765"/>
      <c r="GC27" s="765"/>
      <c r="GD27" s="765"/>
      <c r="GE27" s="765"/>
      <c r="GF27" s="765"/>
      <c r="GG27" s="765"/>
      <c r="GH27" s="765"/>
      <c r="GI27" s="765"/>
      <c r="GJ27" s="765"/>
      <c r="GK27" s="765"/>
      <c r="GL27" s="765"/>
      <c r="GM27" s="765"/>
      <c r="GN27" s="765"/>
      <c r="GO27" s="765"/>
    </row>
    <row r="28" spans="1:197" ht="67.5" customHeight="1">
      <c r="A28" s="848"/>
      <c r="B28" s="728"/>
      <c r="C28" s="711"/>
      <c r="D28" s="728"/>
      <c r="E28" s="728"/>
      <c r="F28" s="711"/>
      <c r="G28" s="728"/>
      <c r="H28" s="728"/>
      <c r="I28" s="711"/>
      <c r="J28" s="711"/>
      <c r="K28" s="711"/>
      <c r="L28" s="711"/>
      <c r="M28" s="711"/>
      <c r="N28" s="711"/>
      <c r="O28" s="711"/>
      <c r="P28" s="728"/>
      <c r="Q28" s="711"/>
      <c r="R28" s="711"/>
      <c r="S28" s="711"/>
      <c r="T28" s="711"/>
      <c r="U28" s="711"/>
      <c r="V28" s="711"/>
      <c r="W28" s="711"/>
      <c r="X28" s="711"/>
      <c r="Y28" s="711"/>
      <c r="Z28" s="711"/>
      <c r="AA28" s="711"/>
      <c r="AB28" s="711"/>
      <c r="AC28" s="711"/>
      <c r="AD28" s="711"/>
      <c r="AE28" s="711"/>
      <c r="AF28" s="711"/>
      <c r="AG28" s="711"/>
      <c r="AH28" s="711"/>
      <c r="AI28" s="711"/>
      <c r="AJ28" s="711"/>
      <c r="AK28" s="711"/>
      <c r="AL28" s="711"/>
      <c r="AM28" s="711"/>
      <c r="AN28" s="711"/>
      <c r="AO28" s="711"/>
      <c r="AP28" s="711"/>
      <c r="AQ28" s="711"/>
      <c r="AR28" s="711"/>
      <c r="AS28" s="711"/>
      <c r="AT28" s="711"/>
      <c r="AU28" s="711"/>
      <c r="AV28" s="711"/>
      <c r="AW28" s="711"/>
      <c r="AX28" s="711"/>
      <c r="AY28" s="711"/>
      <c r="AZ28" s="711"/>
      <c r="BA28" s="711"/>
      <c r="BB28" s="711"/>
      <c r="BC28" s="711"/>
      <c r="BD28" s="711"/>
      <c r="BE28" s="711"/>
      <c r="BF28" s="711"/>
      <c r="BG28" s="711"/>
      <c r="BH28" s="711"/>
      <c r="BI28" s="711"/>
      <c r="BJ28" s="711"/>
      <c r="BK28" s="711"/>
      <c r="BL28" s="711"/>
      <c r="BM28" s="711"/>
      <c r="BN28" s="711"/>
      <c r="BO28" s="711"/>
      <c r="BP28" s="711"/>
      <c r="BQ28" s="711"/>
      <c r="BR28" s="711"/>
      <c r="BS28" s="711"/>
      <c r="BT28" s="711"/>
      <c r="BU28" s="711"/>
      <c r="BV28" s="711"/>
      <c r="BW28" s="711"/>
      <c r="BX28" s="711"/>
      <c r="BY28" s="711"/>
      <c r="BZ28" s="711"/>
      <c r="CA28" s="711"/>
      <c r="CB28" s="711"/>
      <c r="CC28" s="711"/>
      <c r="CD28" s="711"/>
      <c r="CE28" s="711"/>
      <c r="CF28" s="711"/>
      <c r="CG28" s="711"/>
      <c r="CH28" s="711"/>
      <c r="CI28" s="711"/>
      <c r="CJ28" s="711"/>
      <c r="CK28" s="711"/>
      <c r="CL28" s="711"/>
      <c r="CM28" s="711"/>
      <c r="CN28" s="711"/>
      <c r="CO28" s="711"/>
      <c r="CP28" s="711"/>
      <c r="CQ28" s="711"/>
      <c r="CR28" s="711"/>
      <c r="CS28" s="711"/>
      <c r="CT28" s="711"/>
      <c r="CU28" s="711"/>
      <c r="CV28" s="711"/>
      <c r="CW28" s="711"/>
      <c r="CX28" s="711"/>
      <c r="CY28" s="711"/>
      <c r="CZ28" s="711"/>
      <c r="DA28" s="711"/>
      <c r="DB28" s="711"/>
      <c r="DC28" s="711"/>
      <c r="DD28" s="711"/>
      <c r="DE28" s="711"/>
      <c r="DF28" s="711"/>
      <c r="DG28" s="711"/>
      <c r="DH28" s="711"/>
      <c r="DI28" s="711"/>
      <c r="DJ28" s="711"/>
      <c r="DK28" s="711"/>
      <c r="DL28" s="711"/>
      <c r="DM28" s="711"/>
      <c r="DN28" s="711"/>
      <c r="DO28" s="711"/>
      <c r="DP28" s="711"/>
      <c r="DQ28" s="711"/>
      <c r="DR28" s="711"/>
      <c r="DS28" s="711"/>
      <c r="DT28" s="711"/>
      <c r="DU28" s="711"/>
      <c r="DV28" s="711"/>
      <c r="DW28" s="711"/>
      <c r="DX28" s="711"/>
      <c r="DY28" s="711"/>
      <c r="DZ28" s="711"/>
      <c r="EA28" s="711"/>
      <c r="EB28" s="711"/>
      <c r="EC28" s="711"/>
      <c r="ED28" s="711"/>
      <c r="EE28" s="711"/>
      <c r="EF28" s="711"/>
      <c r="EG28" s="711"/>
      <c r="EH28" s="711"/>
      <c r="EI28" s="711"/>
      <c r="EJ28" s="711"/>
      <c r="EK28" s="711"/>
      <c r="EL28" s="711"/>
      <c r="EM28" s="711"/>
      <c r="EN28" s="711"/>
      <c r="EO28" s="711"/>
      <c r="EP28" s="711"/>
      <c r="EQ28" s="711"/>
      <c r="ER28" s="711"/>
      <c r="ES28" s="711"/>
      <c r="ET28" s="711"/>
      <c r="EU28" s="711"/>
      <c r="EV28" s="711"/>
      <c r="EW28" s="711"/>
      <c r="EX28" s="711"/>
      <c r="EY28" s="711"/>
      <c r="EZ28" s="711"/>
      <c r="FA28" s="711"/>
      <c r="FB28" s="711"/>
      <c r="FC28" s="711"/>
      <c r="FD28" s="711"/>
      <c r="FE28" s="711"/>
      <c r="FF28" s="711"/>
      <c r="FG28" s="711"/>
      <c r="FH28" s="711"/>
      <c r="FI28" s="711"/>
      <c r="FJ28" s="711"/>
      <c r="FK28" s="711"/>
      <c r="FL28" s="711"/>
      <c r="FM28" s="711"/>
      <c r="FN28" s="711"/>
      <c r="FO28" s="711"/>
      <c r="FP28" s="711"/>
      <c r="FQ28" s="711"/>
      <c r="FR28" s="711"/>
      <c r="FS28" s="711"/>
      <c r="FT28" s="711"/>
      <c r="FU28" s="711"/>
      <c r="FV28" s="711"/>
      <c r="FW28" s="711"/>
      <c r="FX28" s="711"/>
      <c r="FY28" s="711"/>
      <c r="FZ28" s="711"/>
      <c r="GA28" s="711"/>
      <c r="GB28" s="711"/>
      <c r="GC28" s="711"/>
      <c r="GD28" s="711"/>
      <c r="GE28" s="711"/>
      <c r="GF28" s="711"/>
      <c r="GG28" s="711"/>
      <c r="GH28" s="711"/>
      <c r="GI28" s="711"/>
      <c r="GJ28" s="711"/>
      <c r="GK28" s="711"/>
      <c r="GL28" s="711"/>
      <c r="GM28" s="711"/>
      <c r="GN28" s="711"/>
      <c r="GO28" s="711"/>
    </row>
    <row r="29" spans="1:197" ht="82.5" customHeight="1">
      <c r="A29" s="712"/>
      <c r="B29" s="728"/>
      <c r="C29" s="711"/>
      <c r="D29" s="728"/>
      <c r="E29" s="728"/>
      <c r="F29" s="711"/>
      <c r="G29" s="728"/>
      <c r="H29" s="728"/>
      <c r="I29" s="711"/>
      <c r="J29" s="711"/>
      <c r="K29" s="711"/>
      <c r="L29" s="711"/>
      <c r="M29" s="711"/>
      <c r="N29" s="711"/>
      <c r="O29" s="711"/>
      <c r="P29" s="728"/>
      <c r="Q29" s="711"/>
      <c r="R29" s="711"/>
      <c r="S29" s="711"/>
      <c r="T29" s="711"/>
      <c r="U29" s="711"/>
      <c r="V29" s="711"/>
      <c r="W29" s="711"/>
      <c r="X29" s="711"/>
      <c r="Y29" s="711"/>
      <c r="Z29" s="711"/>
      <c r="AA29" s="711"/>
      <c r="AB29" s="711"/>
      <c r="AC29" s="711"/>
      <c r="AD29" s="711"/>
      <c r="AE29" s="711"/>
      <c r="AF29" s="711"/>
      <c r="AG29" s="711"/>
      <c r="AH29" s="711"/>
      <c r="AI29" s="711"/>
      <c r="AJ29" s="711"/>
      <c r="AK29" s="711"/>
      <c r="AL29" s="711"/>
      <c r="AM29" s="711"/>
      <c r="AN29" s="711"/>
      <c r="AO29" s="711"/>
      <c r="AP29" s="711"/>
      <c r="AQ29" s="711"/>
      <c r="AR29" s="711"/>
      <c r="AS29" s="711"/>
      <c r="AT29" s="711"/>
      <c r="AU29" s="711"/>
      <c r="AV29" s="711"/>
      <c r="AW29" s="711"/>
      <c r="AX29" s="711"/>
      <c r="AY29" s="711"/>
      <c r="AZ29" s="711"/>
      <c r="BA29" s="711"/>
      <c r="BB29" s="711"/>
      <c r="BC29" s="711"/>
      <c r="BD29" s="711"/>
      <c r="BE29" s="711"/>
      <c r="BF29" s="711"/>
      <c r="BG29" s="711"/>
      <c r="BH29" s="711"/>
      <c r="BI29" s="711"/>
      <c r="BJ29" s="711"/>
      <c r="BK29" s="711"/>
      <c r="BL29" s="711"/>
      <c r="BM29" s="711"/>
      <c r="BN29" s="711"/>
      <c r="BO29" s="711"/>
      <c r="BP29" s="711"/>
      <c r="BQ29" s="711"/>
      <c r="BR29" s="711"/>
      <c r="BS29" s="711"/>
      <c r="BT29" s="711"/>
      <c r="BU29" s="711"/>
      <c r="BV29" s="711"/>
      <c r="BW29" s="711"/>
      <c r="BX29" s="711"/>
      <c r="BY29" s="711"/>
      <c r="BZ29" s="711"/>
      <c r="CA29" s="711"/>
      <c r="CB29" s="711"/>
      <c r="CC29" s="711"/>
      <c r="CD29" s="711"/>
      <c r="CE29" s="711"/>
      <c r="CF29" s="711"/>
      <c r="CG29" s="711"/>
      <c r="CH29" s="711"/>
      <c r="CI29" s="711"/>
      <c r="CJ29" s="711"/>
      <c r="CK29" s="711"/>
      <c r="CL29" s="711"/>
      <c r="CM29" s="711"/>
      <c r="CN29" s="711"/>
      <c r="CO29" s="711"/>
      <c r="CP29" s="711"/>
      <c r="CQ29" s="711"/>
      <c r="CR29" s="711"/>
      <c r="CS29" s="711"/>
      <c r="CT29" s="711"/>
      <c r="CU29" s="711"/>
      <c r="CV29" s="711"/>
      <c r="CW29" s="711"/>
      <c r="CX29" s="711"/>
      <c r="CY29" s="711"/>
      <c r="CZ29" s="711"/>
      <c r="DA29" s="711"/>
      <c r="DB29" s="711"/>
      <c r="DC29" s="711"/>
      <c r="DD29" s="711"/>
      <c r="DE29" s="711"/>
      <c r="DF29" s="711"/>
      <c r="DG29" s="711"/>
      <c r="DH29" s="711"/>
      <c r="DI29" s="711"/>
      <c r="DJ29" s="711"/>
      <c r="DK29" s="711"/>
      <c r="DL29" s="711"/>
      <c r="DM29" s="711"/>
      <c r="DN29" s="711"/>
      <c r="DO29" s="711"/>
      <c r="DP29" s="711"/>
      <c r="DQ29" s="711"/>
      <c r="DR29" s="711"/>
      <c r="DS29" s="711"/>
      <c r="DT29" s="711"/>
      <c r="DU29" s="711"/>
      <c r="DV29" s="711"/>
      <c r="DW29" s="711"/>
      <c r="DX29" s="711"/>
      <c r="DY29" s="711"/>
      <c r="DZ29" s="711"/>
      <c r="EA29" s="711"/>
      <c r="EB29" s="711"/>
      <c r="EC29" s="711"/>
      <c r="ED29" s="711"/>
      <c r="EE29" s="711"/>
      <c r="EF29" s="711"/>
      <c r="EG29" s="711"/>
      <c r="EH29" s="711"/>
      <c r="EI29" s="711"/>
      <c r="EJ29" s="711"/>
      <c r="EK29" s="711"/>
      <c r="EL29" s="711"/>
      <c r="EM29" s="711"/>
      <c r="EN29" s="711"/>
      <c r="EO29" s="711"/>
      <c r="EP29" s="711"/>
      <c r="EQ29" s="711"/>
      <c r="ER29" s="711"/>
      <c r="ES29" s="711"/>
      <c r="ET29" s="711"/>
      <c r="EU29" s="711"/>
      <c r="EV29" s="711"/>
      <c r="EW29" s="711"/>
      <c r="EX29" s="711"/>
      <c r="EY29" s="711"/>
      <c r="EZ29" s="711"/>
      <c r="FA29" s="711"/>
      <c r="FB29" s="711"/>
      <c r="FC29" s="711"/>
      <c r="FD29" s="711"/>
      <c r="FE29" s="711"/>
      <c r="FF29" s="711"/>
      <c r="FG29" s="711"/>
      <c r="FH29" s="711"/>
      <c r="FI29" s="711"/>
      <c r="FJ29" s="711"/>
      <c r="FK29" s="711"/>
      <c r="FL29" s="711"/>
      <c r="FM29" s="711"/>
      <c r="FN29" s="711"/>
      <c r="FO29" s="711"/>
      <c r="FP29" s="711"/>
      <c r="FQ29" s="711"/>
      <c r="FR29" s="711"/>
      <c r="FS29" s="711"/>
      <c r="FT29" s="711"/>
      <c r="FU29" s="711"/>
      <c r="FV29" s="711"/>
      <c r="FW29" s="711"/>
      <c r="FX29" s="711"/>
      <c r="FY29" s="711"/>
      <c r="FZ29" s="711"/>
      <c r="GA29" s="711"/>
      <c r="GB29" s="711"/>
      <c r="GC29" s="711"/>
      <c r="GD29" s="711"/>
      <c r="GE29" s="711"/>
      <c r="GF29" s="711"/>
      <c r="GG29" s="711"/>
      <c r="GH29" s="711"/>
      <c r="GI29" s="711"/>
      <c r="GJ29" s="711"/>
      <c r="GK29" s="711"/>
      <c r="GL29" s="711"/>
      <c r="GM29" s="711"/>
      <c r="GN29" s="711"/>
      <c r="GO29" s="711"/>
    </row>
    <row r="30" spans="1:197" ht="12.75">
      <c r="A30" s="728"/>
      <c r="B30" s="728"/>
      <c r="C30" s="711"/>
      <c r="D30" s="728"/>
      <c r="E30" s="728"/>
      <c r="F30" s="711"/>
      <c r="G30" s="728"/>
      <c r="H30" s="728"/>
      <c r="I30" s="711"/>
      <c r="J30" s="711"/>
      <c r="K30" s="711"/>
      <c r="L30" s="711"/>
      <c r="M30" s="711"/>
      <c r="N30" s="711"/>
      <c r="O30" s="711"/>
      <c r="P30" s="728"/>
      <c r="Q30" s="711"/>
      <c r="R30" s="711"/>
      <c r="S30" s="711"/>
      <c r="T30" s="711"/>
      <c r="U30" s="711"/>
      <c r="V30" s="711"/>
      <c r="W30" s="711"/>
      <c r="X30" s="711"/>
      <c r="Y30" s="711"/>
      <c r="Z30" s="711"/>
      <c r="AA30" s="711"/>
      <c r="AB30" s="711"/>
      <c r="AC30" s="711"/>
      <c r="AD30" s="711"/>
      <c r="AE30" s="711"/>
      <c r="AF30" s="711"/>
      <c r="AG30" s="711"/>
      <c r="AH30" s="711"/>
      <c r="AI30" s="711"/>
      <c r="AJ30" s="711"/>
      <c r="AK30" s="711"/>
      <c r="AL30" s="711"/>
      <c r="AM30" s="711"/>
      <c r="AN30" s="711"/>
      <c r="AO30" s="711"/>
      <c r="AP30" s="711"/>
      <c r="AQ30" s="711"/>
      <c r="AR30" s="711"/>
      <c r="AS30" s="711"/>
      <c r="AT30" s="711"/>
      <c r="AU30" s="711"/>
      <c r="AV30" s="711"/>
      <c r="AW30" s="711"/>
      <c r="AX30" s="711"/>
      <c r="AY30" s="711"/>
      <c r="AZ30" s="711"/>
      <c r="BA30" s="711"/>
      <c r="BB30" s="711"/>
      <c r="BC30" s="711"/>
      <c r="BD30" s="711"/>
      <c r="BE30" s="711"/>
      <c r="BF30" s="711"/>
      <c r="BG30" s="711"/>
      <c r="BH30" s="711"/>
      <c r="BI30" s="711"/>
      <c r="BJ30" s="711"/>
      <c r="BK30" s="711"/>
      <c r="BL30" s="711"/>
      <c r="BM30" s="711"/>
      <c r="BN30" s="711"/>
      <c r="BO30" s="711"/>
      <c r="BP30" s="711"/>
      <c r="BQ30" s="711"/>
      <c r="BR30" s="711"/>
      <c r="BS30" s="711"/>
      <c r="BT30" s="711"/>
      <c r="BU30" s="711"/>
      <c r="BV30" s="711"/>
      <c r="BW30" s="711"/>
      <c r="BX30" s="711"/>
      <c r="BY30" s="711"/>
      <c r="BZ30" s="711"/>
      <c r="CA30" s="711"/>
      <c r="CB30" s="711"/>
      <c r="CC30" s="711"/>
      <c r="CD30" s="711"/>
      <c r="CE30" s="711"/>
      <c r="CF30" s="711"/>
      <c r="CG30" s="711"/>
      <c r="CH30" s="711"/>
      <c r="CI30" s="711"/>
      <c r="CJ30" s="711"/>
      <c r="CK30" s="711"/>
      <c r="CL30" s="711"/>
      <c r="CM30" s="711"/>
      <c r="CN30" s="711"/>
      <c r="CO30" s="711"/>
      <c r="CP30" s="711"/>
      <c r="CQ30" s="711"/>
      <c r="CR30" s="711"/>
      <c r="CS30" s="711"/>
      <c r="CT30" s="711"/>
      <c r="CU30" s="711"/>
      <c r="CV30" s="711"/>
      <c r="CW30" s="711"/>
      <c r="CX30" s="711"/>
      <c r="CY30" s="711"/>
      <c r="CZ30" s="711"/>
      <c r="DA30" s="711"/>
      <c r="DB30" s="711"/>
      <c r="DC30" s="711"/>
      <c r="DD30" s="711"/>
      <c r="DE30" s="711"/>
      <c r="DF30" s="711"/>
      <c r="DG30" s="711"/>
      <c r="DH30" s="711"/>
      <c r="DI30" s="711"/>
      <c r="DJ30" s="711"/>
      <c r="DK30" s="711"/>
      <c r="DL30" s="711"/>
      <c r="DM30" s="711"/>
      <c r="DN30" s="711"/>
      <c r="DO30" s="711"/>
      <c r="DP30" s="711"/>
      <c r="DQ30" s="711"/>
      <c r="DR30" s="711"/>
      <c r="DS30" s="711"/>
      <c r="DT30" s="711"/>
      <c r="DU30" s="711"/>
      <c r="DV30" s="711"/>
      <c r="DW30" s="711"/>
      <c r="DX30" s="711"/>
      <c r="DY30" s="711"/>
      <c r="DZ30" s="711"/>
      <c r="EA30" s="711"/>
      <c r="EB30" s="711"/>
      <c r="EC30" s="711"/>
      <c r="ED30" s="711"/>
      <c r="EE30" s="711"/>
      <c r="EF30" s="711"/>
      <c r="EG30" s="711"/>
      <c r="EH30" s="711"/>
      <c r="EI30" s="711"/>
      <c r="EJ30" s="711"/>
      <c r="EK30" s="711"/>
      <c r="EL30" s="711"/>
      <c r="EM30" s="711"/>
      <c r="EN30" s="711"/>
      <c r="EO30" s="711"/>
      <c r="EP30" s="711"/>
      <c r="EQ30" s="711"/>
      <c r="ER30" s="711"/>
      <c r="ES30" s="711"/>
      <c r="ET30" s="711"/>
      <c r="EU30" s="711"/>
      <c r="EV30" s="711"/>
      <c r="EW30" s="711"/>
      <c r="EX30" s="711"/>
      <c r="EY30" s="711"/>
      <c r="EZ30" s="711"/>
      <c r="FA30" s="711"/>
      <c r="FB30" s="711"/>
      <c r="FC30" s="711"/>
      <c r="FD30" s="711"/>
      <c r="FE30" s="711"/>
      <c r="FF30" s="711"/>
      <c r="FG30" s="711"/>
      <c r="FH30" s="711"/>
      <c r="FI30" s="711"/>
      <c r="FJ30" s="711"/>
      <c r="FK30" s="711"/>
      <c r="FL30" s="711"/>
      <c r="FM30" s="711"/>
      <c r="FN30" s="711"/>
      <c r="FO30" s="711"/>
      <c r="FP30" s="711"/>
      <c r="FQ30" s="711"/>
      <c r="FR30" s="711"/>
      <c r="FS30" s="711"/>
      <c r="FT30" s="711"/>
      <c r="FU30" s="711"/>
      <c r="FV30" s="711"/>
      <c r="FW30" s="711"/>
      <c r="FX30" s="711"/>
      <c r="FY30" s="711"/>
      <c r="FZ30" s="711"/>
      <c r="GA30" s="711"/>
      <c r="GB30" s="711"/>
      <c r="GC30" s="711"/>
      <c r="GD30" s="711"/>
      <c r="GE30" s="711"/>
      <c r="GF30" s="711"/>
      <c r="GG30" s="711"/>
      <c r="GH30" s="711"/>
      <c r="GI30" s="711"/>
      <c r="GJ30" s="711"/>
      <c r="GK30" s="711"/>
      <c r="GL30" s="711"/>
      <c r="GM30" s="711"/>
      <c r="GN30" s="711"/>
      <c r="GO30" s="711"/>
    </row>
    <row r="31" spans="1:197" ht="12.75">
      <c r="A31" s="728"/>
      <c r="B31" s="728"/>
      <c r="C31" s="711"/>
      <c r="D31" s="728"/>
      <c r="E31" s="728"/>
      <c r="F31" s="711"/>
      <c r="G31" s="728"/>
      <c r="H31" s="728"/>
      <c r="I31" s="711"/>
      <c r="J31" s="711"/>
      <c r="K31" s="711"/>
      <c r="L31" s="711"/>
      <c r="M31" s="711"/>
      <c r="N31" s="711"/>
      <c r="O31" s="711"/>
      <c r="P31" s="728"/>
      <c r="Q31" s="711"/>
      <c r="R31" s="711"/>
      <c r="S31" s="711"/>
      <c r="T31" s="711"/>
      <c r="U31" s="711"/>
      <c r="V31" s="711"/>
      <c r="W31" s="711"/>
      <c r="X31" s="711"/>
      <c r="Y31" s="711"/>
      <c r="Z31" s="711"/>
      <c r="AA31" s="711"/>
      <c r="AB31" s="711"/>
      <c r="AC31" s="711"/>
      <c r="AD31" s="711"/>
      <c r="AE31" s="711"/>
      <c r="AF31" s="711"/>
      <c r="AG31" s="711"/>
      <c r="AH31" s="711"/>
      <c r="AI31" s="711"/>
      <c r="AJ31" s="711"/>
      <c r="AK31" s="711"/>
      <c r="AL31" s="711"/>
      <c r="AM31" s="711"/>
      <c r="AN31" s="711"/>
      <c r="AO31" s="711"/>
      <c r="AP31" s="711"/>
      <c r="AQ31" s="711"/>
      <c r="AR31" s="711"/>
      <c r="AS31" s="711"/>
      <c r="AT31" s="711"/>
      <c r="AU31" s="711"/>
      <c r="AV31" s="711"/>
      <c r="AW31" s="711"/>
      <c r="AX31" s="711"/>
      <c r="AY31" s="711"/>
      <c r="AZ31" s="711"/>
      <c r="BA31" s="711"/>
      <c r="BB31" s="711"/>
      <c r="BC31" s="711"/>
      <c r="BD31" s="711"/>
      <c r="BE31" s="711"/>
      <c r="BF31" s="711"/>
      <c r="BG31" s="711"/>
      <c r="BH31" s="711"/>
      <c r="BI31" s="711"/>
      <c r="BJ31" s="711"/>
      <c r="BK31" s="711"/>
      <c r="BL31" s="711"/>
      <c r="BM31" s="711"/>
      <c r="BN31" s="711"/>
      <c r="BO31" s="711"/>
      <c r="BP31" s="711"/>
      <c r="BQ31" s="711"/>
      <c r="BR31" s="711"/>
      <c r="BS31" s="711"/>
      <c r="BT31" s="711"/>
      <c r="BU31" s="711"/>
      <c r="BV31" s="711"/>
      <c r="BW31" s="711"/>
      <c r="BX31" s="711"/>
      <c r="BY31" s="711"/>
      <c r="BZ31" s="711"/>
      <c r="CA31" s="711"/>
      <c r="CB31" s="711"/>
      <c r="CC31" s="711"/>
      <c r="CD31" s="711"/>
      <c r="CE31" s="711"/>
      <c r="CF31" s="711"/>
      <c r="CG31" s="711"/>
      <c r="CH31" s="711"/>
      <c r="CI31" s="711"/>
      <c r="CJ31" s="711"/>
      <c r="CK31" s="711"/>
      <c r="CL31" s="711"/>
      <c r="CM31" s="711"/>
      <c r="CN31" s="711"/>
      <c r="CO31" s="711"/>
      <c r="CP31" s="711"/>
      <c r="CQ31" s="711"/>
      <c r="CR31" s="711"/>
      <c r="CS31" s="711"/>
      <c r="CT31" s="711"/>
      <c r="CU31" s="711"/>
      <c r="CV31" s="711"/>
      <c r="CW31" s="711"/>
      <c r="CX31" s="711"/>
      <c r="CY31" s="711"/>
      <c r="CZ31" s="711"/>
      <c r="DA31" s="711"/>
      <c r="DB31" s="711"/>
      <c r="DC31" s="711"/>
      <c r="DD31" s="711"/>
      <c r="DE31" s="711"/>
      <c r="DF31" s="711"/>
      <c r="DG31" s="711"/>
      <c r="DH31" s="711"/>
      <c r="DI31" s="711"/>
      <c r="DJ31" s="711"/>
      <c r="DK31" s="711"/>
      <c r="DL31" s="711"/>
      <c r="DM31" s="711"/>
      <c r="DN31" s="711"/>
      <c r="DO31" s="711"/>
      <c r="DP31" s="711"/>
      <c r="DQ31" s="711"/>
      <c r="DR31" s="711"/>
      <c r="DS31" s="711"/>
      <c r="DT31" s="711"/>
      <c r="DU31" s="711"/>
      <c r="DV31" s="711"/>
      <c r="DW31" s="711"/>
      <c r="DX31" s="711"/>
      <c r="DY31" s="711"/>
      <c r="DZ31" s="711"/>
      <c r="EA31" s="711"/>
      <c r="EB31" s="711"/>
      <c r="EC31" s="711"/>
      <c r="ED31" s="711"/>
      <c r="EE31" s="711"/>
      <c r="EF31" s="711"/>
      <c r="EG31" s="711"/>
      <c r="EH31" s="711"/>
      <c r="EI31" s="711"/>
      <c r="EJ31" s="711"/>
      <c r="EK31" s="711"/>
      <c r="EL31" s="711"/>
      <c r="EM31" s="711"/>
      <c r="EN31" s="711"/>
      <c r="EO31" s="711"/>
      <c r="EP31" s="711"/>
      <c r="EQ31" s="711"/>
      <c r="ER31" s="711"/>
      <c r="ES31" s="711"/>
      <c r="ET31" s="711"/>
      <c r="EU31" s="711"/>
      <c r="EV31" s="711"/>
      <c r="EW31" s="711"/>
      <c r="EX31" s="711"/>
      <c r="EY31" s="711"/>
      <c r="EZ31" s="711"/>
      <c r="FA31" s="711"/>
      <c r="FB31" s="711"/>
      <c r="FC31" s="711"/>
      <c r="FD31" s="711"/>
      <c r="FE31" s="711"/>
      <c r="FF31" s="711"/>
      <c r="FG31" s="711"/>
      <c r="FH31" s="711"/>
      <c r="FI31" s="711"/>
      <c r="FJ31" s="711"/>
      <c r="FK31" s="711"/>
      <c r="FL31" s="711"/>
      <c r="FM31" s="711"/>
      <c r="FN31" s="711"/>
      <c r="FO31" s="711"/>
      <c r="FP31" s="711"/>
      <c r="FQ31" s="711"/>
      <c r="FR31" s="711"/>
      <c r="FS31" s="711"/>
      <c r="FT31" s="711"/>
      <c r="FU31" s="711"/>
      <c r="FV31" s="711"/>
      <c r="FW31" s="711"/>
      <c r="FX31" s="711"/>
      <c r="FY31" s="711"/>
      <c r="FZ31" s="711"/>
      <c r="GA31" s="711"/>
      <c r="GB31" s="711"/>
      <c r="GC31" s="711"/>
      <c r="GD31" s="711"/>
      <c r="GE31" s="711"/>
      <c r="GF31" s="711"/>
      <c r="GG31" s="711"/>
      <c r="GH31" s="711"/>
      <c r="GI31" s="711"/>
      <c r="GJ31" s="711"/>
      <c r="GK31" s="711"/>
      <c r="GL31" s="711"/>
      <c r="GM31" s="711"/>
      <c r="GN31" s="711"/>
      <c r="GO31" s="711"/>
    </row>
    <row r="32" spans="1:197" ht="12.75">
      <c r="A32" s="728"/>
      <c r="B32" s="728"/>
      <c r="C32" s="711"/>
      <c r="D32" s="728"/>
      <c r="E32" s="728"/>
      <c r="F32" s="711"/>
      <c r="G32" s="728"/>
      <c r="H32" s="728"/>
      <c r="I32" s="711"/>
      <c r="J32" s="711"/>
      <c r="K32" s="711"/>
      <c r="L32" s="711"/>
      <c r="M32" s="711"/>
      <c r="N32" s="711"/>
      <c r="O32" s="711"/>
      <c r="P32" s="728"/>
      <c r="Q32" s="711"/>
      <c r="R32" s="711"/>
      <c r="S32" s="711"/>
      <c r="T32" s="711"/>
      <c r="U32" s="711"/>
      <c r="V32" s="711"/>
      <c r="W32" s="711"/>
      <c r="X32" s="711"/>
      <c r="Y32" s="711"/>
      <c r="Z32" s="711"/>
      <c r="AA32" s="711"/>
      <c r="AB32" s="711"/>
      <c r="AC32" s="711"/>
      <c r="AD32" s="711"/>
      <c r="AE32" s="711"/>
      <c r="AF32" s="711"/>
      <c r="AG32" s="711"/>
      <c r="AH32" s="711"/>
      <c r="AI32" s="711"/>
      <c r="AJ32" s="711"/>
      <c r="AK32" s="711"/>
      <c r="AL32" s="711"/>
      <c r="AM32" s="711"/>
      <c r="AN32" s="711"/>
      <c r="AO32" s="711"/>
      <c r="AP32" s="711"/>
      <c r="AQ32" s="711"/>
      <c r="AR32" s="711"/>
      <c r="AS32" s="711"/>
      <c r="AT32" s="711"/>
      <c r="AU32" s="711"/>
      <c r="AV32" s="711"/>
      <c r="AW32" s="711"/>
      <c r="AX32" s="711"/>
      <c r="AY32" s="711"/>
      <c r="AZ32" s="711"/>
      <c r="BA32" s="711"/>
      <c r="BB32" s="711"/>
      <c r="BC32" s="711"/>
      <c r="BD32" s="711"/>
      <c r="BE32" s="711"/>
      <c r="BF32" s="711"/>
      <c r="BG32" s="711"/>
      <c r="BH32" s="711"/>
      <c r="BI32" s="711"/>
      <c r="BJ32" s="711"/>
      <c r="BK32" s="711"/>
      <c r="BL32" s="711"/>
      <c r="BM32" s="711"/>
      <c r="BN32" s="711"/>
      <c r="BO32" s="711"/>
      <c r="BP32" s="711"/>
      <c r="BQ32" s="711"/>
      <c r="BR32" s="711"/>
      <c r="BS32" s="711"/>
      <c r="BT32" s="711"/>
      <c r="BU32" s="711"/>
      <c r="BV32" s="711"/>
      <c r="BW32" s="711"/>
      <c r="BX32" s="711"/>
      <c r="BY32" s="711"/>
      <c r="BZ32" s="711"/>
      <c r="CA32" s="711"/>
      <c r="CB32" s="711"/>
      <c r="CC32" s="711"/>
      <c r="CD32" s="711"/>
      <c r="CE32" s="711"/>
      <c r="CF32" s="711"/>
      <c r="CG32" s="711"/>
      <c r="CH32" s="711"/>
      <c r="CI32" s="711"/>
      <c r="CJ32" s="711"/>
      <c r="CK32" s="711"/>
      <c r="CL32" s="711"/>
      <c r="CM32" s="711"/>
      <c r="CN32" s="711"/>
      <c r="CO32" s="711"/>
      <c r="CP32" s="711"/>
      <c r="CQ32" s="711"/>
      <c r="CR32" s="711"/>
      <c r="CS32" s="711"/>
      <c r="CT32" s="711"/>
      <c r="CU32" s="711"/>
      <c r="CV32" s="711"/>
      <c r="CW32" s="711"/>
      <c r="CX32" s="711"/>
      <c r="CY32" s="711"/>
      <c r="CZ32" s="711"/>
      <c r="DA32" s="711"/>
      <c r="DB32" s="711"/>
      <c r="DC32" s="711"/>
      <c r="DD32" s="711"/>
      <c r="DE32" s="711"/>
      <c r="DF32" s="711"/>
      <c r="DG32" s="711"/>
      <c r="DH32" s="711"/>
      <c r="DI32" s="711"/>
      <c r="DJ32" s="711"/>
      <c r="DK32" s="711"/>
      <c r="DL32" s="711"/>
      <c r="DM32" s="711"/>
      <c r="DN32" s="711"/>
      <c r="DO32" s="711"/>
      <c r="DP32" s="711"/>
      <c r="DQ32" s="711"/>
      <c r="DR32" s="711"/>
      <c r="DS32" s="711"/>
      <c r="DT32" s="711"/>
      <c r="DU32" s="711"/>
      <c r="DV32" s="711"/>
      <c r="DW32" s="711"/>
      <c r="DX32" s="711"/>
      <c r="DY32" s="711"/>
      <c r="DZ32" s="711"/>
      <c r="EA32" s="711"/>
      <c r="EB32" s="711"/>
      <c r="EC32" s="711"/>
      <c r="ED32" s="711"/>
      <c r="EE32" s="711"/>
      <c r="EF32" s="711"/>
      <c r="EG32" s="711"/>
      <c r="EH32" s="711"/>
      <c r="EI32" s="711"/>
      <c r="EJ32" s="711"/>
      <c r="EK32" s="711"/>
      <c r="EL32" s="711"/>
      <c r="EM32" s="711"/>
      <c r="EN32" s="711"/>
      <c r="EO32" s="711"/>
      <c r="EP32" s="711"/>
      <c r="EQ32" s="711"/>
      <c r="ER32" s="711"/>
      <c r="ES32" s="711"/>
      <c r="ET32" s="711"/>
      <c r="EU32" s="711"/>
      <c r="EV32" s="711"/>
      <c r="EW32" s="711"/>
      <c r="EX32" s="711"/>
      <c r="EY32" s="711"/>
      <c r="EZ32" s="711"/>
      <c r="FA32" s="711"/>
      <c r="FB32" s="711"/>
      <c r="FC32" s="711"/>
      <c r="FD32" s="711"/>
      <c r="FE32" s="711"/>
      <c r="FF32" s="711"/>
      <c r="FG32" s="711"/>
      <c r="FH32" s="711"/>
      <c r="FI32" s="711"/>
      <c r="FJ32" s="711"/>
      <c r="FK32" s="711"/>
      <c r="FL32" s="711"/>
      <c r="FM32" s="711"/>
      <c r="FN32" s="711"/>
      <c r="FO32" s="711"/>
      <c r="FP32" s="711"/>
      <c r="FQ32" s="711"/>
      <c r="FR32" s="711"/>
      <c r="FS32" s="711"/>
      <c r="FT32" s="711"/>
      <c r="FU32" s="711"/>
      <c r="FV32" s="711"/>
      <c r="FW32" s="711"/>
      <c r="FX32" s="711"/>
      <c r="FY32" s="711"/>
      <c r="FZ32" s="711"/>
      <c r="GA32" s="711"/>
      <c r="GB32" s="711"/>
      <c r="GC32" s="711"/>
      <c r="GD32" s="711"/>
      <c r="GE32" s="711"/>
      <c r="GF32" s="711"/>
      <c r="GG32" s="711"/>
      <c r="GH32" s="711"/>
      <c r="GI32" s="711"/>
      <c r="GJ32" s="711"/>
      <c r="GK32" s="711"/>
      <c r="GL32" s="711"/>
      <c r="GM32" s="711"/>
      <c r="GN32" s="711"/>
      <c r="GO32" s="711"/>
    </row>
    <row r="33" spans="1:197" ht="12.75">
      <c r="A33" s="728"/>
      <c r="B33" s="728"/>
      <c r="C33" s="711"/>
      <c r="D33" s="728"/>
      <c r="E33" s="728"/>
      <c r="F33" s="711"/>
      <c r="G33" s="728"/>
      <c r="H33" s="728"/>
      <c r="I33" s="711"/>
      <c r="J33" s="711"/>
      <c r="K33" s="711"/>
      <c r="L33" s="711"/>
      <c r="M33" s="711"/>
      <c r="N33" s="711"/>
      <c r="O33" s="711"/>
      <c r="P33" s="728"/>
      <c r="Q33" s="711"/>
      <c r="R33" s="711"/>
      <c r="S33" s="711"/>
      <c r="T33" s="711"/>
      <c r="U33" s="711"/>
      <c r="V33" s="711"/>
      <c r="W33" s="711"/>
      <c r="X33" s="711"/>
      <c r="Y33" s="711"/>
      <c r="Z33" s="711"/>
      <c r="AA33" s="711"/>
      <c r="AB33" s="711"/>
      <c r="AC33" s="711"/>
      <c r="AD33" s="711"/>
      <c r="AE33" s="711"/>
      <c r="AF33" s="711"/>
      <c r="AG33" s="711"/>
      <c r="AH33" s="711"/>
      <c r="AI33" s="711"/>
      <c r="AJ33" s="711"/>
      <c r="AK33" s="711"/>
      <c r="AL33" s="711"/>
      <c r="AM33" s="711"/>
      <c r="AN33" s="711"/>
      <c r="AO33" s="711"/>
      <c r="AP33" s="711"/>
      <c r="AQ33" s="711"/>
      <c r="AR33" s="711"/>
      <c r="AS33" s="711"/>
      <c r="AT33" s="711"/>
      <c r="AU33" s="711"/>
      <c r="AV33" s="711"/>
      <c r="AW33" s="711"/>
      <c r="AX33" s="711"/>
      <c r="AY33" s="711"/>
      <c r="AZ33" s="711"/>
      <c r="BA33" s="711"/>
      <c r="BB33" s="711"/>
      <c r="BC33" s="711"/>
      <c r="BD33" s="711"/>
      <c r="BE33" s="711"/>
      <c r="BF33" s="711"/>
      <c r="BG33" s="711"/>
      <c r="BH33" s="711"/>
      <c r="BI33" s="711"/>
      <c r="BJ33" s="711"/>
      <c r="BK33" s="711"/>
      <c r="BL33" s="711"/>
      <c r="BM33" s="711"/>
      <c r="BN33" s="711"/>
      <c r="BO33" s="711"/>
      <c r="BP33" s="711"/>
      <c r="BQ33" s="711"/>
      <c r="BR33" s="711"/>
      <c r="BS33" s="711"/>
      <c r="BT33" s="711"/>
      <c r="BU33" s="711"/>
      <c r="BV33" s="711"/>
      <c r="BW33" s="711"/>
      <c r="BX33" s="711"/>
      <c r="BY33" s="711"/>
      <c r="BZ33" s="711"/>
      <c r="CA33" s="711"/>
      <c r="CB33" s="711"/>
      <c r="CC33" s="711"/>
      <c r="CD33" s="711"/>
      <c r="CE33" s="711"/>
      <c r="CF33" s="711"/>
      <c r="CG33" s="711"/>
      <c r="CH33" s="711"/>
      <c r="CI33" s="711"/>
      <c r="CJ33" s="711"/>
      <c r="CK33" s="711"/>
      <c r="CL33" s="711"/>
      <c r="CM33" s="711"/>
      <c r="CN33" s="711"/>
      <c r="CO33" s="711"/>
      <c r="CP33" s="711"/>
      <c r="CQ33" s="711"/>
      <c r="CR33" s="711"/>
      <c r="CS33" s="711"/>
      <c r="CT33" s="711"/>
      <c r="CU33" s="711"/>
      <c r="CV33" s="711"/>
      <c r="CW33" s="711"/>
      <c r="CX33" s="711"/>
      <c r="CY33" s="711"/>
      <c r="CZ33" s="711"/>
      <c r="DA33" s="711"/>
      <c r="DB33" s="711"/>
      <c r="DC33" s="711"/>
      <c r="DD33" s="711"/>
      <c r="DE33" s="711"/>
      <c r="DF33" s="711"/>
      <c r="DG33" s="711"/>
      <c r="DH33" s="711"/>
      <c r="DI33" s="711"/>
      <c r="DJ33" s="711"/>
      <c r="DK33" s="711"/>
      <c r="DL33" s="711"/>
      <c r="DM33" s="711"/>
      <c r="DN33" s="711"/>
      <c r="DO33" s="711"/>
      <c r="DP33" s="711"/>
      <c r="DQ33" s="711"/>
      <c r="DR33" s="711"/>
      <c r="DS33" s="711"/>
      <c r="DT33" s="711"/>
      <c r="DU33" s="711"/>
      <c r="DV33" s="711"/>
      <c r="DW33" s="711"/>
      <c r="DX33" s="711"/>
      <c r="DY33" s="711"/>
      <c r="DZ33" s="711"/>
      <c r="EA33" s="711"/>
      <c r="EB33" s="711"/>
      <c r="EC33" s="711"/>
      <c r="ED33" s="711"/>
      <c r="EE33" s="711"/>
      <c r="EF33" s="711"/>
      <c r="EG33" s="711"/>
      <c r="EH33" s="711"/>
      <c r="EI33" s="711"/>
      <c r="EJ33" s="711"/>
      <c r="EK33" s="711"/>
      <c r="EL33" s="711"/>
      <c r="EM33" s="711"/>
      <c r="EN33" s="711"/>
      <c r="EO33" s="711"/>
      <c r="EP33" s="711"/>
      <c r="EQ33" s="711"/>
      <c r="ER33" s="711"/>
      <c r="ES33" s="711"/>
      <c r="ET33" s="711"/>
      <c r="EU33" s="711"/>
      <c r="EV33" s="711"/>
      <c r="EW33" s="711"/>
      <c r="EX33" s="711"/>
      <c r="EY33" s="711"/>
      <c r="EZ33" s="711"/>
      <c r="FA33" s="711"/>
      <c r="FB33" s="711"/>
      <c r="FC33" s="711"/>
      <c r="FD33" s="711"/>
      <c r="FE33" s="711"/>
      <c r="FF33" s="711"/>
      <c r="FG33" s="711"/>
      <c r="FH33" s="711"/>
      <c r="FI33" s="711"/>
      <c r="FJ33" s="711"/>
      <c r="FK33" s="711"/>
      <c r="FL33" s="711"/>
      <c r="FM33" s="711"/>
      <c r="FN33" s="711"/>
      <c r="FO33" s="711"/>
      <c r="FP33" s="711"/>
      <c r="FQ33" s="711"/>
      <c r="FR33" s="711"/>
      <c r="FS33" s="711"/>
      <c r="FT33" s="711"/>
      <c r="FU33" s="711"/>
      <c r="FV33" s="711"/>
      <c r="FW33" s="711"/>
      <c r="FX33" s="711"/>
      <c r="FY33" s="711"/>
      <c r="FZ33" s="711"/>
      <c r="GA33" s="711"/>
      <c r="GB33" s="711"/>
      <c r="GC33" s="711"/>
      <c r="GD33" s="711"/>
      <c r="GE33" s="711"/>
      <c r="GF33" s="711"/>
      <c r="GG33" s="711"/>
      <c r="GH33" s="711"/>
      <c r="GI33" s="711"/>
      <c r="GJ33" s="711"/>
      <c r="GK33" s="711"/>
      <c r="GL33" s="711"/>
      <c r="GM33" s="711"/>
      <c r="GN33" s="711"/>
      <c r="GO33" s="711"/>
    </row>
    <row r="34" spans="1:197" ht="12.75">
      <c r="A34" s="728"/>
      <c r="B34" s="728"/>
      <c r="C34" s="711"/>
      <c r="D34" s="728"/>
      <c r="E34" s="728"/>
      <c r="F34" s="711"/>
      <c r="G34" s="728"/>
      <c r="H34" s="728"/>
      <c r="I34" s="711"/>
      <c r="J34" s="711"/>
      <c r="K34" s="711"/>
      <c r="L34" s="711"/>
      <c r="M34" s="711"/>
      <c r="N34" s="711"/>
      <c r="O34" s="711"/>
      <c r="P34" s="728"/>
      <c r="Q34" s="711"/>
      <c r="R34" s="711"/>
      <c r="S34" s="711"/>
      <c r="T34" s="711"/>
      <c r="U34" s="711"/>
      <c r="V34" s="711"/>
      <c r="W34" s="711"/>
      <c r="X34" s="711"/>
      <c r="Y34" s="711"/>
      <c r="Z34" s="711"/>
      <c r="AA34" s="711"/>
      <c r="AB34" s="711"/>
      <c r="AC34" s="711"/>
      <c r="AD34" s="711"/>
      <c r="AE34" s="711"/>
      <c r="AF34" s="711"/>
      <c r="AG34" s="711"/>
      <c r="AH34" s="711"/>
      <c r="AI34" s="711"/>
      <c r="AJ34" s="711"/>
      <c r="AK34" s="711"/>
      <c r="AL34" s="711"/>
      <c r="AM34" s="711"/>
      <c r="AN34" s="711"/>
      <c r="AO34" s="711"/>
      <c r="AP34" s="711"/>
      <c r="AQ34" s="711"/>
      <c r="AR34" s="711"/>
      <c r="AS34" s="711"/>
      <c r="AT34" s="711"/>
      <c r="AU34" s="711"/>
      <c r="AV34" s="711"/>
      <c r="AW34" s="711"/>
      <c r="AX34" s="711"/>
      <c r="AY34" s="711"/>
      <c r="AZ34" s="711"/>
      <c r="BA34" s="711"/>
      <c r="BB34" s="711"/>
      <c r="BC34" s="711"/>
      <c r="BD34" s="711"/>
      <c r="BE34" s="711"/>
      <c r="BF34" s="711"/>
      <c r="BG34" s="711"/>
      <c r="BH34" s="711"/>
      <c r="BI34" s="711"/>
      <c r="BJ34" s="711"/>
      <c r="BK34" s="711"/>
      <c r="BL34" s="711"/>
      <c r="BM34" s="711"/>
      <c r="BN34" s="711"/>
      <c r="BO34" s="711"/>
      <c r="BP34" s="711"/>
      <c r="BQ34" s="711"/>
      <c r="BR34" s="711"/>
      <c r="BS34" s="711"/>
      <c r="BT34" s="711"/>
      <c r="BU34" s="711"/>
      <c r="BV34" s="711"/>
      <c r="BW34" s="711"/>
      <c r="BX34" s="711"/>
      <c r="BY34" s="711"/>
      <c r="BZ34" s="711"/>
      <c r="CA34" s="711"/>
      <c r="CB34" s="711"/>
      <c r="CC34" s="711"/>
      <c r="CD34" s="711"/>
      <c r="CE34" s="711"/>
      <c r="CF34" s="711"/>
      <c r="CG34" s="711"/>
      <c r="CH34" s="711"/>
      <c r="CI34" s="711"/>
      <c r="CJ34" s="711"/>
      <c r="CK34" s="711"/>
      <c r="CL34" s="711"/>
      <c r="CM34" s="711"/>
      <c r="CN34" s="711"/>
      <c r="CO34" s="711"/>
      <c r="CP34" s="711"/>
      <c r="CQ34" s="711"/>
      <c r="CR34" s="711"/>
      <c r="CS34" s="711"/>
      <c r="CT34" s="711"/>
      <c r="CU34" s="711"/>
      <c r="CV34" s="711"/>
      <c r="CW34" s="711"/>
      <c r="CX34" s="711"/>
      <c r="CY34" s="711"/>
      <c r="CZ34" s="711"/>
      <c r="DA34" s="711"/>
      <c r="DB34" s="711"/>
      <c r="DC34" s="711"/>
      <c r="DD34" s="711"/>
      <c r="DE34" s="711"/>
      <c r="DF34" s="711"/>
      <c r="DG34" s="711"/>
      <c r="DH34" s="711"/>
      <c r="DI34" s="711"/>
      <c r="DJ34" s="711"/>
      <c r="DK34" s="711"/>
      <c r="DL34" s="711"/>
      <c r="DM34" s="711"/>
      <c r="DN34" s="711"/>
      <c r="DO34" s="711"/>
      <c r="DP34" s="711"/>
      <c r="DQ34" s="711"/>
      <c r="DR34" s="711"/>
      <c r="DS34" s="711"/>
      <c r="DT34" s="711"/>
      <c r="DU34" s="711"/>
      <c r="DV34" s="711"/>
      <c r="DW34" s="711"/>
      <c r="DX34" s="711"/>
      <c r="DY34" s="711"/>
      <c r="DZ34" s="711"/>
      <c r="EA34" s="711"/>
      <c r="EB34" s="711"/>
      <c r="EC34" s="711"/>
      <c r="ED34" s="711"/>
      <c r="EE34" s="711"/>
      <c r="EF34" s="711"/>
      <c r="EG34" s="711"/>
      <c r="EH34" s="711"/>
      <c r="EI34" s="711"/>
      <c r="EJ34" s="711"/>
      <c r="EK34" s="711"/>
      <c r="EL34" s="711"/>
      <c r="EM34" s="711"/>
      <c r="EN34" s="711"/>
      <c r="EO34" s="711"/>
      <c r="EP34" s="711"/>
      <c r="EQ34" s="711"/>
      <c r="ER34" s="711"/>
      <c r="ES34" s="711"/>
      <c r="ET34" s="711"/>
      <c r="EU34" s="711"/>
      <c r="EV34" s="711"/>
      <c r="EW34" s="711"/>
      <c r="EX34" s="711"/>
      <c r="EY34" s="711"/>
      <c r="EZ34" s="711"/>
      <c r="FA34" s="711"/>
      <c r="FB34" s="711"/>
      <c r="FC34" s="711"/>
      <c r="FD34" s="711"/>
      <c r="FE34" s="711"/>
      <c r="FF34" s="711"/>
      <c r="FG34" s="711"/>
      <c r="FH34" s="711"/>
      <c r="FI34" s="711"/>
      <c r="FJ34" s="711"/>
      <c r="FK34" s="711"/>
      <c r="FL34" s="711"/>
      <c r="FM34" s="711"/>
      <c r="FN34" s="711"/>
      <c r="FO34" s="711"/>
      <c r="FP34" s="711"/>
      <c r="FQ34" s="711"/>
      <c r="FR34" s="711"/>
      <c r="FS34" s="711"/>
      <c r="FT34" s="711"/>
      <c r="FU34" s="711"/>
      <c r="FV34" s="711"/>
      <c r="FW34" s="711"/>
      <c r="FX34" s="711"/>
      <c r="FY34" s="711"/>
      <c r="FZ34" s="711"/>
      <c r="GA34" s="711"/>
      <c r="GB34" s="711"/>
      <c r="GC34" s="711"/>
      <c r="GD34" s="711"/>
      <c r="GE34" s="711"/>
      <c r="GF34" s="711"/>
      <c r="GG34" s="711"/>
      <c r="GH34" s="711"/>
      <c r="GI34" s="711"/>
      <c r="GJ34" s="711"/>
      <c r="GK34" s="711"/>
      <c r="GL34" s="711"/>
      <c r="GM34" s="711"/>
      <c r="GN34" s="711"/>
      <c r="GO34" s="711"/>
    </row>
  </sheetData>
  <conditionalFormatting sqref="A1:GO1 A3:GO8 A10:GO15 A17:A28 B17:GO34 A30:A34">
    <cfRule type="expression" dxfId="11" priority="1">
      <formula>ISODD(COLUMN())</formula>
    </cfRule>
    <cfRule type="expression" dxfId="10" priority="2">
      <formula>ISEVEN(COLUMN())</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AF0D9-DC0B-428A-BB29-A403E5CACDD1}">
  <sheetPr>
    <outlinePr summaryBelow="0" summaryRight="0"/>
  </sheetPr>
  <dimension ref="A1:D1128"/>
  <sheetViews>
    <sheetView workbookViewId="0">
      <pane ySplit="1" topLeftCell="A2" activePane="bottomLeft" state="frozen"/>
      <selection activeCell="B3" sqref="B3"/>
      <selection pane="bottomLeft" activeCell="B3" sqref="B3"/>
    </sheetView>
  </sheetViews>
  <sheetFormatPr defaultColWidth="12.5703125" defaultRowHeight="15.75" customHeight="1"/>
  <cols>
    <col min="1" max="1" width="18.85546875" customWidth="1"/>
    <col min="2" max="2" width="79.28515625" customWidth="1"/>
    <col min="3" max="3" width="99" customWidth="1"/>
    <col min="4" max="4" width="99.28515625" customWidth="1"/>
  </cols>
  <sheetData>
    <row r="1" spans="1:4" ht="12.75">
      <c r="A1" s="862" t="s">
        <v>1847</v>
      </c>
      <c r="B1" s="861" t="s">
        <v>1846</v>
      </c>
      <c r="C1" s="860" t="s">
        <v>1845</v>
      </c>
      <c r="D1" s="859" t="s">
        <v>1844</v>
      </c>
    </row>
    <row r="2" spans="1:4" ht="12.75">
      <c r="A2" s="858">
        <v>45187.567833391207</v>
      </c>
      <c r="B2" s="857" t="s">
        <v>1843</v>
      </c>
      <c r="C2" s="857" t="s">
        <v>1842</v>
      </c>
      <c r="D2" s="857" t="s">
        <v>1841</v>
      </c>
    </row>
    <row r="3" spans="1:4" ht="12.75">
      <c r="A3" s="858">
        <v>45187.672197025458</v>
      </c>
      <c r="B3" s="857" t="s">
        <v>1840</v>
      </c>
      <c r="C3" s="857" t="s">
        <v>1839</v>
      </c>
      <c r="D3" s="857" t="s">
        <v>1838</v>
      </c>
    </row>
    <row r="4" spans="1:4" ht="12.75">
      <c r="A4" s="858">
        <v>45187.682958356483</v>
      </c>
      <c r="B4" s="857" t="s">
        <v>1837</v>
      </c>
      <c r="C4" s="857" t="s">
        <v>1836</v>
      </c>
      <c r="D4" s="857" t="s">
        <v>1835</v>
      </c>
    </row>
    <row r="5" spans="1:4" ht="12.75">
      <c r="A5" s="858">
        <v>45187.697904629633</v>
      </c>
      <c r="B5" s="857" t="s">
        <v>1834</v>
      </c>
      <c r="C5" s="857" t="s">
        <v>1833</v>
      </c>
      <c r="D5" s="857" t="s">
        <v>1619</v>
      </c>
    </row>
    <row r="6" spans="1:4" ht="25.5">
      <c r="A6" s="858">
        <v>45187.700145601848</v>
      </c>
      <c r="B6" s="857" t="s">
        <v>1832</v>
      </c>
      <c r="C6" s="857" t="s">
        <v>1831</v>
      </c>
      <c r="D6" s="857" t="s">
        <v>1830</v>
      </c>
    </row>
    <row r="7" spans="1:4" ht="25.5">
      <c r="A7" s="858">
        <v>45187.719627314815</v>
      </c>
      <c r="B7" s="857" t="s">
        <v>1829</v>
      </c>
      <c r="C7" s="857"/>
      <c r="D7" s="857" t="s">
        <v>1619</v>
      </c>
    </row>
    <row r="8" spans="1:4" ht="12.75">
      <c r="A8" s="858">
        <v>45187.795294826385</v>
      </c>
      <c r="B8" s="60" t="s">
        <v>1828</v>
      </c>
      <c r="C8" s="787" t="s">
        <v>1827</v>
      </c>
      <c r="D8" s="787" t="s">
        <v>1826</v>
      </c>
    </row>
    <row r="9" spans="1:4" ht="12.75">
      <c r="A9" s="858">
        <v>45187.909826250005</v>
      </c>
      <c r="B9" s="60" t="s">
        <v>1825</v>
      </c>
      <c r="C9" s="787" t="s">
        <v>1824</v>
      </c>
      <c r="D9" s="787" t="s">
        <v>1619</v>
      </c>
    </row>
    <row r="10" spans="1:4" ht="12.75">
      <c r="A10" s="858">
        <v>45187.911928634261</v>
      </c>
      <c r="B10" s="60" t="s">
        <v>1823</v>
      </c>
      <c r="C10" s="787" t="s">
        <v>1822</v>
      </c>
      <c r="D10" s="787" t="s">
        <v>1821</v>
      </c>
    </row>
    <row r="11" spans="1:4" ht="12.75">
      <c r="A11" s="858">
        <v>45188.980211631948</v>
      </c>
      <c r="B11" s="60" t="s">
        <v>1820</v>
      </c>
      <c r="C11" s="60" t="s">
        <v>1819</v>
      </c>
      <c r="D11" s="60" t="s">
        <v>1619</v>
      </c>
    </row>
    <row r="12" spans="1:4" ht="12.75">
      <c r="A12" s="858">
        <v>45188.987106099536</v>
      </c>
      <c r="B12" s="60" t="s">
        <v>1818</v>
      </c>
      <c r="C12" s="60"/>
      <c r="D12" s="60" t="s">
        <v>1817</v>
      </c>
    </row>
    <row r="13" spans="1:4" ht="38.25">
      <c r="A13" s="858">
        <v>45189.921576793982</v>
      </c>
      <c r="B13" s="60"/>
      <c r="C13" s="60" t="s">
        <v>1816</v>
      </c>
      <c r="D13" s="551" t="s">
        <v>1802</v>
      </c>
    </row>
    <row r="14" spans="1:4" ht="12.75">
      <c r="A14" s="858">
        <v>45201.340931886574</v>
      </c>
      <c r="B14" s="60"/>
      <c r="C14" s="60" t="s">
        <v>1815</v>
      </c>
      <c r="D14" s="60" t="s">
        <v>1619</v>
      </c>
    </row>
    <row r="15" spans="1:4" ht="191.25">
      <c r="A15" s="858">
        <v>45203.937335266208</v>
      </c>
      <c r="B15" s="60"/>
      <c r="C15" s="551" t="s">
        <v>1814</v>
      </c>
      <c r="D15" s="60" t="s">
        <v>1813</v>
      </c>
    </row>
    <row r="16" spans="1:4" ht="12.75">
      <c r="A16" s="858">
        <v>45218.052691793986</v>
      </c>
      <c r="B16" s="60"/>
      <c r="C16" s="60" t="s">
        <v>1812</v>
      </c>
      <c r="D16" s="60" t="s">
        <v>1811</v>
      </c>
    </row>
    <row r="17" spans="1:4" ht="12.75">
      <c r="A17" s="858">
        <v>45222.269515462962</v>
      </c>
      <c r="B17" s="60" t="s">
        <v>1810</v>
      </c>
      <c r="C17" s="60" t="s">
        <v>1809</v>
      </c>
      <c r="D17" s="60" t="s">
        <v>1808</v>
      </c>
    </row>
    <row r="18" spans="1:4" ht="76.5">
      <c r="A18" s="858">
        <v>45226.944755300923</v>
      </c>
      <c r="B18" s="551" t="s">
        <v>1807</v>
      </c>
      <c r="C18" s="551" t="s">
        <v>1806</v>
      </c>
      <c r="D18" s="60" t="s">
        <v>1805</v>
      </c>
    </row>
    <row r="19" spans="1:4" ht="38.25">
      <c r="A19" s="858">
        <v>45238.608769583334</v>
      </c>
      <c r="B19" s="60" t="s">
        <v>1804</v>
      </c>
      <c r="C19" s="60" t="s">
        <v>1803</v>
      </c>
      <c r="D19" s="551" t="s">
        <v>1802</v>
      </c>
    </row>
    <row r="20" spans="1:4" ht="12.75">
      <c r="A20" s="858">
        <v>45239.766145844907</v>
      </c>
      <c r="B20" s="60" t="s">
        <v>1801</v>
      </c>
      <c r="C20" s="60" t="s">
        <v>1800</v>
      </c>
      <c r="D20" s="60" t="s">
        <v>1619</v>
      </c>
    </row>
    <row r="21" spans="1:4" ht="12.75">
      <c r="A21" s="858">
        <v>45244.261348796295</v>
      </c>
      <c r="B21" s="60" t="s">
        <v>1799</v>
      </c>
      <c r="C21" s="60" t="s">
        <v>1798</v>
      </c>
      <c r="D21" s="60" t="s">
        <v>1619</v>
      </c>
    </row>
    <row r="22" spans="1:4" ht="37.5" customHeight="1">
      <c r="A22" s="858">
        <v>45270.144861655092</v>
      </c>
      <c r="B22" s="551" t="s">
        <v>1797</v>
      </c>
      <c r="C22" s="551"/>
      <c r="D22" s="60" t="s">
        <v>1796</v>
      </c>
    </row>
    <row r="23" spans="1:4" ht="12.75">
      <c r="A23" s="858">
        <v>45270.609805219909</v>
      </c>
      <c r="B23" s="60" t="s">
        <v>1795</v>
      </c>
      <c r="C23" s="60"/>
      <c r="D23" s="60" t="s">
        <v>1619</v>
      </c>
    </row>
    <row r="24" spans="1:4" ht="32.25" customHeight="1">
      <c r="A24" s="858">
        <v>45276.134133680556</v>
      </c>
      <c r="B24" s="551" t="s">
        <v>1794</v>
      </c>
      <c r="C24" s="60" t="s">
        <v>1793</v>
      </c>
      <c r="D24" s="60" t="s">
        <v>1619</v>
      </c>
    </row>
    <row r="25" spans="1:4" ht="89.25">
      <c r="A25" s="858">
        <v>45279.066224259259</v>
      </c>
      <c r="B25" s="60" t="s">
        <v>1792</v>
      </c>
      <c r="C25" s="551" t="s">
        <v>1791</v>
      </c>
      <c r="D25" s="551" t="s">
        <v>1790</v>
      </c>
    </row>
    <row r="26" spans="1:4" ht="12.75">
      <c r="A26" s="858">
        <v>45308.424657303243</v>
      </c>
      <c r="B26" s="60" t="s">
        <v>1789</v>
      </c>
      <c r="C26" s="60" t="s">
        <v>1788</v>
      </c>
      <c r="D26" s="60" t="s">
        <v>1654</v>
      </c>
    </row>
    <row r="27" spans="1:4" ht="43.5" customHeight="1">
      <c r="A27" s="858">
        <v>45318.146141562502</v>
      </c>
      <c r="B27" s="60"/>
      <c r="C27" s="551" t="s">
        <v>1787</v>
      </c>
      <c r="D27" s="551" t="s">
        <v>1786</v>
      </c>
    </row>
    <row r="28" spans="1:4" ht="30.75" customHeight="1">
      <c r="A28" s="858">
        <v>45324.323136319443</v>
      </c>
      <c r="B28" s="60" t="s">
        <v>1785</v>
      </c>
      <c r="C28" s="60" t="s">
        <v>1784</v>
      </c>
      <c r="D28" s="551" t="s">
        <v>1783</v>
      </c>
    </row>
    <row r="29" spans="1:4" ht="12.75">
      <c r="A29" s="858">
        <v>45353.634422453702</v>
      </c>
      <c r="B29" s="60"/>
      <c r="C29" s="60" t="s">
        <v>1782</v>
      </c>
      <c r="D29" s="60" t="s">
        <v>1781</v>
      </c>
    </row>
    <row r="30" spans="1:4" ht="12.75">
      <c r="A30" s="858">
        <v>45357.519729097221</v>
      </c>
      <c r="B30" s="60" t="s">
        <v>1780</v>
      </c>
      <c r="C30" s="60" t="s">
        <v>1779</v>
      </c>
      <c r="D30" s="60" t="s">
        <v>1619</v>
      </c>
    </row>
    <row r="31" spans="1:4" ht="12.75">
      <c r="A31" s="858">
        <v>45359.830304131945</v>
      </c>
      <c r="B31" s="60" t="s">
        <v>1778</v>
      </c>
      <c r="C31" s="60" t="s">
        <v>1777</v>
      </c>
      <c r="D31" s="60" t="s">
        <v>1619</v>
      </c>
    </row>
    <row r="32" spans="1:4" ht="12.75">
      <c r="A32" s="858">
        <v>45365.570090185181</v>
      </c>
      <c r="B32" s="60" t="s">
        <v>1776</v>
      </c>
      <c r="C32" s="60" t="s">
        <v>1775</v>
      </c>
      <c r="D32" s="60" t="s">
        <v>1619</v>
      </c>
    </row>
    <row r="33" spans="1:4" ht="12.75">
      <c r="A33" s="858">
        <v>45365.788144930557</v>
      </c>
      <c r="B33" s="60" t="s">
        <v>1774</v>
      </c>
      <c r="C33" s="60" t="s">
        <v>1773</v>
      </c>
      <c r="D33" s="60" t="s">
        <v>1772</v>
      </c>
    </row>
    <row r="34" spans="1:4" ht="12.75">
      <c r="A34" s="858">
        <v>45366.23517211806</v>
      </c>
      <c r="B34" s="60" t="s">
        <v>1771</v>
      </c>
      <c r="C34" s="60" t="s">
        <v>1770</v>
      </c>
      <c r="D34" s="60" t="s">
        <v>1619</v>
      </c>
    </row>
    <row r="35" spans="1:4" ht="12.75">
      <c r="A35" s="858">
        <v>45368.567531759254</v>
      </c>
      <c r="B35" s="60" t="s">
        <v>1769</v>
      </c>
      <c r="C35" s="60" t="s">
        <v>1768</v>
      </c>
      <c r="D35" s="60" t="s">
        <v>1619</v>
      </c>
    </row>
    <row r="36" spans="1:4" ht="34.5" customHeight="1">
      <c r="A36" s="858">
        <v>45373.425451284726</v>
      </c>
      <c r="B36" s="60"/>
      <c r="C36" s="60" t="s">
        <v>1767</v>
      </c>
      <c r="D36" s="60" t="s">
        <v>1766</v>
      </c>
    </row>
    <row r="37" spans="1:4" ht="12.75">
      <c r="A37" s="858">
        <v>45393.954433865743</v>
      </c>
      <c r="B37" s="60" t="s">
        <v>1765</v>
      </c>
      <c r="C37" s="60" t="s">
        <v>1764</v>
      </c>
      <c r="D37" s="60" t="s">
        <v>1763</v>
      </c>
    </row>
    <row r="38" spans="1:4" ht="12.75">
      <c r="A38" s="858">
        <v>45411.021755173613</v>
      </c>
      <c r="B38" s="60" t="s">
        <v>1762</v>
      </c>
      <c r="C38" s="60" t="s">
        <v>1761</v>
      </c>
      <c r="D38" s="60" t="s">
        <v>1674</v>
      </c>
    </row>
    <row r="39" spans="1:4" ht="25.5">
      <c r="A39" s="858">
        <v>45422.644322789347</v>
      </c>
      <c r="B39" s="551" t="s">
        <v>1760</v>
      </c>
      <c r="C39" s="60" t="s">
        <v>1759</v>
      </c>
      <c r="D39" s="60" t="s">
        <v>1619</v>
      </c>
    </row>
    <row r="40" spans="1:4" ht="54.75" customHeight="1">
      <c r="A40" s="858">
        <v>45422.730785335647</v>
      </c>
      <c r="B40" s="60" t="s">
        <v>1758</v>
      </c>
      <c r="C40" s="60" t="s">
        <v>1757</v>
      </c>
      <c r="D40" s="60" t="s">
        <v>1619</v>
      </c>
    </row>
    <row r="41" spans="1:4" ht="25.5" customHeight="1">
      <c r="A41" s="858">
        <v>45432.610405937499</v>
      </c>
      <c r="B41" s="60" t="s">
        <v>1756</v>
      </c>
      <c r="C41" s="60"/>
      <c r="D41" s="60" t="s">
        <v>1755</v>
      </c>
    </row>
    <row r="42" spans="1:4" ht="30.75" customHeight="1">
      <c r="A42" s="858">
        <v>45443.78268981482</v>
      </c>
      <c r="B42" s="60"/>
      <c r="C42" s="551" t="s">
        <v>1754</v>
      </c>
      <c r="D42" s="551" t="s">
        <v>1745</v>
      </c>
    </row>
    <row r="43" spans="1:4" ht="12.75">
      <c r="A43" s="858">
        <v>45445.337216655098</v>
      </c>
      <c r="B43" s="60"/>
      <c r="C43" s="60" t="s">
        <v>1753</v>
      </c>
      <c r="D43" s="60" t="s">
        <v>1752</v>
      </c>
    </row>
    <row r="44" spans="1:4" ht="12.75">
      <c r="A44" s="858">
        <v>45445.975810914351</v>
      </c>
      <c r="B44" s="60" t="s">
        <v>1751</v>
      </c>
      <c r="C44" s="60" t="s">
        <v>1750</v>
      </c>
      <c r="D44" s="60" t="s">
        <v>1619</v>
      </c>
    </row>
    <row r="45" spans="1:4" ht="18.75" customHeight="1">
      <c r="A45" s="858">
        <v>45447.376278391203</v>
      </c>
      <c r="B45" s="60" t="s">
        <v>1749</v>
      </c>
      <c r="C45" s="551" t="s">
        <v>1748</v>
      </c>
      <c r="D45" s="60" t="s">
        <v>1747</v>
      </c>
    </row>
    <row r="46" spans="1:4" ht="38.25">
      <c r="A46" s="858">
        <v>45447.758982789353</v>
      </c>
      <c r="B46" s="60"/>
      <c r="C46" s="551" t="s">
        <v>1746</v>
      </c>
      <c r="D46" s="551" t="s">
        <v>1745</v>
      </c>
    </row>
    <row r="47" spans="1:4" ht="12.75">
      <c r="A47" s="858">
        <v>45449.442746041663</v>
      </c>
      <c r="B47" s="60" t="s">
        <v>1744</v>
      </c>
      <c r="C47" s="60" t="s">
        <v>1743</v>
      </c>
      <c r="D47" s="60" t="s">
        <v>1619</v>
      </c>
    </row>
    <row r="48" spans="1:4" ht="12.75">
      <c r="A48" s="858">
        <v>45450.102287314818</v>
      </c>
      <c r="B48" s="60" t="s">
        <v>1742</v>
      </c>
      <c r="C48" s="60" t="s">
        <v>1741</v>
      </c>
      <c r="D48" s="60" t="s">
        <v>1619</v>
      </c>
    </row>
    <row r="49" spans="1:4" ht="12.75">
      <c r="A49" s="858">
        <v>45458.412842673613</v>
      </c>
      <c r="B49" s="60" t="s">
        <v>1740</v>
      </c>
      <c r="C49" s="60"/>
      <c r="D49" s="60" t="s">
        <v>1619</v>
      </c>
    </row>
    <row r="50" spans="1:4" ht="12.75">
      <c r="A50" s="858">
        <v>45460.893735370366</v>
      </c>
      <c r="B50" s="60"/>
      <c r="C50" s="60" t="s">
        <v>1739</v>
      </c>
      <c r="D50" s="60" t="s">
        <v>1738</v>
      </c>
    </row>
    <row r="51" spans="1:4" ht="12.75">
      <c r="A51" s="858">
        <v>45462.696346736113</v>
      </c>
      <c r="B51" s="60" t="s">
        <v>1737</v>
      </c>
      <c r="C51" s="60" t="s">
        <v>1736</v>
      </c>
      <c r="D51" s="60" t="s">
        <v>1619</v>
      </c>
    </row>
    <row r="52" spans="1:4" ht="38.25">
      <c r="A52" s="858">
        <v>45463.024048402774</v>
      </c>
      <c r="B52" s="60"/>
      <c r="C52" s="551" t="s">
        <v>1735</v>
      </c>
      <c r="D52" s="60" t="s">
        <v>1734</v>
      </c>
    </row>
    <row r="53" spans="1:4" ht="12.75">
      <c r="A53" s="858">
        <v>45463.768941273149</v>
      </c>
      <c r="B53" s="60"/>
      <c r="C53" s="60" t="s">
        <v>1733</v>
      </c>
      <c r="D53" s="60" t="s">
        <v>1732</v>
      </c>
    </row>
    <row r="54" spans="1:4" ht="12.75">
      <c r="A54" s="858">
        <v>45464.749974085644</v>
      </c>
      <c r="B54" s="60"/>
      <c r="C54" s="60"/>
      <c r="D54" s="60" t="s">
        <v>1731</v>
      </c>
    </row>
    <row r="55" spans="1:4" ht="12.75">
      <c r="A55" s="858">
        <v>45465.469525960652</v>
      </c>
      <c r="B55" s="60" t="s">
        <v>1730</v>
      </c>
      <c r="C55" s="60" t="s">
        <v>1729</v>
      </c>
      <c r="D55" s="60" t="s">
        <v>1619</v>
      </c>
    </row>
    <row r="56" spans="1:4" ht="51">
      <c r="A56" s="858">
        <v>45466.197918634258</v>
      </c>
      <c r="B56" s="60"/>
      <c r="C56" s="551" t="s">
        <v>1728</v>
      </c>
      <c r="D56" s="60" t="s">
        <v>1727</v>
      </c>
    </row>
    <row r="57" spans="1:4" ht="12.75">
      <c r="A57" s="858">
        <v>45468.397837337965</v>
      </c>
      <c r="B57" s="60" t="s">
        <v>1726</v>
      </c>
      <c r="C57" s="60" t="s">
        <v>1725</v>
      </c>
      <c r="D57" s="60" t="s">
        <v>1674</v>
      </c>
    </row>
    <row r="58" spans="1:4" ht="12.75">
      <c r="A58" s="858">
        <v>45468.405175219908</v>
      </c>
      <c r="B58" s="60" t="s">
        <v>1724</v>
      </c>
      <c r="C58" s="60" t="s">
        <v>1723</v>
      </c>
      <c r="D58" s="60" t="s">
        <v>1674</v>
      </c>
    </row>
    <row r="59" spans="1:4" ht="12.75">
      <c r="A59" s="858">
        <v>45468.710952199079</v>
      </c>
      <c r="B59" s="60"/>
      <c r="C59" s="60" t="s">
        <v>1722</v>
      </c>
      <c r="D59" s="60" t="s">
        <v>1721</v>
      </c>
    </row>
    <row r="60" spans="1:4" ht="12.75">
      <c r="A60" s="858">
        <v>45469.574098483798</v>
      </c>
      <c r="B60" s="60" t="s">
        <v>1720</v>
      </c>
      <c r="C60" s="60" t="s">
        <v>1719</v>
      </c>
      <c r="D60" s="60" t="s">
        <v>1674</v>
      </c>
    </row>
    <row r="61" spans="1:4" ht="76.5">
      <c r="A61" s="858">
        <v>45469.577498136576</v>
      </c>
      <c r="B61" s="551" t="s">
        <v>1718</v>
      </c>
      <c r="C61" s="60" t="s">
        <v>1717</v>
      </c>
      <c r="D61" s="60" t="s">
        <v>1674</v>
      </c>
    </row>
    <row r="62" spans="1:4" ht="76.5">
      <c r="A62" s="858">
        <v>45469.583394490735</v>
      </c>
      <c r="B62" s="551" t="s">
        <v>1716</v>
      </c>
      <c r="C62" s="551" t="s">
        <v>1715</v>
      </c>
      <c r="D62" s="60" t="s">
        <v>1674</v>
      </c>
    </row>
    <row r="63" spans="1:4" ht="12.75">
      <c r="A63" s="858">
        <v>45469.734821365739</v>
      </c>
      <c r="B63" s="60" t="s">
        <v>1714</v>
      </c>
      <c r="C63" s="60" t="s">
        <v>1713</v>
      </c>
      <c r="D63" s="60" t="s">
        <v>1712</v>
      </c>
    </row>
    <row r="64" spans="1:4" ht="38.25">
      <c r="A64" s="858">
        <v>45473.40105753472</v>
      </c>
      <c r="B64" s="551" t="s">
        <v>1711</v>
      </c>
      <c r="C64" s="60"/>
      <c r="D64" s="60" t="s">
        <v>1674</v>
      </c>
    </row>
    <row r="65" spans="1:4" ht="12.75">
      <c r="A65" s="858">
        <v>45473.879581296293</v>
      </c>
      <c r="B65" s="60" t="s">
        <v>1710</v>
      </c>
      <c r="C65" s="60" t="s">
        <v>1709</v>
      </c>
      <c r="D65" s="60" t="s">
        <v>1674</v>
      </c>
    </row>
    <row r="66" spans="1:4" ht="12.75">
      <c r="A66" s="858">
        <v>45475.580110150462</v>
      </c>
      <c r="B66" s="60"/>
      <c r="C66" s="60" t="s">
        <v>1708</v>
      </c>
      <c r="D66" s="60" t="s">
        <v>1627</v>
      </c>
    </row>
    <row r="67" spans="1:4" ht="12.75">
      <c r="A67" s="858">
        <v>45475.751946041666</v>
      </c>
      <c r="B67" s="60" t="s">
        <v>1707</v>
      </c>
      <c r="C67" s="60" t="s">
        <v>1706</v>
      </c>
      <c r="D67" s="60" t="s">
        <v>1654</v>
      </c>
    </row>
    <row r="68" spans="1:4" ht="12.75">
      <c r="A68" s="858">
        <v>45476.700984143521</v>
      </c>
      <c r="B68" s="60" t="s">
        <v>1705</v>
      </c>
      <c r="C68" s="60" t="s">
        <v>1704</v>
      </c>
      <c r="D68" s="60" t="s">
        <v>1674</v>
      </c>
    </row>
    <row r="69" spans="1:4" ht="12.75">
      <c r="A69" s="858">
        <v>45480.558893657406</v>
      </c>
      <c r="B69" s="60" t="s">
        <v>1703</v>
      </c>
      <c r="C69" s="60" t="s">
        <v>1702</v>
      </c>
      <c r="D69" s="60" t="s">
        <v>1701</v>
      </c>
    </row>
    <row r="70" spans="1:4" ht="12.75">
      <c r="A70" s="858">
        <v>45481.222602083333</v>
      </c>
      <c r="B70" s="60" t="s">
        <v>1700</v>
      </c>
      <c r="C70" s="60" t="s">
        <v>1699</v>
      </c>
      <c r="D70" s="60" t="s">
        <v>1698</v>
      </c>
    </row>
    <row r="71" spans="1:4" ht="12.75">
      <c r="A71" s="858">
        <v>45485.297797175925</v>
      </c>
      <c r="B71" s="60" t="s">
        <v>1697</v>
      </c>
      <c r="C71" s="60" t="s">
        <v>1696</v>
      </c>
      <c r="D71" s="60" t="s">
        <v>1695</v>
      </c>
    </row>
    <row r="72" spans="1:4" ht="12.75">
      <c r="A72" s="858">
        <v>45485.664074097222</v>
      </c>
      <c r="B72" s="60" t="s">
        <v>1694</v>
      </c>
      <c r="C72" s="60" t="s">
        <v>1693</v>
      </c>
      <c r="D72" s="60" t="s">
        <v>1692</v>
      </c>
    </row>
    <row r="73" spans="1:4" ht="12.75">
      <c r="A73" s="858">
        <v>45485.795609710651</v>
      </c>
      <c r="B73" s="60" t="s">
        <v>1691</v>
      </c>
      <c r="C73" s="60" t="s">
        <v>1690</v>
      </c>
      <c r="D73" s="60" t="s">
        <v>1619</v>
      </c>
    </row>
    <row r="74" spans="1:4" ht="12.75">
      <c r="A74" s="858">
        <v>45490.772521157407</v>
      </c>
      <c r="B74" s="60" t="s">
        <v>1689</v>
      </c>
      <c r="C74" s="60" t="s">
        <v>1688</v>
      </c>
      <c r="D74" s="60" t="s">
        <v>1687</v>
      </c>
    </row>
    <row r="75" spans="1:4" ht="12.75">
      <c r="A75" s="858">
        <v>45491.779454849537</v>
      </c>
      <c r="B75" s="60"/>
      <c r="C75" s="60" t="s">
        <v>1686</v>
      </c>
      <c r="D75" s="60" t="s">
        <v>1685</v>
      </c>
    </row>
    <row r="76" spans="1:4" ht="12.75">
      <c r="A76" s="858">
        <v>45493.372326643519</v>
      </c>
      <c r="B76" s="60"/>
      <c r="C76" s="60" t="s">
        <v>1684</v>
      </c>
      <c r="D76" s="60" t="s">
        <v>1627</v>
      </c>
    </row>
    <row r="77" spans="1:4" ht="12.75">
      <c r="A77" s="858">
        <v>45497.759761655092</v>
      </c>
      <c r="B77" s="60" t="s">
        <v>1683</v>
      </c>
      <c r="C77" s="60" t="s">
        <v>1682</v>
      </c>
      <c r="D77" s="60" t="s">
        <v>1674</v>
      </c>
    </row>
    <row r="78" spans="1:4" ht="12.75">
      <c r="A78" s="858">
        <v>45506.814969375002</v>
      </c>
      <c r="B78" s="60"/>
      <c r="C78" s="60" t="s">
        <v>1681</v>
      </c>
      <c r="D78" s="787" t="s">
        <v>1669</v>
      </c>
    </row>
    <row r="79" spans="1:4" ht="12.75">
      <c r="A79" s="858">
        <v>45508.794574942134</v>
      </c>
      <c r="B79" s="60" t="s">
        <v>1680</v>
      </c>
      <c r="C79" s="60" t="s">
        <v>1679</v>
      </c>
      <c r="D79" s="60" t="s">
        <v>1674</v>
      </c>
    </row>
    <row r="80" spans="1:4" ht="12.75">
      <c r="A80" s="858">
        <v>45528.320780509261</v>
      </c>
      <c r="B80" s="60" t="s">
        <v>1678</v>
      </c>
      <c r="C80" s="60" t="s">
        <v>1677</v>
      </c>
      <c r="D80" s="60" t="s">
        <v>324</v>
      </c>
    </row>
    <row r="81" spans="1:4" ht="12.75">
      <c r="A81" s="858">
        <v>45529.512484560182</v>
      </c>
      <c r="B81" s="60" t="s">
        <v>1676</v>
      </c>
      <c r="C81" s="60" t="s">
        <v>1675</v>
      </c>
      <c r="D81" s="60" t="s">
        <v>1674</v>
      </c>
    </row>
    <row r="82" spans="1:4" ht="12.75">
      <c r="A82" s="858">
        <v>45535.866661851847</v>
      </c>
      <c r="B82" s="60" t="s">
        <v>1673</v>
      </c>
      <c r="C82" s="60" t="s">
        <v>1672</v>
      </c>
      <c r="D82" s="60" t="s">
        <v>1671</v>
      </c>
    </row>
    <row r="83" spans="1:4" ht="38.25">
      <c r="A83" s="858">
        <v>45536.449666192129</v>
      </c>
      <c r="B83" s="60"/>
      <c r="C83" s="551" t="s">
        <v>1670</v>
      </c>
      <c r="D83" s="787" t="s">
        <v>1669</v>
      </c>
    </row>
    <row r="84" spans="1:4" ht="12.75">
      <c r="A84" s="858">
        <v>45537.591278877313</v>
      </c>
      <c r="B84" s="60" t="s">
        <v>1668</v>
      </c>
      <c r="C84" s="60" t="s">
        <v>1667</v>
      </c>
      <c r="D84" s="60" t="s">
        <v>1666</v>
      </c>
    </row>
    <row r="85" spans="1:4" ht="12.75">
      <c r="A85" s="858">
        <v>45544.410935254629</v>
      </c>
      <c r="B85" s="60"/>
      <c r="C85" s="60" t="s">
        <v>1665</v>
      </c>
      <c r="D85" s="60" t="s">
        <v>293</v>
      </c>
    </row>
    <row r="86" spans="1:4" ht="12.75">
      <c r="A86" s="858">
        <v>45544.417363923611</v>
      </c>
      <c r="B86" s="60"/>
      <c r="C86" s="60" t="s">
        <v>1664</v>
      </c>
      <c r="D86" s="60" t="s">
        <v>1663</v>
      </c>
    </row>
    <row r="87" spans="1:4" ht="51">
      <c r="A87" s="858">
        <v>45545.566320347221</v>
      </c>
      <c r="B87" s="60" t="s">
        <v>1662</v>
      </c>
      <c r="C87" s="551" t="s">
        <v>1661</v>
      </c>
      <c r="D87" s="60" t="s">
        <v>1654</v>
      </c>
    </row>
    <row r="88" spans="1:4" ht="12.75">
      <c r="A88" s="858">
        <v>45548.803517696761</v>
      </c>
      <c r="B88" s="60" t="s">
        <v>1660</v>
      </c>
      <c r="C88" s="60" t="s">
        <v>1659</v>
      </c>
      <c r="D88" s="60" t="s">
        <v>1654</v>
      </c>
    </row>
    <row r="89" spans="1:4" ht="12.75">
      <c r="A89" s="858">
        <v>45549.738596817129</v>
      </c>
      <c r="B89" s="60"/>
      <c r="C89" s="60" t="s">
        <v>1658</v>
      </c>
      <c r="D89" s="60" t="s">
        <v>1654</v>
      </c>
    </row>
    <row r="90" spans="1:4" ht="12.75">
      <c r="A90" s="858">
        <v>45550.485435393522</v>
      </c>
      <c r="B90" s="60" t="s">
        <v>1657</v>
      </c>
      <c r="C90" s="60"/>
      <c r="D90" s="60" t="s">
        <v>1654</v>
      </c>
    </row>
    <row r="91" spans="1:4" ht="12.75">
      <c r="A91" s="858">
        <v>45551.678252962964</v>
      </c>
      <c r="B91" s="60" t="s">
        <v>1656</v>
      </c>
      <c r="C91" s="60" t="s">
        <v>1655</v>
      </c>
      <c r="D91" s="60" t="s">
        <v>1654</v>
      </c>
    </row>
    <row r="92" spans="1:4" ht="12.75">
      <c r="A92" s="858">
        <v>45553.508199652773</v>
      </c>
      <c r="B92" s="60" t="s">
        <v>1653</v>
      </c>
      <c r="C92" s="60" t="s">
        <v>1652</v>
      </c>
      <c r="D92" s="60" t="s">
        <v>1619</v>
      </c>
    </row>
    <row r="93" spans="1:4" ht="12.75">
      <c r="A93" s="858">
        <v>45569.418315092596</v>
      </c>
      <c r="B93" s="60" t="s">
        <v>1651</v>
      </c>
      <c r="C93" s="60" t="s">
        <v>1650</v>
      </c>
      <c r="D93" s="60" t="s">
        <v>1619</v>
      </c>
    </row>
    <row r="94" spans="1:4" ht="25.5">
      <c r="A94" s="858">
        <v>45570.58432115741</v>
      </c>
      <c r="B94" s="60"/>
      <c r="C94" s="551" t="s">
        <v>1649</v>
      </c>
      <c r="D94" s="60" t="s">
        <v>1648</v>
      </c>
    </row>
    <row r="95" spans="1:4" ht="12.75">
      <c r="A95" s="858">
        <v>45571.927078564811</v>
      </c>
      <c r="B95" s="60" t="s">
        <v>1647</v>
      </c>
      <c r="C95" s="60"/>
      <c r="D95" s="60" t="s">
        <v>1617</v>
      </c>
    </row>
    <row r="96" spans="1:4" ht="12.75">
      <c r="A96" s="858">
        <v>45585.886892719907</v>
      </c>
      <c r="B96" s="60" t="s">
        <v>1646</v>
      </c>
      <c r="C96" s="60" t="s">
        <v>1645</v>
      </c>
      <c r="D96" s="60"/>
    </row>
    <row r="97" spans="1:4" ht="12.75">
      <c r="A97" s="858">
        <v>45588.31790952546</v>
      </c>
      <c r="B97" s="60" t="s">
        <v>1644</v>
      </c>
      <c r="C97" s="60" t="s">
        <v>1643</v>
      </c>
      <c r="D97" s="60" t="s">
        <v>1642</v>
      </c>
    </row>
    <row r="98" spans="1:4" ht="12.75">
      <c r="A98" s="858">
        <v>45589.189121157411</v>
      </c>
      <c r="B98" s="60" t="s">
        <v>1641</v>
      </c>
      <c r="C98" s="60" t="s">
        <v>1640</v>
      </c>
      <c r="D98" s="60"/>
    </row>
    <row r="99" spans="1:4" ht="12.75">
      <c r="A99" s="858">
        <v>45592.495242534722</v>
      </c>
      <c r="B99" s="60" t="s">
        <v>1639</v>
      </c>
      <c r="C99" s="60" t="s">
        <v>1638</v>
      </c>
      <c r="D99" s="60"/>
    </row>
    <row r="100" spans="1:4" ht="12.75">
      <c r="A100" s="858">
        <v>45598.921044814815</v>
      </c>
      <c r="B100" s="60" t="s">
        <v>1637</v>
      </c>
      <c r="C100" s="60" t="s">
        <v>1636</v>
      </c>
      <c r="D100" s="60"/>
    </row>
    <row r="101" spans="1:4" ht="12.75">
      <c r="A101" s="858">
        <v>45602.684327812502</v>
      </c>
      <c r="B101" s="60" t="s">
        <v>1635</v>
      </c>
      <c r="C101" s="60" t="s">
        <v>1634</v>
      </c>
      <c r="D101" s="60"/>
    </row>
    <row r="102" spans="1:4" ht="12.75">
      <c r="A102" s="858">
        <v>45602.685456805557</v>
      </c>
      <c r="B102" s="60" t="s">
        <v>1633</v>
      </c>
      <c r="C102" s="60"/>
      <c r="D102" s="60"/>
    </row>
    <row r="103" spans="1:4" ht="12.75">
      <c r="A103" s="858">
        <v>45602.688997280093</v>
      </c>
      <c r="B103" s="60" t="s">
        <v>1632</v>
      </c>
      <c r="C103" s="60" t="s">
        <v>1631</v>
      </c>
      <c r="D103" s="60" t="s">
        <v>1630</v>
      </c>
    </row>
    <row r="104" spans="1:4" ht="12.75">
      <c r="A104" s="858">
        <v>45608.121515173611</v>
      </c>
      <c r="B104" s="60" t="s">
        <v>1629</v>
      </c>
      <c r="C104" s="60" t="s">
        <v>1628</v>
      </c>
      <c r="D104" s="60" t="s">
        <v>1627</v>
      </c>
    </row>
    <row r="105" spans="1:4" ht="12.75">
      <c r="A105" s="858">
        <v>45616.459800648146</v>
      </c>
      <c r="B105" s="60" t="s">
        <v>1626</v>
      </c>
      <c r="C105" s="60" t="s">
        <v>1625</v>
      </c>
      <c r="D105" s="60" t="s">
        <v>1619</v>
      </c>
    </row>
    <row r="106" spans="1:4" ht="102">
      <c r="A106" s="858">
        <v>45617.604408981482</v>
      </c>
      <c r="B106" s="60" t="s">
        <v>1624</v>
      </c>
      <c r="C106" s="551" t="s">
        <v>1623</v>
      </c>
      <c r="D106" s="60" t="s">
        <v>1622</v>
      </c>
    </row>
    <row r="107" spans="1:4" ht="12.75">
      <c r="A107" s="858">
        <v>45623.632399085647</v>
      </c>
      <c r="B107" s="60" t="s">
        <v>1621</v>
      </c>
      <c r="C107" s="60" t="s">
        <v>1620</v>
      </c>
      <c r="D107" s="60" t="s">
        <v>1619</v>
      </c>
    </row>
    <row r="108" spans="1:4" ht="12.75">
      <c r="A108" s="858">
        <v>45626.364208229163</v>
      </c>
      <c r="B108" s="60" t="s">
        <v>1618</v>
      </c>
      <c r="C108" s="60" t="s">
        <v>1617</v>
      </c>
      <c r="D108" s="60" t="s">
        <v>1616</v>
      </c>
    </row>
    <row r="109" spans="1:4" ht="12.75">
      <c r="A109" s="858">
        <v>45628.796182523147</v>
      </c>
      <c r="B109" s="60" t="s">
        <v>1615</v>
      </c>
      <c r="C109" s="60" t="s">
        <v>1614</v>
      </c>
      <c r="D109" s="60"/>
    </row>
    <row r="110" spans="1:4" ht="12.75">
      <c r="A110" s="858">
        <v>45638.032969780092</v>
      </c>
      <c r="B110" s="60" t="s">
        <v>1613</v>
      </c>
      <c r="C110" s="60" t="s">
        <v>1612</v>
      </c>
      <c r="D110" s="60"/>
    </row>
    <row r="111" spans="1:4" ht="12.75">
      <c r="A111" s="858">
        <v>45638.870077453699</v>
      </c>
      <c r="B111" s="60" t="s">
        <v>1611</v>
      </c>
      <c r="C111" s="60" t="s">
        <v>1610</v>
      </c>
      <c r="D111" s="60"/>
    </row>
    <row r="112" spans="1:4" ht="12.75">
      <c r="A112" s="858">
        <v>45639.048588854166</v>
      </c>
      <c r="B112" s="60" t="s">
        <v>1609</v>
      </c>
      <c r="C112" s="60" t="s">
        <v>1608</v>
      </c>
      <c r="D112" s="60"/>
    </row>
    <row r="113" spans="1:4" ht="12.75">
      <c r="A113" s="858">
        <v>45640.634797673614</v>
      </c>
      <c r="B113" s="60" t="s">
        <v>1607</v>
      </c>
      <c r="C113" s="60" t="s">
        <v>1606</v>
      </c>
      <c r="D113" s="60"/>
    </row>
    <row r="114" spans="1:4" ht="12.75">
      <c r="A114" s="858">
        <v>45642.791129108795</v>
      </c>
      <c r="B114" s="60" t="s">
        <v>1605</v>
      </c>
      <c r="C114" s="60" t="s">
        <v>1604</v>
      </c>
      <c r="D114" s="60"/>
    </row>
    <row r="115" spans="1:4" ht="12.75">
      <c r="A115" s="858">
        <v>45644.496783912036</v>
      </c>
      <c r="B115" s="60" t="s">
        <v>1603</v>
      </c>
      <c r="C115" s="60" t="s">
        <v>1602</v>
      </c>
      <c r="D115" s="60"/>
    </row>
    <row r="116" spans="1:4" ht="12.75">
      <c r="A116" s="858">
        <v>45651.13109112269</v>
      </c>
      <c r="B116" s="60" t="s">
        <v>1601</v>
      </c>
      <c r="C116" s="60"/>
      <c r="D116" s="60"/>
    </row>
    <row r="117" spans="1:4" ht="12.75">
      <c r="A117" s="858">
        <v>45652.503145717594</v>
      </c>
      <c r="B117" s="60" t="s">
        <v>1600</v>
      </c>
      <c r="C117" s="60" t="s">
        <v>1599</v>
      </c>
      <c r="D117" s="60"/>
    </row>
    <row r="118" spans="1:4" ht="12.75">
      <c r="A118" s="858">
        <v>45652.504074537035</v>
      </c>
      <c r="B118" s="60" t="s">
        <v>1598</v>
      </c>
      <c r="C118" s="60" t="s">
        <v>1597</v>
      </c>
      <c r="D118" s="60"/>
    </row>
    <row r="119" spans="1:4" ht="12.75">
      <c r="A119" s="858">
        <v>45656.210971481487</v>
      </c>
      <c r="B119" s="60" t="s">
        <v>1596</v>
      </c>
      <c r="C119" s="60" t="s">
        <v>1595</v>
      </c>
      <c r="D119" s="60"/>
    </row>
    <row r="120" spans="1:4" ht="12.75">
      <c r="A120" s="858">
        <v>45658.328845127311</v>
      </c>
      <c r="B120" s="60" t="s">
        <v>1594</v>
      </c>
      <c r="C120" s="60"/>
      <c r="D120" s="60"/>
    </row>
    <row r="121" spans="1:4" ht="12.75">
      <c r="A121" s="858">
        <v>45658.623797245367</v>
      </c>
      <c r="B121" s="60" t="s">
        <v>1593</v>
      </c>
      <c r="C121" s="60" t="s">
        <v>1592</v>
      </c>
      <c r="D121" s="60"/>
    </row>
    <row r="122" spans="1:4" ht="12.75">
      <c r="A122" s="858">
        <v>45659.395246874999</v>
      </c>
      <c r="B122" s="60" t="s">
        <v>1591</v>
      </c>
      <c r="C122" s="60" t="s">
        <v>1590</v>
      </c>
      <c r="D122" s="60"/>
    </row>
    <row r="123" spans="1:4" ht="12.75">
      <c r="A123" s="858">
        <v>45659.956366805556</v>
      </c>
      <c r="B123" s="60" t="s">
        <v>1589</v>
      </c>
      <c r="C123" s="60" t="s">
        <v>1588</v>
      </c>
      <c r="D123" s="60"/>
    </row>
    <row r="124" spans="1:4" ht="12.75">
      <c r="A124" s="858">
        <v>45681.568253067133</v>
      </c>
      <c r="B124" s="60" t="s">
        <v>1587</v>
      </c>
      <c r="C124" s="60" t="s">
        <v>1586</v>
      </c>
      <c r="D124" s="60"/>
    </row>
    <row r="125" spans="1:4" ht="12.75">
      <c r="A125" s="858">
        <v>45687.013724293982</v>
      </c>
      <c r="B125" s="60" t="s">
        <v>1585</v>
      </c>
      <c r="C125" s="60" t="s">
        <v>1584</v>
      </c>
      <c r="D125" s="60"/>
    </row>
    <row r="126" spans="1:4" ht="12.75">
      <c r="A126" s="858">
        <v>45688.849576909721</v>
      </c>
      <c r="B126" s="60" t="s">
        <v>1583</v>
      </c>
      <c r="C126" s="60" t="s">
        <v>1582</v>
      </c>
      <c r="D126" s="60"/>
    </row>
    <row r="127" spans="1:4" ht="12.75">
      <c r="A127" s="858">
        <v>45694.927176793979</v>
      </c>
      <c r="B127" s="60" t="s">
        <v>1581</v>
      </c>
      <c r="C127" s="60" t="s">
        <v>1580</v>
      </c>
      <c r="D127" s="60"/>
    </row>
    <row r="128" spans="1:4" ht="12.75">
      <c r="A128" s="858">
        <v>45695.764582847223</v>
      </c>
      <c r="B128" s="60"/>
      <c r="C128" s="60" t="s">
        <v>1579</v>
      </c>
      <c r="D128" s="60"/>
    </row>
    <row r="129" spans="1:4" ht="12.75">
      <c r="A129" s="60"/>
      <c r="B129" s="857"/>
      <c r="C129" s="857"/>
      <c r="D129" s="857"/>
    </row>
    <row r="130" spans="1:4" ht="12.75">
      <c r="A130" s="60"/>
      <c r="B130" s="857"/>
      <c r="C130" s="857"/>
      <c r="D130" s="857"/>
    </row>
    <row r="131" spans="1:4" ht="12.75">
      <c r="A131" s="60"/>
      <c r="B131" s="857"/>
      <c r="C131" s="857"/>
      <c r="D131" s="857"/>
    </row>
    <row r="132" spans="1:4" ht="12.75">
      <c r="A132" s="60"/>
      <c r="B132" s="857"/>
      <c r="C132" s="857"/>
      <c r="D132" s="857"/>
    </row>
    <row r="133" spans="1:4" ht="12.75">
      <c r="A133" s="60"/>
      <c r="B133" s="857"/>
      <c r="C133" s="857"/>
      <c r="D133" s="857"/>
    </row>
    <row r="134" spans="1:4" ht="12.75">
      <c r="A134" s="60"/>
      <c r="B134" s="857"/>
      <c r="C134" s="857"/>
      <c r="D134" s="857"/>
    </row>
    <row r="135" spans="1:4" ht="12.75">
      <c r="A135" s="60"/>
      <c r="B135" s="857"/>
      <c r="C135" s="857"/>
      <c r="D135" s="857"/>
    </row>
    <row r="136" spans="1:4" ht="12.75">
      <c r="A136" s="60"/>
      <c r="B136" s="857"/>
      <c r="C136" s="857"/>
      <c r="D136" s="857"/>
    </row>
    <row r="137" spans="1:4" ht="12.75">
      <c r="A137" s="60"/>
      <c r="B137" s="857"/>
      <c r="C137" s="857"/>
      <c r="D137" s="857"/>
    </row>
    <row r="138" spans="1:4" ht="12.75">
      <c r="A138" s="60"/>
      <c r="B138" s="857"/>
      <c r="C138" s="857"/>
      <c r="D138" s="857"/>
    </row>
    <row r="139" spans="1:4" ht="12.75">
      <c r="A139" s="60"/>
      <c r="B139" s="857"/>
      <c r="C139" s="857"/>
      <c r="D139" s="857"/>
    </row>
    <row r="140" spans="1:4" ht="12.75">
      <c r="A140" s="60"/>
      <c r="B140" s="857"/>
      <c r="C140" s="857"/>
      <c r="D140" s="857"/>
    </row>
    <row r="141" spans="1:4" ht="12.75">
      <c r="A141" s="60"/>
      <c r="B141" s="857"/>
      <c r="C141" s="857"/>
      <c r="D141" s="857"/>
    </row>
    <row r="142" spans="1:4" ht="12.75">
      <c r="A142" s="60"/>
      <c r="B142" s="857"/>
      <c r="C142" s="857"/>
      <c r="D142" s="857"/>
    </row>
    <row r="143" spans="1:4" ht="12.75">
      <c r="A143" s="60"/>
      <c r="B143" s="857"/>
      <c r="C143" s="857"/>
      <c r="D143" s="857"/>
    </row>
    <row r="144" spans="1:4" ht="12.75">
      <c r="A144" s="60"/>
      <c r="B144" s="857"/>
      <c r="C144" s="857"/>
      <c r="D144" s="857"/>
    </row>
    <row r="145" spans="1:4" ht="12.75">
      <c r="A145" s="60"/>
      <c r="B145" s="857"/>
      <c r="C145" s="857"/>
      <c r="D145" s="857"/>
    </row>
    <row r="146" spans="1:4" ht="12.75">
      <c r="A146" s="60"/>
      <c r="B146" s="857"/>
      <c r="C146" s="857"/>
      <c r="D146" s="857"/>
    </row>
    <row r="147" spans="1:4" ht="12.75">
      <c r="A147" s="60"/>
      <c r="B147" s="857"/>
      <c r="C147" s="857"/>
      <c r="D147" s="857"/>
    </row>
    <row r="148" spans="1:4" ht="12.75">
      <c r="A148" s="60"/>
      <c r="B148" s="857"/>
      <c r="C148" s="857"/>
      <c r="D148" s="857"/>
    </row>
    <row r="149" spans="1:4" ht="12.75">
      <c r="A149" s="60"/>
      <c r="B149" s="857"/>
      <c r="C149" s="857"/>
      <c r="D149" s="857"/>
    </row>
    <row r="150" spans="1:4" ht="12.75">
      <c r="A150" s="60"/>
      <c r="B150" s="857"/>
      <c r="C150" s="857"/>
      <c r="D150" s="857"/>
    </row>
    <row r="151" spans="1:4" ht="12.75">
      <c r="A151" s="60"/>
      <c r="B151" s="857"/>
      <c r="C151" s="857"/>
      <c r="D151" s="857"/>
    </row>
    <row r="152" spans="1:4" ht="12.75">
      <c r="A152" s="60"/>
      <c r="B152" s="857"/>
      <c r="C152" s="857"/>
      <c r="D152" s="857"/>
    </row>
    <row r="153" spans="1:4" ht="12.75">
      <c r="A153" s="60"/>
      <c r="B153" s="857"/>
      <c r="C153" s="857"/>
      <c r="D153" s="857"/>
    </row>
    <row r="154" spans="1:4" ht="12.75">
      <c r="A154" s="60"/>
      <c r="B154" s="857"/>
      <c r="C154" s="857"/>
      <c r="D154" s="857"/>
    </row>
    <row r="155" spans="1:4" ht="12.75">
      <c r="A155" s="60"/>
      <c r="B155" s="857"/>
      <c r="C155" s="857"/>
      <c r="D155" s="857"/>
    </row>
    <row r="156" spans="1:4" ht="12.75">
      <c r="A156" s="60"/>
      <c r="B156" s="857"/>
      <c r="C156" s="857"/>
      <c r="D156" s="857"/>
    </row>
    <row r="157" spans="1:4" ht="12.75">
      <c r="A157" s="60"/>
      <c r="B157" s="857"/>
      <c r="C157" s="857"/>
      <c r="D157" s="857"/>
    </row>
    <row r="158" spans="1:4" ht="12.75">
      <c r="A158" s="60"/>
      <c r="B158" s="857"/>
      <c r="C158" s="857"/>
      <c r="D158" s="857"/>
    </row>
    <row r="159" spans="1:4" ht="12.75">
      <c r="A159" s="60"/>
      <c r="B159" s="857"/>
      <c r="C159" s="857"/>
      <c r="D159" s="857"/>
    </row>
    <row r="160" spans="1:4" ht="12.75">
      <c r="A160" s="60"/>
      <c r="B160" s="857"/>
      <c r="C160" s="857"/>
      <c r="D160" s="857"/>
    </row>
    <row r="161" spans="1:4" ht="12.75">
      <c r="A161" s="60"/>
      <c r="B161" s="857"/>
      <c r="C161" s="857"/>
      <c r="D161" s="857"/>
    </row>
    <row r="162" spans="1:4" ht="12.75">
      <c r="A162" s="60"/>
      <c r="B162" s="857"/>
      <c r="C162" s="857"/>
      <c r="D162" s="857"/>
    </row>
    <row r="163" spans="1:4" ht="12.75">
      <c r="A163" s="60"/>
      <c r="B163" s="857"/>
      <c r="C163" s="857"/>
      <c r="D163" s="857"/>
    </row>
    <row r="164" spans="1:4" ht="12.75">
      <c r="A164" s="60"/>
      <c r="B164" s="857"/>
      <c r="C164" s="857"/>
      <c r="D164" s="857"/>
    </row>
    <row r="165" spans="1:4" ht="12.75">
      <c r="A165" s="60"/>
      <c r="B165" s="857"/>
      <c r="C165" s="857"/>
      <c r="D165" s="857"/>
    </row>
    <row r="166" spans="1:4" ht="12.75">
      <c r="A166" s="60"/>
      <c r="B166" s="857"/>
      <c r="C166" s="857"/>
      <c r="D166" s="857"/>
    </row>
    <row r="167" spans="1:4" ht="12.75">
      <c r="A167" s="60"/>
      <c r="B167" s="857"/>
      <c r="C167" s="857"/>
      <c r="D167" s="857"/>
    </row>
    <row r="168" spans="1:4" ht="12.75">
      <c r="A168" s="60"/>
      <c r="B168" s="857"/>
      <c r="C168" s="857"/>
      <c r="D168" s="857"/>
    </row>
    <row r="169" spans="1:4" ht="12.75">
      <c r="A169" s="60"/>
      <c r="B169" s="857"/>
      <c r="C169" s="857"/>
      <c r="D169" s="857"/>
    </row>
    <row r="170" spans="1:4" ht="12.75">
      <c r="A170" s="60"/>
      <c r="B170" s="857"/>
      <c r="C170" s="857"/>
      <c r="D170" s="857"/>
    </row>
    <row r="171" spans="1:4" ht="12.75">
      <c r="A171" s="60"/>
      <c r="B171" s="857"/>
      <c r="C171" s="857"/>
      <c r="D171" s="857"/>
    </row>
    <row r="172" spans="1:4" ht="12.75">
      <c r="A172" s="60"/>
      <c r="B172" s="857"/>
      <c r="C172" s="857"/>
      <c r="D172" s="857"/>
    </row>
    <row r="173" spans="1:4" ht="12.75">
      <c r="A173" s="60"/>
      <c r="B173" s="857"/>
      <c r="C173" s="857"/>
      <c r="D173" s="857"/>
    </row>
    <row r="174" spans="1:4" ht="12.75">
      <c r="A174" s="60"/>
      <c r="B174" s="857"/>
      <c r="C174" s="857"/>
      <c r="D174" s="857"/>
    </row>
    <row r="175" spans="1:4" ht="12.75">
      <c r="A175" s="60"/>
      <c r="B175" s="857"/>
      <c r="C175" s="857"/>
      <c r="D175" s="857"/>
    </row>
    <row r="176" spans="1:4" ht="12.75">
      <c r="A176" s="60"/>
      <c r="B176" s="857"/>
      <c r="C176" s="857"/>
      <c r="D176" s="857"/>
    </row>
    <row r="177" spans="1:4" ht="12.75">
      <c r="A177" s="60"/>
      <c r="B177" s="857"/>
      <c r="C177" s="857"/>
      <c r="D177" s="857"/>
    </row>
    <row r="178" spans="1:4" ht="12.75">
      <c r="A178" s="60"/>
      <c r="B178" s="857"/>
      <c r="C178" s="857"/>
      <c r="D178" s="857"/>
    </row>
    <row r="179" spans="1:4" ht="12.75">
      <c r="A179" s="60"/>
      <c r="B179" s="857"/>
      <c r="C179" s="857"/>
      <c r="D179" s="857"/>
    </row>
    <row r="180" spans="1:4" ht="12.75">
      <c r="A180" s="60"/>
      <c r="B180" s="857"/>
      <c r="C180" s="857"/>
      <c r="D180" s="857"/>
    </row>
    <row r="181" spans="1:4" ht="12.75">
      <c r="A181" s="60"/>
      <c r="B181" s="857"/>
      <c r="C181" s="857"/>
      <c r="D181" s="857"/>
    </row>
    <row r="182" spans="1:4" ht="12.75">
      <c r="A182" s="60"/>
      <c r="B182" s="857"/>
      <c r="C182" s="857"/>
      <c r="D182" s="857"/>
    </row>
    <row r="183" spans="1:4" ht="12.75">
      <c r="A183" s="60"/>
      <c r="B183" s="857"/>
      <c r="C183" s="857"/>
      <c r="D183" s="857"/>
    </row>
    <row r="184" spans="1:4" ht="12.75">
      <c r="A184" s="60"/>
      <c r="B184" s="857"/>
      <c r="C184" s="857"/>
      <c r="D184" s="857"/>
    </row>
    <row r="185" spans="1:4" ht="12.75">
      <c r="A185" s="60"/>
      <c r="B185" s="857"/>
      <c r="C185" s="857"/>
      <c r="D185" s="857"/>
    </row>
    <row r="186" spans="1:4" ht="12.75">
      <c r="A186" s="60"/>
      <c r="B186" s="857"/>
      <c r="C186" s="857"/>
      <c r="D186" s="857"/>
    </row>
    <row r="187" spans="1:4" ht="12.75">
      <c r="A187" s="60"/>
      <c r="B187" s="857"/>
      <c r="C187" s="857"/>
      <c r="D187" s="857"/>
    </row>
    <row r="188" spans="1:4" ht="12.75">
      <c r="A188" s="60"/>
      <c r="B188" s="857"/>
      <c r="C188" s="857"/>
      <c r="D188" s="857"/>
    </row>
    <row r="189" spans="1:4" ht="12.75">
      <c r="A189" s="60"/>
      <c r="B189" s="857"/>
      <c r="C189" s="857"/>
      <c r="D189" s="857"/>
    </row>
    <row r="190" spans="1:4" ht="12.75">
      <c r="A190" s="60"/>
      <c r="B190" s="857"/>
      <c r="C190" s="857"/>
      <c r="D190" s="857"/>
    </row>
    <row r="191" spans="1:4" ht="12.75">
      <c r="A191" s="60"/>
      <c r="B191" s="857"/>
      <c r="C191" s="857"/>
      <c r="D191" s="857"/>
    </row>
    <row r="192" spans="1:4" ht="12.75">
      <c r="A192" s="60"/>
      <c r="B192" s="857"/>
      <c r="C192" s="857"/>
      <c r="D192" s="857"/>
    </row>
    <row r="193" spans="1:4" ht="12.75">
      <c r="A193" s="60"/>
      <c r="B193" s="857"/>
      <c r="C193" s="857"/>
      <c r="D193" s="857"/>
    </row>
    <row r="194" spans="1:4" ht="12.75">
      <c r="A194" s="60"/>
      <c r="B194" s="857"/>
      <c r="C194" s="857"/>
      <c r="D194" s="857"/>
    </row>
    <row r="195" spans="1:4" ht="12.75">
      <c r="A195" s="60"/>
      <c r="B195" s="857"/>
      <c r="C195" s="857"/>
      <c r="D195" s="857"/>
    </row>
    <row r="196" spans="1:4" ht="12.75">
      <c r="A196" s="60"/>
      <c r="B196" s="857"/>
      <c r="C196" s="857"/>
      <c r="D196" s="857"/>
    </row>
    <row r="197" spans="1:4" ht="12.75">
      <c r="A197" s="60"/>
      <c r="B197" s="857"/>
      <c r="C197" s="857"/>
      <c r="D197" s="857"/>
    </row>
    <row r="198" spans="1:4" ht="12.75">
      <c r="A198" s="60"/>
      <c r="B198" s="857"/>
      <c r="C198" s="857"/>
      <c r="D198" s="857"/>
    </row>
    <row r="199" spans="1:4" ht="12.75">
      <c r="A199" s="60"/>
      <c r="B199" s="857"/>
      <c r="C199" s="857"/>
      <c r="D199" s="857"/>
    </row>
    <row r="200" spans="1:4" ht="12.75">
      <c r="A200" s="60"/>
      <c r="B200" s="857"/>
      <c r="C200" s="857"/>
      <c r="D200" s="857"/>
    </row>
    <row r="201" spans="1:4" ht="12.75">
      <c r="A201" s="60"/>
      <c r="B201" s="857"/>
      <c r="C201" s="857"/>
      <c r="D201" s="857"/>
    </row>
    <row r="202" spans="1:4" ht="12.75">
      <c r="A202" s="60"/>
      <c r="B202" s="857"/>
      <c r="C202" s="857"/>
      <c r="D202" s="857"/>
    </row>
    <row r="203" spans="1:4" ht="12.75">
      <c r="A203" s="60"/>
      <c r="B203" s="857"/>
      <c r="C203" s="857"/>
      <c r="D203" s="857"/>
    </row>
    <row r="204" spans="1:4" ht="12.75">
      <c r="A204" s="60"/>
      <c r="B204" s="857"/>
      <c r="C204" s="857"/>
      <c r="D204" s="857"/>
    </row>
    <row r="205" spans="1:4" ht="12.75">
      <c r="A205" s="60"/>
      <c r="B205" s="857"/>
      <c r="C205" s="857"/>
      <c r="D205" s="857"/>
    </row>
    <row r="206" spans="1:4" ht="12.75">
      <c r="A206" s="60"/>
      <c r="B206" s="857"/>
      <c r="C206" s="857"/>
      <c r="D206" s="857"/>
    </row>
    <row r="207" spans="1:4" ht="12.75">
      <c r="A207" s="60"/>
      <c r="B207" s="857"/>
      <c r="C207" s="857"/>
      <c r="D207" s="857"/>
    </row>
    <row r="208" spans="1:4" ht="12.75">
      <c r="A208" s="60"/>
      <c r="B208" s="857"/>
      <c r="C208" s="857"/>
      <c r="D208" s="857"/>
    </row>
    <row r="209" spans="1:4" ht="12.75">
      <c r="A209" s="60"/>
      <c r="B209" s="857"/>
      <c r="C209" s="857"/>
      <c r="D209" s="857"/>
    </row>
    <row r="210" spans="1:4" ht="12.75">
      <c r="A210" s="60"/>
      <c r="B210" s="857"/>
      <c r="C210" s="857"/>
      <c r="D210" s="857"/>
    </row>
    <row r="211" spans="1:4" ht="12.75">
      <c r="A211" s="60"/>
      <c r="B211" s="857"/>
      <c r="C211" s="857"/>
      <c r="D211" s="857"/>
    </row>
    <row r="212" spans="1:4" ht="12.75">
      <c r="A212" s="60"/>
      <c r="B212" s="857"/>
      <c r="C212" s="857"/>
      <c r="D212" s="857"/>
    </row>
    <row r="213" spans="1:4" ht="12.75">
      <c r="A213" s="60"/>
      <c r="B213" s="857"/>
      <c r="C213" s="857"/>
      <c r="D213" s="857"/>
    </row>
    <row r="214" spans="1:4" ht="12.75">
      <c r="A214" s="60"/>
      <c r="B214" s="857"/>
      <c r="C214" s="857"/>
      <c r="D214" s="857"/>
    </row>
    <row r="215" spans="1:4" ht="12.75">
      <c r="A215" s="60"/>
      <c r="B215" s="857"/>
      <c r="C215" s="857"/>
      <c r="D215" s="857"/>
    </row>
    <row r="216" spans="1:4" ht="12.75">
      <c r="A216" s="60"/>
      <c r="B216" s="857"/>
      <c r="C216" s="857"/>
      <c r="D216" s="857"/>
    </row>
    <row r="217" spans="1:4" ht="12.75">
      <c r="A217" s="60"/>
      <c r="B217" s="857"/>
      <c r="C217" s="857"/>
      <c r="D217" s="857"/>
    </row>
    <row r="218" spans="1:4" ht="12.75">
      <c r="A218" s="60"/>
      <c r="B218" s="857"/>
      <c r="C218" s="857"/>
      <c r="D218" s="857"/>
    </row>
    <row r="219" spans="1:4" ht="12.75">
      <c r="A219" s="60"/>
      <c r="B219" s="857"/>
      <c r="C219" s="857"/>
      <c r="D219" s="857"/>
    </row>
    <row r="220" spans="1:4" ht="12.75">
      <c r="A220" s="60"/>
      <c r="B220" s="857"/>
      <c r="C220" s="857"/>
      <c r="D220" s="857"/>
    </row>
    <row r="221" spans="1:4" ht="12.75">
      <c r="A221" s="60"/>
      <c r="B221" s="857"/>
      <c r="C221" s="857"/>
      <c r="D221" s="857"/>
    </row>
    <row r="222" spans="1:4" ht="12.75">
      <c r="A222" s="60"/>
      <c r="B222" s="857"/>
      <c r="C222" s="857"/>
      <c r="D222" s="857"/>
    </row>
    <row r="223" spans="1:4" ht="12.75">
      <c r="A223" s="60"/>
      <c r="B223" s="857"/>
      <c r="C223" s="857"/>
      <c r="D223" s="857"/>
    </row>
    <row r="224" spans="1:4" ht="12.75">
      <c r="A224" s="60"/>
      <c r="B224" s="857"/>
      <c r="C224" s="857"/>
      <c r="D224" s="857"/>
    </row>
    <row r="225" spans="1:4" ht="12.75">
      <c r="A225" s="60"/>
      <c r="B225" s="857"/>
      <c r="C225" s="857"/>
      <c r="D225" s="857"/>
    </row>
    <row r="226" spans="1:4" ht="12.75">
      <c r="A226" s="60"/>
      <c r="B226" s="857"/>
      <c r="C226" s="857"/>
      <c r="D226" s="857"/>
    </row>
    <row r="227" spans="1:4" ht="12.75">
      <c r="A227" s="60"/>
      <c r="B227" s="857"/>
      <c r="C227" s="857"/>
      <c r="D227" s="857"/>
    </row>
    <row r="228" spans="1:4" ht="12.75">
      <c r="A228" s="60"/>
      <c r="B228" s="857"/>
      <c r="C228" s="857"/>
      <c r="D228" s="857"/>
    </row>
    <row r="229" spans="1:4" ht="12.75">
      <c r="A229" s="60"/>
      <c r="B229" s="857"/>
      <c r="C229" s="857"/>
      <c r="D229" s="857"/>
    </row>
    <row r="230" spans="1:4" ht="12.75">
      <c r="A230" s="60"/>
      <c r="B230" s="857"/>
      <c r="C230" s="857"/>
      <c r="D230" s="857"/>
    </row>
    <row r="231" spans="1:4" ht="12.75">
      <c r="A231" s="60"/>
      <c r="B231" s="857"/>
      <c r="C231" s="857"/>
      <c r="D231" s="857"/>
    </row>
    <row r="232" spans="1:4" ht="12.75">
      <c r="A232" s="60"/>
      <c r="B232" s="857"/>
      <c r="C232" s="857"/>
      <c r="D232" s="857"/>
    </row>
    <row r="233" spans="1:4" ht="12.75">
      <c r="A233" s="60"/>
      <c r="B233" s="857"/>
      <c r="C233" s="857"/>
      <c r="D233" s="857"/>
    </row>
    <row r="234" spans="1:4" ht="12.75">
      <c r="A234" s="60"/>
      <c r="B234" s="857"/>
      <c r="C234" s="857"/>
      <c r="D234" s="857"/>
    </row>
    <row r="235" spans="1:4" ht="12.75">
      <c r="A235" s="60"/>
      <c r="B235" s="857"/>
      <c r="C235" s="857"/>
      <c r="D235" s="857"/>
    </row>
    <row r="236" spans="1:4" ht="12.75">
      <c r="A236" s="60"/>
      <c r="B236" s="857"/>
      <c r="C236" s="857"/>
      <c r="D236" s="857"/>
    </row>
    <row r="237" spans="1:4" ht="12.75">
      <c r="A237" s="60"/>
      <c r="B237" s="857"/>
      <c r="C237" s="857"/>
      <c r="D237" s="857"/>
    </row>
    <row r="238" spans="1:4" ht="12.75">
      <c r="A238" s="60"/>
      <c r="B238" s="857"/>
      <c r="C238" s="857"/>
      <c r="D238" s="857"/>
    </row>
    <row r="239" spans="1:4" ht="12.75">
      <c r="A239" s="60"/>
      <c r="B239" s="857"/>
      <c r="C239" s="857"/>
      <c r="D239" s="857"/>
    </row>
    <row r="240" spans="1:4" ht="12.75">
      <c r="A240" s="60"/>
      <c r="B240" s="857"/>
      <c r="C240" s="857"/>
      <c r="D240" s="857"/>
    </row>
    <row r="241" spans="1:4" ht="12.75">
      <c r="A241" s="60"/>
      <c r="B241" s="857"/>
      <c r="C241" s="857"/>
      <c r="D241" s="857"/>
    </row>
    <row r="242" spans="1:4" ht="12.75">
      <c r="A242" s="60"/>
      <c r="B242" s="857"/>
      <c r="C242" s="857"/>
      <c r="D242" s="857"/>
    </row>
    <row r="243" spans="1:4" ht="12.75">
      <c r="A243" s="60"/>
      <c r="B243" s="857"/>
      <c r="C243" s="857"/>
      <c r="D243" s="857"/>
    </row>
    <row r="244" spans="1:4" ht="12.75">
      <c r="A244" s="60"/>
      <c r="B244" s="857"/>
      <c r="C244" s="857"/>
      <c r="D244" s="857"/>
    </row>
    <row r="245" spans="1:4" ht="12.75">
      <c r="A245" s="60"/>
      <c r="B245" s="857"/>
      <c r="C245" s="857"/>
      <c r="D245" s="857"/>
    </row>
    <row r="246" spans="1:4" ht="12.75">
      <c r="A246" s="60"/>
      <c r="B246" s="857"/>
      <c r="C246" s="857"/>
      <c r="D246" s="857"/>
    </row>
    <row r="247" spans="1:4" ht="12.75">
      <c r="A247" s="60"/>
      <c r="B247" s="857"/>
      <c r="C247" s="857"/>
      <c r="D247" s="857"/>
    </row>
    <row r="248" spans="1:4" ht="12.75">
      <c r="A248" s="60"/>
      <c r="B248" s="857"/>
      <c r="C248" s="857"/>
      <c r="D248" s="857"/>
    </row>
    <row r="249" spans="1:4" ht="12.75">
      <c r="A249" s="60"/>
      <c r="B249" s="857"/>
      <c r="C249" s="857"/>
      <c r="D249" s="857"/>
    </row>
    <row r="250" spans="1:4" ht="12.75">
      <c r="A250" s="60"/>
      <c r="B250" s="857"/>
      <c r="C250" s="857"/>
      <c r="D250" s="857"/>
    </row>
    <row r="251" spans="1:4" ht="12.75">
      <c r="A251" s="60"/>
      <c r="B251" s="857"/>
      <c r="C251" s="857"/>
      <c r="D251" s="857"/>
    </row>
    <row r="252" spans="1:4" ht="12.75">
      <c r="A252" s="60"/>
      <c r="B252" s="857"/>
      <c r="C252" s="857"/>
      <c r="D252" s="857"/>
    </row>
    <row r="253" spans="1:4" ht="12.75">
      <c r="A253" s="60"/>
      <c r="B253" s="857"/>
      <c r="C253" s="857"/>
      <c r="D253" s="857"/>
    </row>
    <row r="254" spans="1:4" ht="12.75">
      <c r="A254" s="60"/>
      <c r="B254" s="857"/>
      <c r="C254" s="857"/>
      <c r="D254" s="857"/>
    </row>
    <row r="255" spans="1:4" ht="12.75">
      <c r="A255" s="60"/>
      <c r="B255" s="857"/>
      <c r="C255" s="857"/>
      <c r="D255" s="857"/>
    </row>
    <row r="256" spans="1:4" ht="12.75">
      <c r="A256" s="60"/>
      <c r="B256" s="857"/>
      <c r="C256" s="857"/>
      <c r="D256" s="857"/>
    </row>
    <row r="257" spans="1:4" ht="12.75">
      <c r="A257" s="60"/>
      <c r="B257" s="857"/>
      <c r="C257" s="857"/>
      <c r="D257" s="857"/>
    </row>
    <row r="258" spans="1:4" ht="12.75">
      <c r="A258" s="60"/>
      <c r="B258" s="857"/>
      <c r="C258" s="857"/>
      <c r="D258" s="857"/>
    </row>
    <row r="259" spans="1:4" ht="12.75">
      <c r="A259" s="60"/>
      <c r="B259" s="857"/>
      <c r="C259" s="857"/>
      <c r="D259" s="857"/>
    </row>
    <row r="260" spans="1:4" ht="12.75">
      <c r="A260" s="60"/>
      <c r="B260" s="857"/>
      <c r="C260" s="857"/>
      <c r="D260" s="857"/>
    </row>
    <row r="261" spans="1:4" ht="12.75">
      <c r="A261" s="60"/>
      <c r="B261" s="857"/>
      <c r="C261" s="857"/>
      <c r="D261" s="857"/>
    </row>
    <row r="262" spans="1:4" ht="12.75">
      <c r="A262" s="60"/>
      <c r="B262" s="857"/>
      <c r="C262" s="857"/>
      <c r="D262" s="857"/>
    </row>
    <row r="263" spans="1:4" ht="12.75">
      <c r="A263" s="60"/>
      <c r="B263" s="857"/>
      <c r="C263" s="857"/>
      <c r="D263" s="857"/>
    </row>
    <row r="264" spans="1:4" ht="12.75">
      <c r="A264" s="60"/>
      <c r="B264" s="857"/>
      <c r="C264" s="857"/>
      <c r="D264" s="857"/>
    </row>
    <row r="265" spans="1:4" ht="12.75">
      <c r="A265" s="60"/>
      <c r="B265" s="857"/>
      <c r="C265" s="857"/>
      <c r="D265" s="857"/>
    </row>
    <row r="266" spans="1:4" ht="12.75">
      <c r="A266" s="60"/>
      <c r="B266" s="857"/>
      <c r="C266" s="857"/>
      <c r="D266" s="857"/>
    </row>
    <row r="267" spans="1:4" ht="12.75">
      <c r="A267" s="60"/>
      <c r="B267" s="857"/>
      <c r="C267" s="857"/>
      <c r="D267" s="857"/>
    </row>
    <row r="268" spans="1:4" ht="12.75">
      <c r="A268" s="60"/>
      <c r="B268" s="857"/>
      <c r="C268" s="857"/>
      <c r="D268" s="857"/>
    </row>
    <row r="269" spans="1:4" ht="12.75">
      <c r="A269" s="60"/>
      <c r="B269" s="857"/>
      <c r="C269" s="857"/>
      <c r="D269" s="857"/>
    </row>
    <row r="270" spans="1:4" ht="12.75">
      <c r="A270" s="60"/>
      <c r="B270" s="857"/>
      <c r="C270" s="857"/>
      <c r="D270" s="857"/>
    </row>
    <row r="271" spans="1:4" ht="12.75">
      <c r="A271" s="60"/>
      <c r="B271" s="857"/>
      <c r="C271" s="857"/>
      <c r="D271" s="857"/>
    </row>
    <row r="272" spans="1:4" ht="12.75">
      <c r="A272" s="60"/>
      <c r="B272" s="857"/>
      <c r="C272" s="857"/>
      <c r="D272" s="857"/>
    </row>
    <row r="273" spans="1:4" ht="12.75">
      <c r="A273" s="60"/>
      <c r="B273" s="857"/>
      <c r="C273" s="857"/>
      <c r="D273" s="857"/>
    </row>
    <row r="274" spans="1:4" ht="12.75">
      <c r="A274" s="60"/>
      <c r="B274" s="857"/>
      <c r="C274" s="857"/>
      <c r="D274" s="857"/>
    </row>
    <row r="275" spans="1:4" ht="12.75">
      <c r="A275" s="60"/>
      <c r="B275" s="857"/>
      <c r="C275" s="857"/>
      <c r="D275" s="857"/>
    </row>
    <row r="276" spans="1:4" ht="12.75">
      <c r="A276" s="60"/>
      <c r="B276" s="857"/>
      <c r="C276" s="857"/>
      <c r="D276" s="857"/>
    </row>
    <row r="277" spans="1:4" ht="12.75">
      <c r="A277" s="60"/>
      <c r="B277" s="857"/>
      <c r="C277" s="857"/>
      <c r="D277" s="857"/>
    </row>
    <row r="278" spans="1:4" ht="12.75">
      <c r="A278" s="60"/>
      <c r="B278" s="857"/>
      <c r="C278" s="857"/>
      <c r="D278" s="857"/>
    </row>
    <row r="279" spans="1:4" ht="12.75">
      <c r="A279" s="60"/>
      <c r="B279" s="857"/>
      <c r="C279" s="857"/>
      <c r="D279" s="857"/>
    </row>
    <row r="280" spans="1:4" ht="12.75">
      <c r="A280" s="60"/>
      <c r="B280" s="857"/>
      <c r="C280" s="857"/>
      <c r="D280" s="857"/>
    </row>
    <row r="281" spans="1:4" ht="12.75">
      <c r="A281" s="60"/>
      <c r="B281" s="857"/>
      <c r="C281" s="857"/>
      <c r="D281" s="857"/>
    </row>
    <row r="282" spans="1:4" ht="12.75">
      <c r="A282" s="60"/>
      <c r="B282" s="857"/>
      <c r="C282" s="857"/>
      <c r="D282" s="857"/>
    </row>
    <row r="283" spans="1:4" ht="12.75">
      <c r="A283" s="60"/>
      <c r="B283" s="857"/>
      <c r="C283" s="857"/>
      <c r="D283" s="857"/>
    </row>
    <row r="284" spans="1:4" ht="12.75">
      <c r="A284" s="60"/>
      <c r="B284" s="857"/>
      <c r="C284" s="857"/>
      <c r="D284" s="857"/>
    </row>
    <row r="285" spans="1:4" ht="12.75">
      <c r="A285" s="60"/>
      <c r="B285" s="857"/>
      <c r="C285" s="857"/>
      <c r="D285" s="857"/>
    </row>
    <row r="286" spans="1:4" ht="12.75">
      <c r="A286" s="60"/>
      <c r="B286" s="857"/>
      <c r="C286" s="857"/>
      <c r="D286" s="857"/>
    </row>
    <row r="287" spans="1:4" ht="12.75">
      <c r="A287" s="60"/>
      <c r="B287" s="857"/>
      <c r="C287" s="857"/>
      <c r="D287" s="857"/>
    </row>
    <row r="288" spans="1:4" ht="12.75">
      <c r="A288" s="60"/>
      <c r="B288" s="857"/>
      <c r="C288" s="857"/>
      <c r="D288" s="857"/>
    </row>
    <row r="289" spans="1:4" ht="12.75">
      <c r="A289" s="60"/>
      <c r="B289" s="857"/>
      <c r="C289" s="857"/>
      <c r="D289" s="857"/>
    </row>
    <row r="290" spans="1:4" ht="12.75">
      <c r="A290" s="60"/>
      <c r="B290" s="857"/>
      <c r="C290" s="857"/>
      <c r="D290" s="857"/>
    </row>
    <row r="291" spans="1:4" ht="12.75">
      <c r="A291" s="60"/>
      <c r="B291" s="857"/>
      <c r="C291" s="857"/>
      <c r="D291" s="857"/>
    </row>
    <row r="292" spans="1:4" ht="12.75">
      <c r="A292" s="60"/>
      <c r="B292" s="857"/>
      <c r="C292" s="857"/>
      <c r="D292" s="857"/>
    </row>
    <row r="293" spans="1:4" ht="12.75">
      <c r="A293" s="60"/>
      <c r="B293" s="857"/>
      <c r="C293" s="857"/>
      <c r="D293" s="857"/>
    </row>
    <row r="294" spans="1:4" ht="12.75">
      <c r="A294" s="60"/>
      <c r="B294" s="857"/>
      <c r="C294" s="857"/>
      <c r="D294" s="857"/>
    </row>
    <row r="295" spans="1:4" ht="12.75">
      <c r="A295" s="60"/>
      <c r="B295" s="857"/>
      <c r="C295" s="857"/>
      <c r="D295" s="857"/>
    </row>
    <row r="296" spans="1:4" ht="12.75">
      <c r="A296" s="60"/>
      <c r="B296" s="857"/>
      <c r="C296" s="857"/>
      <c r="D296" s="857"/>
    </row>
    <row r="297" spans="1:4" ht="12.75">
      <c r="A297" s="60"/>
      <c r="B297" s="857"/>
      <c r="C297" s="857"/>
      <c r="D297" s="857"/>
    </row>
    <row r="298" spans="1:4" ht="12.75">
      <c r="A298" s="60"/>
      <c r="B298" s="857"/>
      <c r="C298" s="857"/>
      <c r="D298" s="857"/>
    </row>
    <row r="299" spans="1:4" ht="12.75">
      <c r="A299" s="60"/>
      <c r="B299" s="857"/>
      <c r="C299" s="857"/>
      <c r="D299" s="857"/>
    </row>
    <row r="300" spans="1:4" ht="12.75">
      <c r="A300" s="60"/>
      <c r="B300" s="857"/>
      <c r="C300" s="857"/>
      <c r="D300" s="857"/>
    </row>
    <row r="301" spans="1:4" ht="12.75">
      <c r="A301" s="60"/>
      <c r="B301" s="857"/>
      <c r="C301" s="857"/>
      <c r="D301" s="857"/>
    </row>
    <row r="302" spans="1:4" ht="12.75">
      <c r="A302" s="60"/>
      <c r="B302" s="857"/>
      <c r="C302" s="857"/>
      <c r="D302" s="857"/>
    </row>
    <row r="303" spans="1:4" ht="12.75">
      <c r="A303" s="60"/>
      <c r="B303" s="857"/>
      <c r="C303" s="857"/>
      <c r="D303" s="857"/>
    </row>
    <row r="304" spans="1:4" ht="12.75">
      <c r="A304" s="60"/>
      <c r="B304" s="857"/>
      <c r="C304" s="857"/>
      <c r="D304" s="857"/>
    </row>
    <row r="305" spans="1:4" ht="12.75">
      <c r="A305" s="60"/>
      <c r="B305" s="857"/>
      <c r="C305" s="857"/>
      <c r="D305" s="857"/>
    </row>
    <row r="306" spans="1:4" ht="12.75">
      <c r="A306" s="60"/>
      <c r="B306" s="857"/>
      <c r="C306" s="857"/>
      <c r="D306" s="857"/>
    </row>
    <row r="307" spans="1:4" ht="12.75">
      <c r="A307" s="60"/>
      <c r="B307" s="857"/>
      <c r="C307" s="857"/>
      <c r="D307" s="857"/>
    </row>
    <row r="308" spans="1:4" ht="12.75">
      <c r="A308" s="60"/>
      <c r="B308" s="857"/>
      <c r="C308" s="857"/>
      <c r="D308" s="857"/>
    </row>
    <row r="309" spans="1:4" ht="12.75">
      <c r="A309" s="60"/>
      <c r="B309" s="857"/>
      <c r="C309" s="857"/>
      <c r="D309" s="857"/>
    </row>
    <row r="310" spans="1:4" ht="12.75">
      <c r="A310" s="60"/>
      <c r="B310" s="857"/>
      <c r="C310" s="857"/>
      <c r="D310" s="857"/>
    </row>
    <row r="311" spans="1:4" ht="12.75">
      <c r="A311" s="60"/>
      <c r="B311" s="857"/>
      <c r="C311" s="857"/>
      <c r="D311" s="857"/>
    </row>
    <row r="312" spans="1:4" ht="12.75">
      <c r="A312" s="60"/>
      <c r="B312" s="857"/>
      <c r="C312" s="857"/>
      <c r="D312" s="857"/>
    </row>
    <row r="313" spans="1:4" ht="12.75">
      <c r="A313" s="60"/>
      <c r="B313" s="857"/>
      <c r="C313" s="857"/>
      <c r="D313" s="857"/>
    </row>
    <row r="314" spans="1:4" ht="12.75">
      <c r="A314" s="60"/>
      <c r="B314" s="857"/>
      <c r="C314" s="857"/>
      <c r="D314" s="857"/>
    </row>
    <row r="315" spans="1:4" ht="12.75">
      <c r="A315" s="60"/>
      <c r="B315" s="857"/>
      <c r="C315" s="857"/>
      <c r="D315" s="857"/>
    </row>
    <row r="316" spans="1:4" ht="12.75">
      <c r="A316" s="60"/>
      <c r="B316" s="857"/>
      <c r="C316" s="857"/>
      <c r="D316" s="857"/>
    </row>
    <row r="317" spans="1:4" ht="12.75">
      <c r="A317" s="60"/>
      <c r="B317" s="857"/>
      <c r="C317" s="857"/>
      <c r="D317" s="857"/>
    </row>
    <row r="318" spans="1:4" ht="12.75">
      <c r="A318" s="60"/>
      <c r="B318" s="857"/>
      <c r="C318" s="857"/>
      <c r="D318" s="857"/>
    </row>
    <row r="319" spans="1:4" ht="12.75">
      <c r="A319" s="60"/>
      <c r="B319" s="857"/>
      <c r="C319" s="857"/>
      <c r="D319" s="857"/>
    </row>
    <row r="320" spans="1:4" ht="12.75">
      <c r="A320" s="60"/>
      <c r="B320" s="857"/>
      <c r="C320" s="857"/>
      <c r="D320" s="857"/>
    </row>
    <row r="321" spans="1:4" ht="12.75">
      <c r="A321" s="60"/>
      <c r="B321" s="857"/>
      <c r="C321" s="857"/>
      <c r="D321" s="857"/>
    </row>
    <row r="322" spans="1:4" ht="12.75">
      <c r="A322" s="60"/>
      <c r="B322" s="857"/>
      <c r="C322" s="857"/>
      <c r="D322" s="857"/>
    </row>
    <row r="323" spans="1:4" ht="12.75">
      <c r="A323" s="60"/>
      <c r="B323" s="857"/>
      <c r="C323" s="857"/>
      <c r="D323" s="857"/>
    </row>
    <row r="324" spans="1:4" ht="12.75">
      <c r="A324" s="60"/>
      <c r="B324" s="857"/>
      <c r="C324" s="857"/>
      <c r="D324" s="857"/>
    </row>
    <row r="325" spans="1:4" ht="12.75">
      <c r="A325" s="60"/>
      <c r="B325" s="857"/>
      <c r="C325" s="857"/>
      <c r="D325" s="857"/>
    </row>
    <row r="326" spans="1:4" ht="12.75">
      <c r="A326" s="60"/>
      <c r="B326" s="857"/>
      <c r="C326" s="857"/>
      <c r="D326" s="857"/>
    </row>
    <row r="327" spans="1:4" ht="12.75">
      <c r="A327" s="60"/>
      <c r="B327" s="857"/>
      <c r="C327" s="857"/>
      <c r="D327" s="857"/>
    </row>
    <row r="328" spans="1:4" ht="12.75">
      <c r="A328" s="60"/>
      <c r="B328" s="857"/>
      <c r="C328" s="857"/>
      <c r="D328" s="857"/>
    </row>
    <row r="329" spans="1:4" ht="12.75">
      <c r="A329" s="60"/>
      <c r="B329" s="857"/>
      <c r="C329" s="857"/>
      <c r="D329" s="857"/>
    </row>
    <row r="330" spans="1:4" ht="12.75">
      <c r="A330" s="60"/>
      <c r="B330" s="857"/>
      <c r="C330" s="857"/>
      <c r="D330" s="857"/>
    </row>
    <row r="331" spans="1:4" ht="12.75">
      <c r="A331" s="60"/>
      <c r="B331" s="857"/>
      <c r="C331" s="857"/>
      <c r="D331" s="857"/>
    </row>
    <row r="332" spans="1:4" ht="12.75">
      <c r="A332" s="60"/>
      <c r="B332" s="857"/>
      <c r="C332" s="857"/>
      <c r="D332" s="857"/>
    </row>
    <row r="333" spans="1:4" ht="12.75">
      <c r="A333" s="60"/>
      <c r="B333" s="857"/>
      <c r="C333" s="857"/>
      <c r="D333" s="857"/>
    </row>
    <row r="334" spans="1:4" ht="12.75">
      <c r="A334" s="60"/>
      <c r="B334" s="857"/>
      <c r="C334" s="857"/>
      <c r="D334" s="857"/>
    </row>
    <row r="335" spans="1:4" ht="12.75">
      <c r="A335" s="60"/>
      <c r="B335" s="857"/>
      <c r="C335" s="857"/>
      <c r="D335" s="857"/>
    </row>
    <row r="336" spans="1:4" ht="12.75">
      <c r="A336" s="60"/>
      <c r="B336" s="857"/>
      <c r="C336" s="857"/>
      <c r="D336" s="857"/>
    </row>
    <row r="337" spans="1:4" ht="12.75">
      <c r="A337" s="60"/>
      <c r="B337" s="857"/>
      <c r="C337" s="857"/>
      <c r="D337" s="857"/>
    </row>
    <row r="338" spans="1:4" ht="12.75">
      <c r="A338" s="60"/>
      <c r="B338" s="857"/>
      <c r="C338" s="857"/>
      <c r="D338" s="857"/>
    </row>
    <row r="339" spans="1:4" ht="12.75">
      <c r="A339" s="60"/>
      <c r="B339" s="857"/>
      <c r="C339" s="857"/>
      <c r="D339" s="857"/>
    </row>
    <row r="340" spans="1:4" ht="12.75">
      <c r="A340" s="60"/>
      <c r="B340" s="857"/>
      <c r="C340" s="857"/>
      <c r="D340" s="857"/>
    </row>
    <row r="341" spans="1:4" ht="12.75">
      <c r="A341" s="60"/>
      <c r="B341" s="857"/>
      <c r="C341" s="857"/>
      <c r="D341" s="857"/>
    </row>
    <row r="342" spans="1:4" ht="12.75">
      <c r="A342" s="60"/>
      <c r="B342" s="857"/>
      <c r="C342" s="857"/>
      <c r="D342" s="857"/>
    </row>
    <row r="343" spans="1:4" ht="12.75">
      <c r="A343" s="60"/>
      <c r="B343" s="857"/>
      <c r="C343" s="857"/>
      <c r="D343" s="857"/>
    </row>
    <row r="344" spans="1:4" ht="12.75">
      <c r="A344" s="60"/>
      <c r="B344" s="857"/>
      <c r="C344" s="857"/>
      <c r="D344" s="857"/>
    </row>
    <row r="345" spans="1:4" ht="12.75">
      <c r="A345" s="60"/>
      <c r="B345" s="857"/>
      <c r="C345" s="857"/>
      <c r="D345" s="857"/>
    </row>
    <row r="346" spans="1:4" ht="12.75">
      <c r="A346" s="60"/>
      <c r="B346" s="857"/>
      <c r="C346" s="857"/>
      <c r="D346" s="857"/>
    </row>
    <row r="347" spans="1:4" ht="12.75">
      <c r="A347" s="60"/>
      <c r="B347" s="857"/>
      <c r="C347" s="857"/>
      <c r="D347" s="857"/>
    </row>
    <row r="348" spans="1:4" ht="12.75">
      <c r="A348" s="60"/>
      <c r="B348" s="857"/>
      <c r="C348" s="857"/>
      <c r="D348" s="857"/>
    </row>
    <row r="349" spans="1:4" ht="12.75">
      <c r="A349" s="60"/>
      <c r="B349" s="857"/>
      <c r="C349" s="857"/>
      <c r="D349" s="857"/>
    </row>
    <row r="350" spans="1:4" ht="12.75">
      <c r="A350" s="60"/>
      <c r="B350" s="857"/>
      <c r="C350" s="857"/>
      <c r="D350" s="857"/>
    </row>
    <row r="351" spans="1:4" ht="12.75">
      <c r="A351" s="60"/>
      <c r="B351" s="857"/>
      <c r="C351" s="857"/>
      <c r="D351" s="857"/>
    </row>
    <row r="352" spans="1:4" ht="12.75">
      <c r="A352" s="60"/>
      <c r="B352" s="857"/>
      <c r="C352" s="857"/>
      <c r="D352" s="857"/>
    </row>
    <row r="353" spans="1:4" ht="12.75">
      <c r="A353" s="60"/>
      <c r="B353" s="857"/>
      <c r="C353" s="857"/>
      <c r="D353" s="857"/>
    </row>
    <row r="354" spans="1:4" ht="12.75">
      <c r="A354" s="60"/>
      <c r="B354" s="857"/>
      <c r="C354" s="857"/>
      <c r="D354" s="857"/>
    </row>
    <row r="355" spans="1:4" ht="12.75">
      <c r="A355" s="60"/>
      <c r="B355" s="857"/>
      <c r="C355" s="857"/>
      <c r="D355" s="857"/>
    </row>
    <row r="356" spans="1:4" ht="12.75">
      <c r="A356" s="60"/>
      <c r="B356" s="857"/>
      <c r="C356" s="857"/>
      <c r="D356" s="857"/>
    </row>
    <row r="357" spans="1:4" ht="12.75">
      <c r="A357" s="60"/>
      <c r="B357" s="857"/>
      <c r="C357" s="857"/>
      <c r="D357" s="857"/>
    </row>
    <row r="358" spans="1:4" ht="12.75">
      <c r="A358" s="60"/>
      <c r="B358" s="857"/>
      <c r="C358" s="857"/>
      <c r="D358" s="857"/>
    </row>
    <row r="359" spans="1:4" ht="12.75">
      <c r="A359" s="60"/>
      <c r="B359" s="857"/>
      <c r="C359" s="857"/>
      <c r="D359" s="857"/>
    </row>
    <row r="360" spans="1:4" ht="12.75">
      <c r="A360" s="60"/>
      <c r="B360" s="857"/>
      <c r="C360" s="857"/>
      <c r="D360" s="857"/>
    </row>
    <row r="361" spans="1:4" ht="12.75">
      <c r="A361" s="60"/>
      <c r="B361" s="857"/>
      <c r="C361" s="857"/>
      <c r="D361" s="857"/>
    </row>
    <row r="362" spans="1:4" ht="12.75">
      <c r="A362" s="60"/>
      <c r="B362" s="857"/>
      <c r="C362" s="857"/>
      <c r="D362" s="857"/>
    </row>
    <row r="363" spans="1:4" ht="12.75">
      <c r="A363" s="60"/>
      <c r="B363" s="857"/>
      <c r="C363" s="857"/>
      <c r="D363" s="857"/>
    </row>
    <row r="364" spans="1:4" ht="12.75">
      <c r="A364" s="60"/>
      <c r="B364" s="857"/>
      <c r="C364" s="857"/>
      <c r="D364" s="857"/>
    </row>
    <row r="365" spans="1:4" ht="12.75">
      <c r="A365" s="60"/>
      <c r="B365" s="857"/>
      <c r="C365" s="857"/>
      <c r="D365" s="857"/>
    </row>
    <row r="366" spans="1:4" ht="12.75">
      <c r="A366" s="60"/>
      <c r="B366" s="857"/>
      <c r="C366" s="857"/>
      <c r="D366" s="857"/>
    </row>
    <row r="367" spans="1:4" ht="12.75">
      <c r="A367" s="60"/>
      <c r="B367" s="857"/>
      <c r="C367" s="857"/>
      <c r="D367" s="857"/>
    </row>
    <row r="368" spans="1:4" ht="12.75">
      <c r="A368" s="60"/>
      <c r="B368" s="857"/>
      <c r="C368" s="857"/>
      <c r="D368" s="857"/>
    </row>
    <row r="369" spans="1:4" ht="12.75">
      <c r="A369" s="60"/>
      <c r="B369" s="857"/>
      <c r="C369" s="857"/>
      <c r="D369" s="857"/>
    </row>
    <row r="370" spans="1:4" ht="12.75">
      <c r="A370" s="60"/>
      <c r="B370" s="857"/>
      <c r="C370" s="857"/>
      <c r="D370" s="857"/>
    </row>
    <row r="371" spans="1:4" ht="12.75">
      <c r="A371" s="60"/>
      <c r="B371" s="857"/>
      <c r="C371" s="857"/>
      <c r="D371" s="857"/>
    </row>
    <row r="372" spans="1:4" ht="12.75">
      <c r="A372" s="60"/>
      <c r="B372" s="857"/>
      <c r="C372" s="857"/>
      <c r="D372" s="857"/>
    </row>
    <row r="373" spans="1:4" ht="12.75">
      <c r="A373" s="60"/>
      <c r="B373" s="857"/>
      <c r="C373" s="857"/>
      <c r="D373" s="857"/>
    </row>
    <row r="374" spans="1:4" ht="12.75">
      <c r="A374" s="60"/>
      <c r="B374" s="857"/>
      <c r="C374" s="857"/>
      <c r="D374" s="857"/>
    </row>
    <row r="375" spans="1:4" ht="12.75">
      <c r="A375" s="60"/>
      <c r="B375" s="857"/>
      <c r="C375" s="857"/>
      <c r="D375" s="857"/>
    </row>
    <row r="376" spans="1:4" ht="12.75">
      <c r="A376" s="60"/>
      <c r="B376" s="857"/>
      <c r="C376" s="857"/>
      <c r="D376" s="857"/>
    </row>
    <row r="377" spans="1:4" ht="12.75">
      <c r="A377" s="60"/>
      <c r="B377" s="857"/>
      <c r="C377" s="857"/>
      <c r="D377" s="857"/>
    </row>
    <row r="378" spans="1:4" ht="12.75">
      <c r="A378" s="60"/>
      <c r="B378" s="857"/>
      <c r="C378" s="857"/>
      <c r="D378" s="857"/>
    </row>
    <row r="379" spans="1:4" ht="12.75">
      <c r="A379" s="60"/>
      <c r="B379" s="857"/>
      <c r="C379" s="857"/>
      <c r="D379" s="857"/>
    </row>
    <row r="380" spans="1:4" ht="12.75">
      <c r="A380" s="60"/>
      <c r="B380" s="857"/>
      <c r="C380" s="857"/>
      <c r="D380" s="857"/>
    </row>
    <row r="381" spans="1:4" ht="12.75">
      <c r="A381" s="60"/>
      <c r="B381" s="857"/>
      <c r="C381" s="857"/>
      <c r="D381" s="857"/>
    </row>
    <row r="382" spans="1:4" ht="12.75">
      <c r="A382" s="60"/>
      <c r="B382" s="857"/>
      <c r="C382" s="857"/>
      <c r="D382" s="857"/>
    </row>
    <row r="383" spans="1:4" ht="12.75">
      <c r="A383" s="60"/>
      <c r="B383" s="857"/>
      <c r="C383" s="857"/>
      <c r="D383" s="857"/>
    </row>
    <row r="384" spans="1:4" ht="12.75">
      <c r="A384" s="60"/>
      <c r="B384" s="857"/>
      <c r="C384" s="857"/>
      <c r="D384" s="857"/>
    </row>
    <row r="385" spans="1:4" ht="12.75">
      <c r="A385" s="60"/>
      <c r="B385" s="857"/>
      <c r="C385" s="857"/>
      <c r="D385" s="857"/>
    </row>
    <row r="386" spans="1:4" ht="12.75">
      <c r="A386" s="60"/>
      <c r="B386" s="857"/>
      <c r="C386" s="857"/>
      <c r="D386" s="857"/>
    </row>
    <row r="387" spans="1:4" ht="12.75">
      <c r="A387" s="60"/>
      <c r="B387" s="857"/>
      <c r="C387" s="857"/>
      <c r="D387" s="857"/>
    </row>
    <row r="388" spans="1:4" ht="12.75">
      <c r="A388" s="60"/>
      <c r="B388" s="857"/>
      <c r="C388" s="857"/>
      <c r="D388" s="857"/>
    </row>
    <row r="389" spans="1:4" ht="12.75">
      <c r="A389" s="60"/>
      <c r="B389" s="857"/>
      <c r="C389" s="857"/>
      <c r="D389" s="857"/>
    </row>
    <row r="390" spans="1:4" ht="12.75">
      <c r="A390" s="60"/>
      <c r="B390" s="857"/>
      <c r="C390" s="857"/>
      <c r="D390" s="857"/>
    </row>
    <row r="391" spans="1:4" ht="12.75">
      <c r="A391" s="60"/>
      <c r="B391" s="857"/>
      <c r="C391" s="857"/>
      <c r="D391" s="857"/>
    </row>
    <row r="392" spans="1:4" ht="12.75">
      <c r="A392" s="60"/>
      <c r="B392" s="857"/>
      <c r="C392" s="857"/>
      <c r="D392" s="857"/>
    </row>
    <row r="393" spans="1:4" ht="12.75">
      <c r="A393" s="60"/>
      <c r="B393" s="857"/>
      <c r="C393" s="857"/>
      <c r="D393" s="857"/>
    </row>
    <row r="394" spans="1:4" ht="12.75">
      <c r="A394" s="60"/>
      <c r="B394" s="857"/>
      <c r="C394" s="857"/>
      <c r="D394" s="857"/>
    </row>
    <row r="395" spans="1:4" ht="12.75">
      <c r="A395" s="60"/>
      <c r="B395" s="857"/>
      <c r="C395" s="857"/>
      <c r="D395" s="857"/>
    </row>
    <row r="396" spans="1:4" ht="12.75">
      <c r="A396" s="60"/>
      <c r="B396" s="857"/>
      <c r="C396" s="857"/>
      <c r="D396" s="857"/>
    </row>
    <row r="397" spans="1:4" ht="12.75">
      <c r="A397" s="60"/>
      <c r="B397" s="857"/>
      <c r="C397" s="857"/>
      <c r="D397" s="857"/>
    </row>
    <row r="398" spans="1:4" ht="12.75">
      <c r="A398" s="60"/>
      <c r="B398" s="857"/>
      <c r="C398" s="857"/>
      <c r="D398" s="857"/>
    </row>
    <row r="399" spans="1:4" ht="12.75">
      <c r="A399" s="60"/>
      <c r="B399" s="857"/>
      <c r="C399" s="857"/>
      <c r="D399" s="857"/>
    </row>
    <row r="400" spans="1:4" ht="12.75">
      <c r="A400" s="60"/>
      <c r="B400" s="857"/>
      <c r="C400" s="857"/>
      <c r="D400" s="857"/>
    </row>
    <row r="401" spans="1:4" ht="12.75">
      <c r="A401" s="60"/>
      <c r="B401" s="857"/>
      <c r="C401" s="857"/>
      <c r="D401" s="857"/>
    </row>
    <row r="402" spans="1:4" ht="12.75">
      <c r="A402" s="60"/>
      <c r="B402" s="857"/>
      <c r="C402" s="857"/>
      <c r="D402" s="857"/>
    </row>
    <row r="403" spans="1:4" ht="12.75">
      <c r="A403" s="60"/>
      <c r="B403" s="857"/>
      <c r="C403" s="857"/>
      <c r="D403" s="857"/>
    </row>
    <row r="404" spans="1:4" ht="12.75">
      <c r="A404" s="60"/>
      <c r="B404" s="857"/>
      <c r="C404" s="857"/>
      <c r="D404" s="857"/>
    </row>
    <row r="405" spans="1:4" ht="12.75">
      <c r="A405" s="60"/>
      <c r="B405" s="857"/>
      <c r="C405" s="857"/>
      <c r="D405" s="857"/>
    </row>
    <row r="406" spans="1:4" ht="12.75">
      <c r="A406" s="60"/>
      <c r="B406" s="857"/>
      <c r="C406" s="857"/>
      <c r="D406" s="857"/>
    </row>
    <row r="407" spans="1:4" ht="12.75">
      <c r="A407" s="60"/>
      <c r="B407" s="857"/>
      <c r="C407" s="857"/>
      <c r="D407" s="857"/>
    </row>
    <row r="408" spans="1:4" ht="12.75">
      <c r="A408" s="60"/>
      <c r="B408" s="857"/>
      <c r="C408" s="857"/>
      <c r="D408" s="857"/>
    </row>
    <row r="409" spans="1:4" ht="12.75">
      <c r="A409" s="60"/>
      <c r="B409" s="857"/>
      <c r="C409" s="857"/>
      <c r="D409" s="857"/>
    </row>
    <row r="410" spans="1:4" ht="12.75">
      <c r="A410" s="60"/>
      <c r="B410" s="857"/>
      <c r="C410" s="857"/>
      <c r="D410" s="857"/>
    </row>
    <row r="411" spans="1:4" ht="12.75">
      <c r="A411" s="60"/>
      <c r="B411" s="857"/>
      <c r="C411" s="857"/>
      <c r="D411" s="857"/>
    </row>
    <row r="412" spans="1:4" ht="12.75">
      <c r="A412" s="60"/>
      <c r="B412" s="857"/>
      <c r="C412" s="857"/>
      <c r="D412" s="857"/>
    </row>
    <row r="413" spans="1:4" ht="12.75">
      <c r="A413" s="60"/>
      <c r="B413" s="857"/>
      <c r="C413" s="857"/>
      <c r="D413" s="857"/>
    </row>
    <row r="414" spans="1:4" ht="12.75">
      <c r="A414" s="60"/>
      <c r="B414" s="857"/>
      <c r="C414" s="857"/>
      <c r="D414" s="857"/>
    </row>
    <row r="415" spans="1:4" ht="12.75">
      <c r="A415" s="60"/>
      <c r="B415" s="857"/>
      <c r="C415" s="857"/>
      <c r="D415" s="857"/>
    </row>
    <row r="416" spans="1:4" ht="12.75">
      <c r="A416" s="60"/>
      <c r="B416" s="857"/>
      <c r="C416" s="857"/>
      <c r="D416" s="857"/>
    </row>
    <row r="417" spans="1:4" ht="12.75">
      <c r="A417" s="60"/>
      <c r="B417" s="857"/>
      <c r="C417" s="857"/>
      <c r="D417" s="857"/>
    </row>
    <row r="418" spans="1:4" ht="12.75">
      <c r="A418" s="60"/>
      <c r="B418" s="857"/>
      <c r="C418" s="857"/>
      <c r="D418" s="857"/>
    </row>
    <row r="419" spans="1:4" ht="12.75">
      <c r="A419" s="60"/>
      <c r="B419" s="857"/>
      <c r="C419" s="857"/>
      <c r="D419" s="857"/>
    </row>
    <row r="420" spans="1:4" ht="12.75">
      <c r="A420" s="60"/>
      <c r="B420" s="857"/>
      <c r="C420" s="857"/>
      <c r="D420" s="857"/>
    </row>
    <row r="421" spans="1:4" ht="12.75">
      <c r="A421" s="60"/>
      <c r="B421" s="857"/>
      <c r="C421" s="857"/>
      <c r="D421" s="857"/>
    </row>
    <row r="422" spans="1:4" ht="12.75">
      <c r="A422" s="60"/>
      <c r="B422" s="857"/>
      <c r="C422" s="857"/>
      <c r="D422" s="857"/>
    </row>
    <row r="423" spans="1:4" ht="12.75">
      <c r="A423" s="60"/>
      <c r="B423" s="857"/>
      <c r="C423" s="857"/>
      <c r="D423" s="857"/>
    </row>
    <row r="424" spans="1:4" ht="12.75">
      <c r="A424" s="60"/>
      <c r="B424" s="857"/>
      <c r="C424" s="857"/>
      <c r="D424" s="857"/>
    </row>
    <row r="425" spans="1:4" ht="12.75">
      <c r="A425" s="60"/>
      <c r="B425" s="857"/>
      <c r="C425" s="857"/>
      <c r="D425" s="857"/>
    </row>
    <row r="426" spans="1:4" ht="12.75">
      <c r="A426" s="60"/>
      <c r="B426" s="857"/>
      <c r="C426" s="857"/>
      <c r="D426" s="857"/>
    </row>
    <row r="427" spans="1:4" ht="12.75">
      <c r="A427" s="60"/>
      <c r="B427" s="857"/>
      <c r="C427" s="857"/>
      <c r="D427" s="857"/>
    </row>
    <row r="428" spans="1:4" ht="12.75">
      <c r="A428" s="60"/>
      <c r="B428" s="857"/>
      <c r="C428" s="857"/>
      <c r="D428" s="857"/>
    </row>
    <row r="429" spans="1:4" ht="12.75">
      <c r="A429" s="60"/>
      <c r="B429" s="857"/>
      <c r="C429" s="857"/>
      <c r="D429" s="857"/>
    </row>
    <row r="430" spans="1:4" ht="12.75">
      <c r="A430" s="60"/>
      <c r="B430" s="857"/>
      <c r="C430" s="857"/>
      <c r="D430" s="857"/>
    </row>
    <row r="431" spans="1:4" ht="12.75">
      <c r="A431" s="60"/>
      <c r="B431" s="857"/>
      <c r="C431" s="857"/>
      <c r="D431" s="857"/>
    </row>
    <row r="432" spans="1:4" ht="12.75">
      <c r="A432" s="60"/>
      <c r="B432" s="857"/>
      <c r="C432" s="857"/>
      <c r="D432" s="857"/>
    </row>
    <row r="433" spans="1:4" ht="12.75">
      <c r="A433" s="60"/>
      <c r="B433" s="857"/>
      <c r="C433" s="857"/>
      <c r="D433" s="857"/>
    </row>
    <row r="434" spans="1:4" ht="12.75">
      <c r="A434" s="60"/>
      <c r="B434" s="857"/>
      <c r="C434" s="857"/>
      <c r="D434" s="857"/>
    </row>
    <row r="435" spans="1:4" ht="12.75">
      <c r="A435" s="60"/>
      <c r="B435" s="857"/>
      <c r="C435" s="857"/>
      <c r="D435" s="857"/>
    </row>
    <row r="436" spans="1:4" ht="12.75">
      <c r="A436" s="60"/>
      <c r="B436" s="857"/>
      <c r="C436" s="857"/>
      <c r="D436" s="857"/>
    </row>
    <row r="437" spans="1:4" ht="12.75">
      <c r="A437" s="60"/>
      <c r="B437" s="857"/>
      <c r="C437" s="857"/>
      <c r="D437" s="857"/>
    </row>
    <row r="438" spans="1:4" ht="12.75">
      <c r="A438" s="60"/>
      <c r="B438" s="857"/>
      <c r="C438" s="857"/>
      <c r="D438" s="857"/>
    </row>
    <row r="439" spans="1:4" ht="12.75">
      <c r="A439" s="60"/>
      <c r="B439" s="857"/>
      <c r="C439" s="857"/>
      <c r="D439" s="857"/>
    </row>
    <row r="440" spans="1:4" ht="12.75">
      <c r="A440" s="60"/>
      <c r="B440" s="857"/>
      <c r="C440" s="857"/>
      <c r="D440" s="857"/>
    </row>
    <row r="441" spans="1:4" ht="12.75">
      <c r="A441" s="60"/>
      <c r="B441" s="857"/>
      <c r="C441" s="857"/>
      <c r="D441" s="857"/>
    </row>
    <row r="442" spans="1:4" ht="12.75">
      <c r="A442" s="60"/>
      <c r="B442" s="857"/>
      <c r="C442" s="857"/>
      <c r="D442" s="857"/>
    </row>
    <row r="443" spans="1:4" ht="12.75">
      <c r="A443" s="60"/>
      <c r="B443" s="857"/>
      <c r="C443" s="857"/>
      <c r="D443" s="857"/>
    </row>
    <row r="444" spans="1:4" ht="12.75">
      <c r="A444" s="60"/>
      <c r="B444" s="857"/>
      <c r="C444" s="857"/>
      <c r="D444" s="857"/>
    </row>
    <row r="445" spans="1:4" ht="12.75">
      <c r="A445" s="60"/>
      <c r="B445" s="857"/>
      <c r="C445" s="857"/>
      <c r="D445" s="857"/>
    </row>
    <row r="446" spans="1:4" ht="12.75">
      <c r="A446" s="60"/>
      <c r="B446" s="857"/>
      <c r="C446" s="857"/>
      <c r="D446" s="857"/>
    </row>
    <row r="447" spans="1:4" ht="12.75">
      <c r="A447" s="60"/>
      <c r="B447" s="857"/>
      <c r="C447" s="857"/>
      <c r="D447" s="857"/>
    </row>
    <row r="448" spans="1:4" ht="12.75">
      <c r="A448" s="60"/>
      <c r="B448" s="857"/>
      <c r="C448" s="857"/>
      <c r="D448" s="857"/>
    </row>
    <row r="449" spans="1:4" ht="12.75">
      <c r="A449" s="60"/>
      <c r="B449" s="857"/>
      <c r="C449" s="857"/>
      <c r="D449" s="857"/>
    </row>
    <row r="450" spans="1:4" ht="12.75">
      <c r="A450" s="60"/>
      <c r="B450" s="857"/>
      <c r="C450" s="857"/>
      <c r="D450" s="857"/>
    </row>
    <row r="451" spans="1:4" ht="12.75">
      <c r="A451" s="60"/>
      <c r="B451" s="857"/>
      <c r="C451" s="857"/>
      <c r="D451" s="857"/>
    </row>
    <row r="452" spans="1:4" ht="12.75">
      <c r="A452" s="60"/>
      <c r="B452" s="857"/>
      <c r="C452" s="857"/>
      <c r="D452" s="857"/>
    </row>
    <row r="453" spans="1:4" ht="12.75">
      <c r="A453" s="60"/>
      <c r="B453" s="857"/>
      <c r="C453" s="857"/>
      <c r="D453" s="857"/>
    </row>
    <row r="454" spans="1:4" ht="12.75">
      <c r="A454" s="60"/>
      <c r="B454" s="857"/>
      <c r="C454" s="857"/>
      <c r="D454" s="857"/>
    </row>
    <row r="455" spans="1:4" ht="12.75">
      <c r="A455" s="60"/>
      <c r="B455" s="857"/>
      <c r="C455" s="857"/>
      <c r="D455" s="857"/>
    </row>
    <row r="456" spans="1:4" ht="12.75">
      <c r="A456" s="60"/>
      <c r="B456" s="857"/>
      <c r="C456" s="857"/>
      <c r="D456" s="857"/>
    </row>
    <row r="457" spans="1:4" ht="12.75">
      <c r="A457" s="60"/>
      <c r="B457" s="857"/>
      <c r="C457" s="857"/>
      <c r="D457" s="857"/>
    </row>
    <row r="458" spans="1:4" ht="12.75">
      <c r="A458" s="60"/>
      <c r="B458" s="857"/>
      <c r="C458" s="857"/>
      <c r="D458" s="857"/>
    </row>
    <row r="459" spans="1:4" ht="12.75">
      <c r="A459" s="60"/>
      <c r="B459" s="857"/>
      <c r="C459" s="857"/>
      <c r="D459" s="857"/>
    </row>
    <row r="460" spans="1:4" ht="12.75">
      <c r="A460" s="60"/>
      <c r="B460" s="857"/>
      <c r="C460" s="857"/>
      <c r="D460" s="857"/>
    </row>
    <row r="461" spans="1:4" ht="12.75">
      <c r="A461" s="60"/>
      <c r="B461" s="857"/>
      <c r="C461" s="857"/>
      <c r="D461" s="857"/>
    </row>
    <row r="462" spans="1:4" ht="12.75">
      <c r="A462" s="60"/>
      <c r="B462" s="857"/>
      <c r="C462" s="857"/>
      <c r="D462" s="857"/>
    </row>
    <row r="463" spans="1:4" ht="12.75">
      <c r="A463" s="60"/>
      <c r="B463" s="857"/>
      <c r="C463" s="857"/>
      <c r="D463" s="857"/>
    </row>
    <row r="464" spans="1:4" ht="12.75">
      <c r="A464" s="60"/>
      <c r="B464" s="857"/>
      <c r="C464" s="857"/>
      <c r="D464" s="857"/>
    </row>
    <row r="465" spans="1:4" ht="12.75">
      <c r="A465" s="60"/>
      <c r="B465" s="857"/>
      <c r="C465" s="857"/>
      <c r="D465" s="857"/>
    </row>
    <row r="466" spans="1:4" ht="12.75">
      <c r="A466" s="60"/>
      <c r="B466" s="857"/>
      <c r="C466" s="857"/>
      <c r="D466" s="857"/>
    </row>
    <row r="467" spans="1:4" ht="12.75">
      <c r="A467" s="60"/>
      <c r="B467" s="857"/>
      <c r="C467" s="857"/>
      <c r="D467" s="857"/>
    </row>
    <row r="468" spans="1:4" ht="12.75">
      <c r="A468" s="60"/>
      <c r="B468" s="857"/>
      <c r="C468" s="857"/>
      <c r="D468" s="857"/>
    </row>
    <row r="469" spans="1:4" ht="12.75">
      <c r="A469" s="60"/>
      <c r="B469" s="857"/>
      <c r="C469" s="857"/>
      <c r="D469" s="857"/>
    </row>
    <row r="470" spans="1:4" ht="12.75">
      <c r="A470" s="60"/>
      <c r="B470" s="857"/>
      <c r="C470" s="857"/>
      <c r="D470" s="857"/>
    </row>
    <row r="471" spans="1:4" ht="12.75">
      <c r="A471" s="60"/>
      <c r="B471" s="857"/>
      <c r="C471" s="857"/>
      <c r="D471" s="857"/>
    </row>
    <row r="472" spans="1:4" ht="12.75">
      <c r="A472" s="60"/>
      <c r="B472" s="857"/>
      <c r="C472" s="857"/>
      <c r="D472" s="857"/>
    </row>
    <row r="473" spans="1:4" ht="12.75">
      <c r="A473" s="60"/>
      <c r="B473" s="857"/>
      <c r="C473" s="857"/>
      <c r="D473" s="857"/>
    </row>
    <row r="474" spans="1:4" ht="12.75">
      <c r="A474" s="60"/>
      <c r="B474" s="857"/>
      <c r="C474" s="857"/>
      <c r="D474" s="857"/>
    </row>
    <row r="475" spans="1:4" ht="12.75">
      <c r="A475" s="60"/>
      <c r="B475" s="857"/>
      <c r="C475" s="857"/>
      <c r="D475" s="857"/>
    </row>
    <row r="476" spans="1:4" ht="12.75">
      <c r="A476" s="60"/>
      <c r="B476" s="857"/>
      <c r="C476" s="857"/>
      <c r="D476" s="857"/>
    </row>
    <row r="477" spans="1:4" ht="12.75">
      <c r="A477" s="60"/>
      <c r="B477" s="857"/>
      <c r="C477" s="857"/>
      <c r="D477" s="857"/>
    </row>
    <row r="478" spans="1:4" ht="12.75">
      <c r="A478" s="60"/>
      <c r="B478" s="857"/>
      <c r="C478" s="857"/>
      <c r="D478" s="857"/>
    </row>
    <row r="479" spans="1:4" ht="12.75">
      <c r="A479" s="60"/>
      <c r="B479" s="857"/>
      <c r="C479" s="857"/>
      <c r="D479" s="857"/>
    </row>
    <row r="480" spans="1:4" ht="12.75">
      <c r="A480" s="60"/>
      <c r="B480" s="857"/>
      <c r="C480" s="857"/>
      <c r="D480" s="857"/>
    </row>
    <row r="481" spans="1:4" ht="12.75">
      <c r="A481" s="60"/>
      <c r="B481" s="857"/>
      <c r="C481" s="857"/>
      <c r="D481" s="857"/>
    </row>
    <row r="482" spans="1:4" ht="12.75">
      <c r="A482" s="60"/>
      <c r="B482" s="857"/>
      <c r="C482" s="857"/>
      <c r="D482" s="857"/>
    </row>
    <row r="483" spans="1:4" ht="12.75">
      <c r="A483" s="60"/>
      <c r="B483" s="857"/>
      <c r="C483" s="857"/>
      <c r="D483" s="857"/>
    </row>
    <row r="484" spans="1:4" ht="12.75">
      <c r="A484" s="60"/>
      <c r="B484" s="857"/>
      <c r="C484" s="857"/>
      <c r="D484" s="857"/>
    </row>
    <row r="485" spans="1:4" ht="12.75">
      <c r="A485" s="60"/>
      <c r="B485" s="857"/>
      <c r="C485" s="857"/>
      <c r="D485" s="857"/>
    </row>
    <row r="486" spans="1:4" ht="12.75">
      <c r="A486" s="60"/>
      <c r="B486" s="857"/>
      <c r="C486" s="857"/>
      <c r="D486" s="857"/>
    </row>
    <row r="487" spans="1:4" ht="12.75">
      <c r="A487" s="60"/>
      <c r="B487" s="857"/>
      <c r="C487" s="857"/>
      <c r="D487" s="857"/>
    </row>
    <row r="488" spans="1:4" ht="12.75">
      <c r="A488" s="60"/>
      <c r="B488" s="857"/>
      <c r="C488" s="857"/>
      <c r="D488" s="857"/>
    </row>
    <row r="489" spans="1:4" ht="12.75">
      <c r="A489" s="60"/>
      <c r="B489" s="857"/>
      <c r="C489" s="857"/>
      <c r="D489" s="857"/>
    </row>
    <row r="490" spans="1:4" ht="12.75">
      <c r="A490" s="60"/>
      <c r="B490" s="857"/>
      <c r="C490" s="857"/>
      <c r="D490" s="857"/>
    </row>
    <row r="491" spans="1:4" ht="12.75">
      <c r="A491" s="60"/>
      <c r="B491" s="857"/>
      <c r="C491" s="857"/>
      <c r="D491" s="857"/>
    </row>
    <row r="492" spans="1:4" ht="12.75">
      <c r="A492" s="60"/>
      <c r="B492" s="857"/>
      <c r="C492" s="857"/>
      <c r="D492" s="857"/>
    </row>
    <row r="493" spans="1:4" ht="12.75">
      <c r="A493" s="60"/>
      <c r="B493" s="857"/>
      <c r="C493" s="857"/>
      <c r="D493" s="857"/>
    </row>
    <row r="494" spans="1:4" ht="12.75">
      <c r="A494" s="60"/>
      <c r="B494" s="857"/>
      <c r="C494" s="857"/>
      <c r="D494" s="857"/>
    </row>
    <row r="495" spans="1:4" ht="12.75">
      <c r="A495" s="60"/>
      <c r="B495" s="857"/>
      <c r="C495" s="857"/>
      <c r="D495" s="857"/>
    </row>
    <row r="496" spans="1:4" ht="12.75">
      <c r="A496" s="60"/>
      <c r="B496" s="857"/>
      <c r="C496" s="857"/>
      <c r="D496" s="857"/>
    </row>
    <row r="497" spans="1:4" ht="12.75">
      <c r="A497" s="60"/>
      <c r="B497" s="857"/>
      <c r="C497" s="857"/>
      <c r="D497" s="857"/>
    </row>
    <row r="498" spans="1:4" ht="12.75">
      <c r="A498" s="60"/>
      <c r="B498" s="857"/>
      <c r="C498" s="857"/>
      <c r="D498" s="857"/>
    </row>
    <row r="499" spans="1:4" ht="12.75">
      <c r="A499" s="60"/>
      <c r="B499" s="857"/>
      <c r="C499" s="857"/>
      <c r="D499" s="857"/>
    </row>
    <row r="500" spans="1:4" ht="12.75">
      <c r="A500" s="60"/>
      <c r="B500" s="857"/>
      <c r="C500" s="857"/>
      <c r="D500" s="857"/>
    </row>
    <row r="501" spans="1:4" ht="12.75">
      <c r="A501" s="60"/>
      <c r="B501" s="857"/>
      <c r="C501" s="857"/>
      <c r="D501" s="857"/>
    </row>
    <row r="502" spans="1:4" ht="12.75">
      <c r="A502" s="60"/>
      <c r="B502" s="857"/>
      <c r="C502" s="857"/>
      <c r="D502" s="857"/>
    </row>
    <row r="503" spans="1:4" ht="12.75">
      <c r="A503" s="60"/>
      <c r="B503" s="857"/>
      <c r="C503" s="857"/>
      <c r="D503" s="857"/>
    </row>
    <row r="504" spans="1:4" ht="12.75">
      <c r="A504" s="60"/>
      <c r="B504" s="857"/>
      <c r="C504" s="857"/>
      <c r="D504" s="857"/>
    </row>
    <row r="505" spans="1:4" ht="12.75">
      <c r="A505" s="60"/>
      <c r="B505" s="857"/>
      <c r="C505" s="857"/>
      <c r="D505" s="857"/>
    </row>
    <row r="506" spans="1:4" ht="12.75">
      <c r="A506" s="60"/>
      <c r="B506" s="857"/>
      <c r="C506" s="857"/>
      <c r="D506" s="857"/>
    </row>
    <row r="507" spans="1:4" ht="12.75">
      <c r="A507" s="60"/>
      <c r="B507" s="857"/>
      <c r="C507" s="857"/>
      <c r="D507" s="857"/>
    </row>
    <row r="508" spans="1:4" ht="12.75">
      <c r="A508" s="60"/>
      <c r="B508" s="857"/>
      <c r="C508" s="857"/>
      <c r="D508" s="857"/>
    </row>
    <row r="509" spans="1:4" ht="12.75">
      <c r="A509" s="60"/>
      <c r="B509" s="857"/>
      <c r="C509" s="857"/>
      <c r="D509" s="857"/>
    </row>
    <row r="510" spans="1:4" ht="12.75">
      <c r="A510" s="60"/>
      <c r="B510" s="857"/>
      <c r="C510" s="857"/>
      <c r="D510" s="857"/>
    </row>
    <row r="511" spans="1:4" ht="12.75">
      <c r="A511" s="60"/>
      <c r="B511" s="857"/>
      <c r="C511" s="857"/>
      <c r="D511" s="857"/>
    </row>
    <row r="512" spans="1:4" ht="12.75">
      <c r="A512" s="60"/>
      <c r="B512" s="857"/>
      <c r="C512" s="857"/>
      <c r="D512" s="857"/>
    </row>
    <row r="513" spans="1:4" ht="12.75">
      <c r="A513" s="60"/>
      <c r="B513" s="857"/>
      <c r="C513" s="857"/>
      <c r="D513" s="857"/>
    </row>
    <row r="514" spans="1:4" ht="12.75">
      <c r="A514" s="60"/>
      <c r="B514" s="857"/>
      <c r="C514" s="857"/>
      <c r="D514" s="857"/>
    </row>
    <row r="515" spans="1:4" ht="12.75">
      <c r="A515" s="60"/>
      <c r="B515" s="857"/>
      <c r="C515" s="857"/>
      <c r="D515" s="857"/>
    </row>
    <row r="516" spans="1:4" ht="12.75">
      <c r="A516" s="60"/>
      <c r="B516" s="857"/>
      <c r="C516" s="857"/>
      <c r="D516" s="857"/>
    </row>
    <row r="517" spans="1:4" ht="12.75">
      <c r="A517" s="60"/>
      <c r="B517" s="857"/>
      <c r="C517" s="857"/>
      <c r="D517" s="857"/>
    </row>
    <row r="518" spans="1:4" ht="12.75">
      <c r="A518" s="60"/>
      <c r="B518" s="857"/>
      <c r="C518" s="857"/>
      <c r="D518" s="857"/>
    </row>
    <row r="519" spans="1:4" ht="12.75">
      <c r="A519" s="60"/>
      <c r="B519" s="857"/>
      <c r="C519" s="857"/>
      <c r="D519" s="857"/>
    </row>
    <row r="520" spans="1:4" ht="12.75">
      <c r="A520" s="60"/>
      <c r="B520" s="857"/>
      <c r="C520" s="857"/>
      <c r="D520" s="857"/>
    </row>
    <row r="521" spans="1:4" ht="12.75">
      <c r="A521" s="60"/>
      <c r="B521" s="857"/>
      <c r="C521" s="857"/>
      <c r="D521" s="857"/>
    </row>
    <row r="522" spans="1:4" ht="12.75">
      <c r="A522" s="60"/>
      <c r="B522" s="857"/>
      <c r="C522" s="857"/>
      <c r="D522" s="857"/>
    </row>
    <row r="523" spans="1:4" ht="12.75">
      <c r="A523" s="60"/>
      <c r="B523" s="857"/>
      <c r="C523" s="857"/>
      <c r="D523" s="857"/>
    </row>
    <row r="524" spans="1:4" ht="12.75">
      <c r="A524" s="60"/>
      <c r="B524" s="857"/>
      <c r="C524" s="857"/>
      <c r="D524" s="857"/>
    </row>
    <row r="525" spans="1:4" ht="12.75">
      <c r="A525" s="60"/>
      <c r="B525" s="857"/>
      <c r="C525" s="857"/>
      <c r="D525" s="857"/>
    </row>
    <row r="526" spans="1:4" ht="12.75">
      <c r="A526" s="60"/>
      <c r="B526" s="857"/>
      <c r="C526" s="857"/>
      <c r="D526" s="857"/>
    </row>
    <row r="527" spans="1:4" ht="12.75">
      <c r="A527" s="60"/>
      <c r="B527" s="857"/>
      <c r="C527" s="857"/>
      <c r="D527" s="857"/>
    </row>
    <row r="528" spans="1:4" ht="12.75">
      <c r="A528" s="60"/>
      <c r="B528" s="857"/>
      <c r="C528" s="857"/>
      <c r="D528" s="857"/>
    </row>
    <row r="529" spans="1:4" ht="12.75">
      <c r="A529" s="60"/>
      <c r="B529" s="857"/>
      <c r="C529" s="857"/>
      <c r="D529" s="857"/>
    </row>
    <row r="530" spans="1:4" ht="12.75">
      <c r="A530" s="60"/>
      <c r="B530" s="857"/>
      <c r="C530" s="857"/>
      <c r="D530" s="857"/>
    </row>
    <row r="531" spans="1:4" ht="12.75">
      <c r="A531" s="60"/>
      <c r="B531" s="857"/>
      <c r="C531" s="857"/>
      <c r="D531" s="857"/>
    </row>
    <row r="532" spans="1:4" ht="12.75">
      <c r="A532" s="60"/>
      <c r="B532" s="857"/>
      <c r="C532" s="857"/>
      <c r="D532" s="857"/>
    </row>
    <row r="533" spans="1:4" ht="12.75">
      <c r="A533" s="60"/>
      <c r="B533" s="857"/>
      <c r="C533" s="857"/>
      <c r="D533" s="857"/>
    </row>
    <row r="534" spans="1:4" ht="12.75">
      <c r="A534" s="60"/>
      <c r="B534" s="857"/>
      <c r="C534" s="857"/>
      <c r="D534" s="857"/>
    </row>
    <row r="535" spans="1:4" ht="12.75">
      <c r="A535" s="60"/>
      <c r="B535" s="857"/>
      <c r="C535" s="857"/>
      <c r="D535" s="857"/>
    </row>
    <row r="536" spans="1:4" ht="12.75">
      <c r="A536" s="60"/>
      <c r="B536" s="857"/>
      <c r="C536" s="857"/>
      <c r="D536" s="857"/>
    </row>
    <row r="537" spans="1:4" ht="12.75">
      <c r="A537" s="60"/>
      <c r="B537" s="857"/>
      <c r="C537" s="857"/>
      <c r="D537" s="857"/>
    </row>
    <row r="538" spans="1:4" ht="12.75">
      <c r="A538" s="60"/>
      <c r="B538" s="857"/>
      <c r="C538" s="857"/>
      <c r="D538" s="857"/>
    </row>
    <row r="539" spans="1:4" ht="12.75">
      <c r="A539" s="60"/>
      <c r="B539" s="857"/>
      <c r="C539" s="857"/>
      <c r="D539" s="857"/>
    </row>
    <row r="540" spans="1:4" ht="12.75">
      <c r="A540" s="60"/>
      <c r="B540" s="857"/>
      <c r="C540" s="857"/>
      <c r="D540" s="857"/>
    </row>
    <row r="541" spans="1:4" ht="12.75">
      <c r="A541" s="60"/>
      <c r="B541" s="857"/>
      <c r="C541" s="857"/>
      <c r="D541" s="857"/>
    </row>
    <row r="542" spans="1:4" ht="12.75">
      <c r="A542" s="60"/>
      <c r="B542" s="857"/>
      <c r="C542" s="857"/>
      <c r="D542" s="857"/>
    </row>
    <row r="543" spans="1:4" ht="12.75">
      <c r="A543" s="60"/>
      <c r="B543" s="857"/>
      <c r="C543" s="857"/>
      <c r="D543" s="857"/>
    </row>
    <row r="544" spans="1:4" ht="12.75">
      <c r="A544" s="60"/>
      <c r="B544" s="857"/>
      <c r="C544" s="857"/>
      <c r="D544" s="857"/>
    </row>
    <row r="545" spans="1:4" ht="12.75">
      <c r="A545" s="60"/>
      <c r="B545" s="857"/>
      <c r="C545" s="857"/>
      <c r="D545" s="857"/>
    </row>
    <row r="546" spans="1:4" ht="12.75">
      <c r="A546" s="60"/>
      <c r="B546" s="857"/>
      <c r="C546" s="857"/>
      <c r="D546" s="857"/>
    </row>
    <row r="547" spans="1:4" ht="12.75">
      <c r="A547" s="60"/>
      <c r="B547" s="857"/>
      <c r="C547" s="857"/>
      <c r="D547" s="857"/>
    </row>
    <row r="548" spans="1:4" ht="12.75">
      <c r="A548" s="60"/>
      <c r="B548" s="857"/>
      <c r="C548" s="857"/>
      <c r="D548" s="857"/>
    </row>
    <row r="549" spans="1:4" ht="12.75">
      <c r="A549" s="60"/>
      <c r="B549" s="857"/>
      <c r="C549" s="857"/>
      <c r="D549" s="857"/>
    </row>
    <row r="550" spans="1:4" ht="12.75">
      <c r="A550" s="60"/>
      <c r="B550" s="857"/>
      <c r="C550" s="857"/>
      <c r="D550" s="857"/>
    </row>
    <row r="551" spans="1:4" ht="12.75">
      <c r="A551" s="60"/>
      <c r="B551" s="857"/>
      <c r="C551" s="857"/>
      <c r="D551" s="857"/>
    </row>
    <row r="552" spans="1:4" ht="12.75">
      <c r="A552" s="60"/>
      <c r="B552" s="857"/>
      <c r="C552" s="857"/>
      <c r="D552" s="857"/>
    </row>
    <row r="553" spans="1:4" ht="12.75">
      <c r="A553" s="60"/>
      <c r="B553" s="857"/>
      <c r="C553" s="857"/>
      <c r="D553" s="857"/>
    </row>
    <row r="554" spans="1:4" ht="12.75">
      <c r="A554" s="60"/>
      <c r="B554" s="857"/>
      <c r="C554" s="857"/>
      <c r="D554" s="857"/>
    </row>
    <row r="555" spans="1:4" ht="12.75">
      <c r="A555" s="60"/>
      <c r="B555" s="857"/>
      <c r="C555" s="857"/>
      <c r="D555" s="857"/>
    </row>
    <row r="556" spans="1:4" ht="12.75">
      <c r="A556" s="60"/>
      <c r="B556" s="857"/>
      <c r="C556" s="857"/>
      <c r="D556" s="857"/>
    </row>
    <row r="557" spans="1:4" ht="12.75">
      <c r="A557" s="60"/>
      <c r="B557" s="857"/>
      <c r="C557" s="857"/>
      <c r="D557" s="857"/>
    </row>
    <row r="558" spans="1:4" ht="12.75">
      <c r="A558" s="60"/>
      <c r="B558" s="857"/>
      <c r="C558" s="857"/>
      <c r="D558" s="857"/>
    </row>
    <row r="559" spans="1:4" ht="12.75">
      <c r="A559" s="60"/>
      <c r="B559" s="857"/>
      <c r="C559" s="857"/>
      <c r="D559" s="857"/>
    </row>
    <row r="560" spans="1:4" ht="12.75">
      <c r="A560" s="60"/>
      <c r="B560" s="857"/>
      <c r="C560" s="857"/>
      <c r="D560" s="857"/>
    </row>
    <row r="561" spans="1:4" ht="12.75">
      <c r="A561" s="60"/>
      <c r="B561" s="857"/>
      <c r="C561" s="857"/>
      <c r="D561" s="857"/>
    </row>
    <row r="562" spans="1:4" ht="12.75">
      <c r="A562" s="60"/>
      <c r="B562" s="857"/>
      <c r="C562" s="857"/>
      <c r="D562" s="857"/>
    </row>
    <row r="563" spans="1:4" ht="12.75">
      <c r="A563" s="60"/>
      <c r="B563" s="857"/>
      <c r="C563" s="857"/>
      <c r="D563" s="857"/>
    </row>
    <row r="564" spans="1:4" ht="12.75">
      <c r="A564" s="60"/>
      <c r="B564" s="857"/>
      <c r="C564" s="857"/>
      <c r="D564" s="857"/>
    </row>
    <row r="565" spans="1:4" ht="12.75">
      <c r="A565" s="60"/>
      <c r="B565" s="857"/>
      <c r="C565" s="857"/>
      <c r="D565" s="857"/>
    </row>
    <row r="566" spans="1:4" ht="12.75">
      <c r="A566" s="60"/>
      <c r="B566" s="857"/>
      <c r="C566" s="857"/>
      <c r="D566" s="857"/>
    </row>
    <row r="567" spans="1:4" ht="12.75">
      <c r="A567" s="60"/>
      <c r="B567" s="857"/>
      <c r="C567" s="857"/>
      <c r="D567" s="857"/>
    </row>
    <row r="568" spans="1:4" ht="12.75">
      <c r="A568" s="60"/>
      <c r="B568" s="857"/>
      <c r="C568" s="857"/>
      <c r="D568" s="857"/>
    </row>
    <row r="569" spans="1:4" ht="12.75">
      <c r="A569" s="60"/>
      <c r="B569" s="857"/>
      <c r="C569" s="857"/>
      <c r="D569" s="857"/>
    </row>
    <row r="570" spans="1:4" ht="12.75">
      <c r="A570" s="60"/>
      <c r="B570" s="857"/>
      <c r="C570" s="857"/>
      <c r="D570" s="857"/>
    </row>
    <row r="571" spans="1:4" ht="12.75">
      <c r="A571" s="60"/>
      <c r="B571" s="857"/>
      <c r="C571" s="857"/>
      <c r="D571" s="857"/>
    </row>
    <row r="572" spans="1:4" ht="12.75">
      <c r="A572" s="60"/>
      <c r="B572" s="857"/>
      <c r="C572" s="857"/>
      <c r="D572" s="857"/>
    </row>
    <row r="573" spans="1:4" ht="12.75">
      <c r="A573" s="60"/>
      <c r="B573" s="857"/>
      <c r="C573" s="857"/>
      <c r="D573" s="857"/>
    </row>
    <row r="574" spans="1:4" ht="12.75">
      <c r="A574" s="60"/>
      <c r="B574" s="857"/>
      <c r="C574" s="857"/>
      <c r="D574" s="857"/>
    </row>
    <row r="575" spans="1:4" ht="12.75">
      <c r="A575" s="60"/>
      <c r="B575" s="857"/>
      <c r="C575" s="857"/>
      <c r="D575" s="857"/>
    </row>
    <row r="576" spans="1:4" ht="12.75">
      <c r="A576" s="60"/>
      <c r="B576" s="857"/>
      <c r="C576" s="857"/>
      <c r="D576" s="857"/>
    </row>
    <row r="577" spans="1:4" ht="12.75">
      <c r="A577" s="60"/>
      <c r="B577" s="857"/>
      <c r="C577" s="857"/>
      <c r="D577" s="857"/>
    </row>
    <row r="578" spans="1:4" ht="12.75">
      <c r="A578" s="60"/>
      <c r="B578" s="857"/>
      <c r="C578" s="857"/>
      <c r="D578" s="857"/>
    </row>
    <row r="579" spans="1:4" ht="12.75">
      <c r="A579" s="60"/>
      <c r="B579" s="857"/>
      <c r="C579" s="857"/>
      <c r="D579" s="857"/>
    </row>
    <row r="580" spans="1:4" ht="12.75">
      <c r="A580" s="60"/>
      <c r="B580" s="857"/>
      <c r="C580" s="857"/>
      <c r="D580" s="857"/>
    </row>
    <row r="581" spans="1:4" ht="12.75">
      <c r="A581" s="60"/>
      <c r="B581" s="857"/>
      <c r="C581" s="857"/>
      <c r="D581" s="857"/>
    </row>
    <row r="582" spans="1:4" ht="12.75">
      <c r="A582" s="60"/>
      <c r="B582" s="857"/>
      <c r="C582" s="857"/>
      <c r="D582" s="857"/>
    </row>
    <row r="583" spans="1:4" ht="12.75">
      <c r="A583" s="60"/>
      <c r="B583" s="857"/>
      <c r="C583" s="857"/>
      <c r="D583" s="857"/>
    </row>
    <row r="584" spans="1:4" ht="12.75">
      <c r="A584" s="60"/>
      <c r="B584" s="857"/>
      <c r="C584" s="857"/>
      <c r="D584" s="857"/>
    </row>
    <row r="585" spans="1:4" ht="12.75">
      <c r="A585" s="60"/>
      <c r="B585" s="857"/>
      <c r="C585" s="857"/>
      <c r="D585" s="857"/>
    </row>
    <row r="586" spans="1:4" ht="12.75">
      <c r="A586" s="60"/>
      <c r="B586" s="857"/>
      <c r="C586" s="857"/>
      <c r="D586" s="857"/>
    </row>
    <row r="587" spans="1:4" ht="12.75">
      <c r="A587" s="60"/>
      <c r="B587" s="857"/>
      <c r="C587" s="857"/>
      <c r="D587" s="857"/>
    </row>
    <row r="588" spans="1:4" ht="12.75">
      <c r="A588" s="60"/>
      <c r="B588" s="857"/>
      <c r="C588" s="857"/>
      <c r="D588" s="857"/>
    </row>
    <row r="589" spans="1:4" ht="12.75">
      <c r="A589" s="60"/>
      <c r="B589" s="857"/>
      <c r="C589" s="857"/>
      <c r="D589" s="857"/>
    </row>
    <row r="590" spans="1:4" ht="12.75">
      <c r="A590" s="60"/>
      <c r="B590" s="857"/>
      <c r="C590" s="857"/>
      <c r="D590" s="857"/>
    </row>
    <row r="591" spans="1:4" ht="12.75">
      <c r="A591" s="60"/>
      <c r="B591" s="857"/>
      <c r="C591" s="857"/>
      <c r="D591" s="857"/>
    </row>
    <row r="592" spans="1:4" ht="12.75">
      <c r="A592" s="60"/>
      <c r="B592" s="857"/>
      <c r="C592" s="857"/>
      <c r="D592" s="857"/>
    </row>
    <row r="593" spans="1:4" ht="12.75">
      <c r="A593" s="60"/>
      <c r="B593" s="857"/>
      <c r="C593" s="857"/>
      <c r="D593" s="857"/>
    </row>
    <row r="594" spans="1:4" ht="12.75">
      <c r="A594" s="60"/>
      <c r="B594" s="857"/>
      <c r="C594" s="857"/>
      <c r="D594" s="857"/>
    </row>
    <row r="595" spans="1:4" ht="12.75">
      <c r="A595" s="60"/>
      <c r="B595" s="857"/>
      <c r="C595" s="857"/>
      <c r="D595" s="857"/>
    </row>
    <row r="596" spans="1:4" ht="12.75">
      <c r="A596" s="60"/>
      <c r="B596" s="857"/>
      <c r="C596" s="857"/>
      <c r="D596" s="857"/>
    </row>
    <row r="597" spans="1:4" ht="12.75">
      <c r="A597" s="60"/>
      <c r="B597" s="857"/>
      <c r="C597" s="857"/>
      <c r="D597" s="857"/>
    </row>
    <row r="598" spans="1:4" ht="12.75">
      <c r="A598" s="60"/>
      <c r="B598" s="857"/>
      <c r="C598" s="857"/>
      <c r="D598" s="857"/>
    </row>
    <row r="599" spans="1:4" ht="12.75">
      <c r="A599" s="60"/>
      <c r="B599" s="857"/>
      <c r="C599" s="857"/>
      <c r="D599" s="857"/>
    </row>
    <row r="600" spans="1:4" ht="12.75">
      <c r="A600" s="60"/>
      <c r="B600" s="857"/>
      <c r="C600" s="857"/>
      <c r="D600" s="857"/>
    </row>
    <row r="601" spans="1:4" ht="12.75">
      <c r="A601" s="60"/>
      <c r="B601" s="857"/>
      <c r="C601" s="857"/>
      <c r="D601" s="857"/>
    </row>
    <row r="602" spans="1:4" ht="12.75">
      <c r="A602" s="60"/>
      <c r="B602" s="857"/>
      <c r="C602" s="857"/>
      <c r="D602" s="857"/>
    </row>
    <row r="603" spans="1:4" ht="12.75">
      <c r="A603" s="60"/>
      <c r="B603" s="857"/>
      <c r="C603" s="857"/>
      <c r="D603" s="857"/>
    </row>
    <row r="604" spans="1:4" ht="12.75">
      <c r="A604" s="60"/>
      <c r="B604" s="857"/>
      <c r="C604" s="857"/>
      <c r="D604" s="857"/>
    </row>
    <row r="605" spans="1:4" ht="12.75">
      <c r="A605" s="60"/>
      <c r="B605" s="857"/>
      <c r="C605" s="857"/>
      <c r="D605" s="857"/>
    </row>
    <row r="606" spans="1:4" ht="12.75">
      <c r="A606" s="60"/>
      <c r="B606" s="857"/>
      <c r="C606" s="857"/>
      <c r="D606" s="857"/>
    </row>
    <row r="607" spans="1:4" ht="12.75">
      <c r="A607" s="60"/>
      <c r="B607" s="857"/>
      <c r="C607" s="857"/>
      <c r="D607" s="857"/>
    </row>
    <row r="608" spans="1:4" ht="12.75">
      <c r="A608" s="60"/>
      <c r="B608" s="857"/>
      <c r="C608" s="857"/>
      <c r="D608" s="857"/>
    </row>
    <row r="609" spans="1:4" ht="12.75">
      <c r="A609" s="60"/>
      <c r="B609" s="857"/>
      <c r="C609" s="857"/>
      <c r="D609" s="857"/>
    </row>
    <row r="610" spans="1:4" ht="12.75">
      <c r="A610" s="60"/>
      <c r="B610" s="857"/>
      <c r="C610" s="857"/>
      <c r="D610" s="857"/>
    </row>
    <row r="611" spans="1:4" ht="12.75">
      <c r="A611" s="60"/>
      <c r="B611" s="857"/>
      <c r="C611" s="857"/>
      <c r="D611" s="857"/>
    </row>
    <row r="612" spans="1:4" ht="12.75">
      <c r="A612" s="60"/>
      <c r="B612" s="857"/>
      <c r="C612" s="857"/>
      <c r="D612" s="857"/>
    </row>
    <row r="613" spans="1:4" ht="12.75">
      <c r="A613" s="60"/>
      <c r="B613" s="857"/>
      <c r="C613" s="857"/>
      <c r="D613" s="857"/>
    </row>
    <row r="614" spans="1:4" ht="12.75">
      <c r="A614" s="60"/>
      <c r="B614" s="857"/>
      <c r="C614" s="857"/>
      <c r="D614" s="857"/>
    </row>
    <row r="615" spans="1:4" ht="12.75">
      <c r="A615" s="60"/>
      <c r="B615" s="857"/>
      <c r="C615" s="857"/>
      <c r="D615" s="857"/>
    </row>
    <row r="616" spans="1:4" ht="12.75">
      <c r="A616" s="60"/>
      <c r="B616" s="857"/>
      <c r="C616" s="857"/>
      <c r="D616" s="857"/>
    </row>
    <row r="617" spans="1:4" ht="12.75">
      <c r="A617" s="60"/>
      <c r="B617" s="857"/>
      <c r="C617" s="857"/>
      <c r="D617" s="857"/>
    </row>
    <row r="618" spans="1:4" ht="12.75">
      <c r="A618" s="60"/>
      <c r="B618" s="857"/>
      <c r="C618" s="857"/>
      <c r="D618" s="857"/>
    </row>
    <row r="619" spans="1:4" ht="12.75">
      <c r="A619" s="60"/>
      <c r="B619" s="857"/>
      <c r="C619" s="857"/>
      <c r="D619" s="857"/>
    </row>
    <row r="620" spans="1:4" ht="12.75">
      <c r="A620" s="60"/>
      <c r="B620" s="857"/>
      <c r="C620" s="857"/>
      <c r="D620" s="857"/>
    </row>
    <row r="621" spans="1:4" ht="12.75">
      <c r="A621" s="60"/>
      <c r="B621" s="857"/>
      <c r="C621" s="857"/>
      <c r="D621" s="857"/>
    </row>
    <row r="622" spans="1:4" ht="12.75">
      <c r="A622" s="60"/>
      <c r="B622" s="857"/>
      <c r="C622" s="857"/>
      <c r="D622" s="857"/>
    </row>
    <row r="623" spans="1:4" ht="12.75">
      <c r="A623" s="60"/>
      <c r="B623" s="857"/>
      <c r="C623" s="857"/>
      <c r="D623" s="857"/>
    </row>
    <row r="624" spans="1:4" ht="12.75">
      <c r="A624" s="60"/>
      <c r="B624" s="857"/>
      <c r="C624" s="857"/>
      <c r="D624" s="857"/>
    </row>
    <row r="625" spans="1:4" ht="12.75">
      <c r="A625" s="60"/>
      <c r="B625" s="857"/>
      <c r="C625" s="857"/>
      <c r="D625" s="857"/>
    </row>
    <row r="626" spans="1:4" ht="12.75">
      <c r="A626" s="60"/>
      <c r="B626" s="857"/>
      <c r="C626" s="857"/>
      <c r="D626" s="857"/>
    </row>
    <row r="627" spans="1:4" ht="12.75">
      <c r="A627" s="60"/>
      <c r="B627" s="857"/>
      <c r="C627" s="857"/>
      <c r="D627" s="857"/>
    </row>
    <row r="628" spans="1:4" ht="12.75">
      <c r="A628" s="60"/>
      <c r="B628" s="857"/>
      <c r="C628" s="857"/>
      <c r="D628" s="857"/>
    </row>
    <row r="629" spans="1:4" ht="12.75">
      <c r="A629" s="60"/>
      <c r="B629" s="857"/>
      <c r="C629" s="857"/>
      <c r="D629" s="857"/>
    </row>
    <row r="630" spans="1:4" ht="12.75">
      <c r="A630" s="60"/>
      <c r="B630" s="857"/>
      <c r="C630" s="857"/>
      <c r="D630" s="857"/>
    </row>
    <row r="631" spans="1:4" ht="12.75">
      <c r="A631" s="60"/>
      <c r="B631" s="857"/>
      <c r="C631" s="857"/>
      <c r="D631" s="857"/>
    </row>
    <row r="632" spans="1:4" ht="12.75">
      <c r="A632" s="60"/>
      <c r="B632" s="857"/>
      <c r="C632" s="857"/>
      <c r="D632" s="857"/>
    </row>
    <row r="633" spans="1:4" ht="12.75">
      <c r="A633" s="60"/>
      <c r="B633" s="857"/>
      <c r="C633" s="857"/>
      <c r="D633" s="857"/>
    </row>
    <row r="634" spans="1:4" ht="12.75">
      <c r="A634" s="60"/>
      <c r="B634" s="857"/>
      <c r="C634" s="857"/>
      <c r="D634" s="857"/>
    </row>
    <row r="635" spans="1:4" ht="12.75">
      <c r="A635" s="60"/>
      <c r="B635" s="857"/>
      <c r="C635" s="857"/>
      <c r="D635" s="857"/>
    </row>
    <row r="636" spans="1:4" ht="12.75">
      <c r="A636" s="60"/>
      <c r="B636" s="857"/>
      <c r="C636" s="857"/>
      <c r="D636" s="857"/>
    </row>
    <row r="637" spans="1:4" ht="12.75">
      <c r="A637" s="60"/>
      <c r="B637" s="857"/>
      <c r="C637" s="857"/>
      <c r="D637" s="857"/>
    </row>
    <row r="638" spans="1:4" ht="12.75">
      <c r="A638" s="60"/>
      <c r="B638" s="857"/>
      <c r="C638" s="857"/>
      <c r="D638" s="857"/>
    </row>
    <row r="639" spans="1:4" ht="12.75">
      <c r="A639" s="60"/>
      <c r="B639" s="857"/>
      <c r="C639" s="857"/>
      <c r="D639" s="857"/>
    </row>
    <row r="640" spans="1:4" ht="12.75">
      <c r="A640" s="60"/>
      <c r="B640" s="857"/>
      <c r="C640" s="857"/>
      <c r="D640" s="857"/>
    </row>
    <row r="641" spans="1:4" ht="12.75">
      <c r="A641" s="60"/>
      <c r="B641" s="857"/>
      <c r="C641" s="857"/>
      <c r="D641" s="857"/>
    </row>
    <row r="642" spans="1:4" ht="12.75">
      <c r="A642" s="60"/>
      <c r="B642" s="857"/>
      <c r="C642" s="857"/>
      <c r="D642" s="857"/>
    </row>
    <row r="643" spans="1:4" ht="12.75">
      <c r="A643" s="60"/>
      <c r="B643" s="857"/>
      <c r="C643" s="857"/>
      <c r="D643" s="857"/>
    </row>
    <row r="644" spans="1:4" ht="12.75">
      <c r="A644" s="60"/>
      <c r="B644" s="857"/>
      <c r="C644" s="857"/>
      <c r="D644" s="857"/>
    </row>
    <row r="645" spans="1:4" ht="12.75">
      <c r="A645" s="60"/>
      <c r="B645" s="857"/>
      <c r="C645" s="857"/>
      <c r="D645" s="857"/>
    </row>
    <row r="646" spans="1:4" ht="12.75">
      <c r="A646" s="60"/>
      <c r="B646" s="857"/>
      <c r="C646" s="857"/>
      <c r="D646" s="857"/>
    </row>
    <row r="647" spans="1:4" ht="12.75">
      <c r="A647" s="60"/>
      <c r="B647" s="857"/>
      <c r="C647" s="857"/>
      <c r="D647" s="857"/>
    </row>
    <row r="648" spans="1:4" ht="12.75">
      <c r="A648" s="60"/>
      <c r="B648" s="857"/>
      <c r="C648" s="857"/>
      <c r="D648" s="857"/>
    </row>
    <row r="649" spans="1:4" ht="12.75">
      <c r="A649" s="60"/>
      <c r="B649" s="857"/>
      <c r="C649" s="857"/>
      <c r="D649" s="857"/>
    </row>
    <row r="650" spans="1:4" ht="12.75">
      <c r="A650" s="60"/>
      <c r="B650" s="857"/>
      <c r="C650" s="857"/>
      <c r="D650" s="857"/>
    </row>
    <row r="651" spans="1:4" ht="12.75">
      <c r="A651" s="60"/>
      <c r="B651" s="857"/>
      <c r="C651" s="857"/>
      <c r="D651" s="857"/>
    </row>
    <row r="652" spans="1:4" ht="12.75">
      <c r="A652" s="60"/>
      <c r="B652" s="857"/>
      <c r="C652" s="857"/>
      <c r="D652" s="857"/>
    </row>
    <row r="653" spans="1:4" ht="12.75">
      <c r="A653" s="60"/>
      <c r="B653" s="857"/>
      <c r="C653" s="857"/>
      <c r="D653" s="857"/>
    </row>
    <row r="654" spans="1:4" ht="12.75">
      <c r="A654" s="60"/>
      <c r="B654" s="857"/>
      <c r="C654" s="857"/>
      <c r="D654" s="857"/>
    </row>
    <row r="655" spans="1:4" ht="12.75">
      <c r="A655" s="60"/>
      <c r="B655" s="857"/>
      <c r="C655" s="857"/>
      <c r="D655" s="857"/>
    </row>
    <row r="656" spans="1:4" ht="12.75">
      <c r="A656" s="60"/>
      <c r="B656" s="857"/>
      <c r="C656" s="857"/>
      <c r="D656" s="857"/>
    </row>
    <row r="657" spans="1:4" ht="12.75">
      <c r="A657" s="60"/>
      <c r="B657" s="857"/>
      <c r="C657" s="857"/>
      <c r="D657" s="857"/>
    </row>
    <row r="658" spans="1:4" ht="12.75">
      <c r="A658" s="60"/>
      <c r="B658" s="857"/>
      <c r="C658" s="857"/>
      <c r="D658" s="857"/>
    </row>
    <row r="659" spans="1:4" ht="12.75">
      <c r="A659" s="60"/>
      <c r="B659" s="857"/>
      <c r="C659" s="857"/>
      <c r="D659" s="857"/>
    </row>
    <row r="660" spans="1:4" ht="12.75">
      <c r="A660" s="60"/>
      <c r="B660" s="857"/>
      <c r="C660" s="857"/>
      <c r="D660" s="857"/>
    </row>
    <row r="661" spans="1:4" ht="12.75">
      <c r="A661" s="60"/>
      <c r="B661" s="857"/>
      <c r="C661" s="857"/>
      <c r="D661" s="857"/>
    </row>
    <row r="662" spans="1:4" ht="12.75">
      <c r="A662" s="60"/>
      <c r="B662" s="857"/>
      <c r="C662" s="857"/>
      <c r="D662" s="857"/>
    </row>
    <row r="663" spans="1:4" ht="12.75">
      <c r="A663" s="60"/>
      <c r="B663" s="857"/>
      <c r="C663" s="857"/>
      <c r="D663" s="857"/>
    </row>
    <row r="664" spans="1:4" ht="12.75">
      <c r="A664" s="60"/>
      <c r="B664" s="857"/>
      <c r="C664" s="857"/>
      <c r="D664" s="857"/>
    </row>
    <row r="665" spans="1:4" ht="12.75">
      <c r="A665" s="60"/>
      <c r="B665" s="857"/>
      <c r="C665" s="857"/>
      <c r="D665" s="857"/>
    </row>
    <row r="666" spans="1:4" ht="12.75">
      <c r="A666" s="60"/>
      <c r="B666" s="857"/>
      <c r="C666" s="857"/>
      <c r="D666" s="857"/>
    </row>
    <row r="667" spans="1:4" ht="12.75">
      <c r="A667" s="60"/>
      <c r="B667" s="857"/>
      <c r="C667" s="857"/>
      <c r="D667" s="857"/>
    </row>
    <row r="668" spans="1:4" ht="12.75">
      <c r="A668" s="60"/>
      <c r="B668" s="857"/>
      <c r="C668" s="857"/>
      <c r="D668" s="857"/>
    </row>
    <row r="669" spans="1:4" ht="12.75">
      <c r="A669" s="60"/>
      <c r="B669" s="857"/>
      <c r="C669" s="857"/>
      <c r="D669" s="857"/>
    </row>
    <row r="670" spans="1:4" ht="12.75">
      <c r="A670" s="60"/>
      <c r="B670" s="857"/>
      <c r="C670" s="857"/>
      <c r="D670" s="857"/>
    </row>
    <row r="671" spans="1:4" ht="12.75">
      <c r="A671" s="60"/>
      <c r="B671" s="857"/>
      <c r="C671" s="857"/>
      <c r="D671" s="857"/>
    </row>
    <row r="672" spans="1:4" ht="12.75">
      <c r="A672" s="60"/>
      <c r="B672" s="857"/>
      <c r="C672" s="857"/>
      <c r="D672" s="857"/>
    </row>
    <row r="673" spans="1:4" ht="12.75">
      <c r="A673" s="60"/>
      <c r="B673" s="857"/>
      <c r="C673" s="857"/>
      <c r="D673" s="857"/>
    </row>
    <row r="674" spans="1:4" ht="12.75">
      <c r="A674" s="60"/>
      <c r="B674" s="857"/>
      <c r="C674" s="857"/>
      <c r="D674" s="857"/>
    </row>
    <row r="675" spans="1:4" ht="12.75">
      <c r="A675" s="60"/>
      <c r="B675" s="857"/>
      <c r="C675" s="857"/>
      <c r="D675" s="857"/>
    </row>
    <row r="676" spans="1:4" ht="12.75">
      <c r="A676" s="60"/>
      <c r="B676" s="857"/>
      <c r="C676" s="857"/>
      <c r="D676" s="857"/>
    </row>
    <row r="677" spans="1:4" ht="12.75">
      <c r="A677" s="60"/>
      <c r="B677" s="857"/>
      <c r="C677" s="857"/>
      <c r="D677" s="857"/>
    </row>
    <row r="678" spans="1:4" ht="12.75">
      <c r="A678" s="60"/>
      <c r="B678" s="857"/>
      <c r="C678" s="857"/>
      <c r="D678" s="857"/>
    </row>
    <row r="679" spans="1:4" ht="12.75">
      <c r="A679" s="60"/>
      <c r="B679" s="857"/>
      <c r="C679" s="857"/>
      <c r="D679" s="857"/>
    </row>
    <row r="680" spans="1:4" ht="12.75">
      <c r="A680" s="60"/>
      <c r="B680" s="857"/>
      <c r="C680" s="857"/>
      <c r="D680" s="857"/>
    </row>
    <row r="681" spans="1:4" ht="12.75">
      <c r="A681" s="60"/>
      <c r="B681" s="857"/>
      <c r="C681" s="857"/>
      <c r="D681" s="857"/>
    </row>
    <row r="682" spans="1:4" ht="12.75">
      <c r="A682" s="60"/>
      <c r="B682" s="857"/>
      <c r="C682" s="857"/>
      <c r="D682" s="857"/>
    </row>
    <row r="683" spans="1:4" ht="12.75">
      <c r="A683" s="60"/>
      <c r="B683" s="857"/>
      <c r="C683" s="857"/>
      <c r="D683" s="857"/>
    </row>
    <row r="684" spans="1:4" ht="12.75">
      <c r="A684" s="60"/>
      <c r="B684" s="857"/>
      <c r="C684" s="857"/>
      <c r="D684" s="857"/>
    </row>
    <row r="685" spans="1:4" ht="12.75">
      <c r="A685" s="60"/>
      <c r="B685" s="857"/>
      <c r="C685" s="857"/>
      <c r="D685" s="857"/>
    </row>
    <row r="686" spans="1:4" ht="12.75">
      <c r="A686" s="60"/>
      <c r="B686" s="857"/>
      <c r="C686" s="857"/>
      <c r="D686" s="857"/>
    </row>
    <row r="687" spans="1:4" ht="12.75">
      <c r="A687" s="60"/>
      <c r="B687" s="857"/>
      <c r="C687" s="857"/>
      <c r="D687" s="857"/>
    </row>
    <row r="688" spans="1:4" ht="12.75">
      <c r="A688" s="60"/>
      <c r="B688" s="857"/>
      <c r="C688" s="857"/>
      <c r="D688" s="857"/>
    </row>
    <row r="689" spans="1:4" ht="12.75">
      <c r="A689" s="60"/>
      <c r="B689" s="857"/>
      <c r="C689" s="857"/>
      <c r="D689" s="857"/>
    </row>
    <row r="690" spans="1:4" ht="12.75">
      <c r="A690" s="60"/>
      <c r="B690" s="857"/>
      <c r="C690" s="857"/>
      <c r="D690" s="857"/>
    </row>
    <row r="691" spans="1:4" ht="12.75">
      <c r="A691" s="60"/>
      <c r="B691" s="857"/>
      <c r="C691" s="857"/>
      <c r="D691" s="857"/>
    </row>
    <row r="692" spans="1:4" ht="12.75">
      <c r="A692" s="60"/>
      <c r="B692" s="857"/>
      <c r="C692" s="857"/>
      <c r="D692" s="857"/>
    </row>
    <row r="693" spans="1:4" ht="12.75">
      <c r="A693" s="60"/>
      <c r="B693" s="857"/>
      <c r="C693" s="857"/>
      <c r="D693" s="857"/>
    </row>
    <row r="694" spans="1:4" ht="12.75">
      <c r="A694" s="60"/>
      <c r="B694" s="857"/>
      <c r="C694" s="857"/>
      <c r="D694" s="857"/>
    </row>
    <row r="695" spans="1:4" ht="12.75">
      <c r="A695" s="60"/>
      <c r="B695" s="857"/>
      <c r="C695" s="857"/>
      <c r="D695" s="857"/>
    </row>
    <row r="696" spans="1:4" ht="12.75">
      <c r="A696" s="60"/>
      <c r="B696" s="857"/>
      <c r="C696" s="857"/>
      <c r="D696" s="857"/>
    </row>
    <row r="697" spans="1:4" ht="12.75">
      <c r="A697" s="60"/>
      <c r="B697" s="857"/>
      <c r="C697" s="857"/>
      <c r="D697" s="857"/>
    </row>
    <row r="698" spans="1:4" ht="12.75">
      <c r="A698" s="60"/>
      <c r="B698" s="857"/>
      <c r="C698" s="857"/>
      <c r="D698" s="857"/>
    </row>
    <row r="699" spans="1:4" ht="12.75">
      <c r="A699" s="60"/>
      <c r="B699" s="857"/>
      <c r="C699" s="857"/>
      <c r="D699" s="857"/>
    </row>
    <row r="700" spans="1:4" ht="12.75">
      <c r="A700" s="60"/>
      <c r="B700" s="857"/>
      <c r="C700" s="857"/>
      <c r="D700" s="857"/>
    </row>
    <row r="701" spans="1:4" ht="12.75">
      <c r="A701" s="60"/>
      <c r="B701" s="857"/>
      <c r="C701" s="857"/>
      <c r="D701" s="857"/>
    </row>
    <row r="702" spans="1:4" ht="12.75">
      <c r="A702" s="60"/>
      <c r="B702" s="857"/>
      <c r="C702" s="857"/>
      <c r="D702" s="857"/>
    </row>
    <row r="703" spans="1:4" ht="12.75">
      <c r="A703" s="60"/>
      <c r="B703" s="857"/>
      <c r="C703" s="857"/>
      <c r="D703" s="857"/>
    </row>
    <row r="704" spans="1:4" ht="12.75">
      <c r="A704" s="60"/>
      <c r="B704" s="857"/>
      <c r="C704" s="857"/>
      <c r="D704" s="857"/>
    </row>
    <row r="705" spans="1:4" ht="12.75">
      <c r="A705" s="60"/>
      <c r="B705" s="857"/>
      <c r="C705" s="857"/>
      <c r="D705" s="857"/>
    </row>
    <row r="706" spans="1:4" ht="12.75">
      <c r="A706" s="60"/>
      <c r="B706" s="857"/>
      <c r="C706" s="857"/>
      <c r="D706" s="857"/>
    </row>
    <row r="707" spans="1:4" ht="12.75">
      <c r="A707" s="60"/>
      <c r="B707" s="857"/>
      <c r="C707" s="857"/>
      <c r="D707" s="857"/>
    </row>
    <row r="708" spans="1:4" ht="12.75">
      <c r="A708" s="60"/>
      <c r="B708" s="857"/>
      <c r="C708" s="857"/>
      <c r="D708" s="857"/>
    </row>
    <row r="709" spans="1:4" ht="12.75">
      <c r="A709" s="60"/>
      <c r="B709" s="857"/>
      <c r="C709" s="857"/>
      <c r="D709" s="857"/>
    </row>
    <row r="710" spans="1:4" ht="12.75">
      <c r="A710" s="60"/>
      <c r="B710" s="857"/>
      <c r="C710" s="857"/>
      <c r="D710" s="857"/>
    </row>
    <row r="711" spans="1:4" ht="12.75">
      <c r="A711" s="60"/>
      <c r="B711" s="857"/>
      <c r="C711" s="857"/>
      <c r="D711" s="857"/>
    </row>
    <row r="712" spans="1:4" ht="12.75">
      <c r="A712" s="60"/>
      <c r="B712" s="857"/>
      <c r="C712" s="857"/>
      <c r="D712" s="857"/>
    </row>
    <row r="713" spans="1:4" ht="12.75">
      <c r="A713" s="60"/>
      <c r="B713" s="857"/>
      <c r="C713" s="857"/>
      <c r="D713" s="857"/>
    </row>
    <row r="714" spans="1:4" ht="12.75">
      <c r="A714" s="60"/>
      <c r="B714" s="857"/>
      <c r="C714" s="857"/>
      <c r="D714" s="857"/>
    </row>
    <row r="715" spans="1:4" ht="12.75">
      <c r="A715" s="60"/>
      <c r="B715" s="857"/>
      <c r="C715" s="857"/>
      <c r="D715" s="857"/>
    </row>
    <row r="716" spans="1:4" ht="12.75">
      <c r="A716" s="60"/>
      <c r="B716" s="857"/>
      <c r="C716" s="857"/>
      <c r="D716" s="857"/>
    </row>
    <row r="717" spans="1:4" ht="12.75">
      <c r="A717" s="60"/>
      <c r="B717" s="857"/>
      <c r="C717" s="857"/>
      <c r="D717" s="857"/>
    </row>
    <row r="718" spans="1:4" ht="12.75">
      <c r="A718" s="60"/>
      <c r="B718" s="857"/>
      <c r="C718" s="857"/>
      <c r="D718" s="857"/>
    </row>
    <row r="719" spans="1:4" ht="12.75">
      <c r="A719" s="60"/>
      <c r="B719" s="857"/>
      <c r="C719" s="857"/>
      <c r="D719" s="857"/>
    </row>
    <row r="720" spans="1:4" ht="12.75">
      <c r="A720" s="60"/>
      <c r="B720" s="857"/>
      <c r="C720" s="857"/>
      <c r="D720" s="857"/>
    </row>
    <row r="721" spans="1:4" ht="12.75">
      <c r="A721" s="60"/>
      <c r="B721" s="857"/>
      <c r="C721" s="857"/>
      <c r="D721" s="857"/>
    </row>
    <row r="722" spans="1:4" ht="12.75">
      <c r="A722" s="60"/>
      <c r="B722" s="857"/>
      <c r="C722" s="857"/>
      <c r="D722" s="857"/>
    </row>
    <row r="723" spans="1:4" ht="12.75">
      <c r="A723" s="60"/>
      <c r="B723" s="857"/>
      <c r="C723" s="857"/>
      <c r="D723" s="857"/>
    </row>
    <row r="724" spans="1:4" ht="12.75">
      <c r="A724" s="60"/>
      <c r="B724" s="857"/>
      <c r="C724" s="857"/>
      <c r="D724" s="857"/>
    </row>
    <row r="725" spans="1:4" ht="12.75">
      <c r="A725" s="60"/>
      <c r="B725" s="857"/>
      <c r="C725" s="857"/>
      <c r="D725" s="857"/>
    </row>
    <row r="726" spans="1:4" ht="12.75">
      <c r="A726" s="60"/>
      <c r="B726" s="857"/>
      <c r="C726" s="857"/>
      <c r="D726" s="857"/>
    </row>
    <row r="727" spans="1:4" ht="12.75">
      <c r="A727" s="60"/>
      <c r="B727" s="857"/>
      <c r="C727" s="857"/>
      <c r="D727" s="857"/>
    </row>
    <row r="728" spans="1:4" ht="12.75">
      <c r="A728" s="60"/>
      <c r="B728" s="857"/>
      <c r="C728" s="857"/>
      <c r="D728" s="857"/>
    </row>
    <row r="729" spans="1:4" ht="12.75">
      <c r="A729" s="60"/>
      <c r="B729" s="857"/>
      <c r="C729" s="857"/>
      <c r="D729" s="857"/>
    </row>
    <row r="730" spans="1:4" ht="12.75">
      <c r="A730" s="60"/>
      <c r="B730" s="857"/>
      <c r="C730" s="857"/>
      <c r="D730" s="857"/>
    </row>
    <row r="731" spans="1:4" ht="12.75">
      <c r="A731" s="60"/>
      <c r="B731" s="857"/>
      <c r="C731" s="857"/>
      <c r="D731" s="857"/>
    </row>
    <row r="732" spans="1:4" ht="12.75">
      <c r="A732" s="60"/>
      <c r="B732" s="857"/>
      <c r="C732" s="857"/>
      <c r="D732" s="857"/>
    </row>
    <row r="733" spans="1:4" ht="12.75">
      <c r="A733" s="60"/>
      <c r="B733" s="857"/>
      <c r="C733" s="857"/>
      <c r="D733" s="857"/>
    </row>
    <row r="734" spans="1:4" ht="12.75">
      <c r="A734" s="60"/>
      <c r="B734" s="857"/>
      <c r="C734" s="857"/>
      <c r="D734" s="857"/>
    </row>
    <row r="735" spans="1:4" ht="12.75">
      <c r="A735" s="60"/>
      <c r="B735" s="857"/>
      <c r="C735" s="857"/>
      <c r="D735" s="857"/>
    </row>
    <row r="736" spans="1:4" ht="12.75">
      <c r="A736" s="60"/>
      <c r="B736" s="857"/>
      <c r="C736" s="857"/>
      <c r="D736" s="857"/>
    </row>
    <row r="737" spans="1:4" ht="12.75">
      <c r="A737" s="60"/>
      <c r="B737" s="857"/>
      <c r="C737" s="857"/>
      <c r="D737" s="857"/>
    </row>
    <row r="738" spans="1:4" ht="12.75">
      <c r="A738" s="60"/>
      <c r="B738" s="857"/>
      <c r="C738" s="857"/>
      <c r="D738" s="857"/>
    </row>
    <row r="739" spans="1:4" ht="12.75">
      <c r="A739" s="60"/>
      <c r="B739" s="857"/>
      <c r="C739" s="857"/>
      <c r="D739" s="857"/>
    </row>
    <row r="740" spans="1:4" ht="12.75">
      <c r="A740" s="60"/>
      <c r="B740" s="857"/>
      <c r="C740" s="857"/>
      <c r="D740" s="857"/>
    </row>
    <row r="741" spans="1:4" ht="12.75">
      <c r="A741" s="60"/>
      <c r="B741" s="857"/>
      <c r="C741" s="857"/>
      <c r="D741" s="857"/>
    </row>
    <row r="742" spans="1:4" ht="12.75">
      <c r="A742" s="60"/>
      <c r="B742" s="857"/>
      <c r="C742" s="857"/>
      <c r="D742" s="857"/>
    </row>
    <row r="743" spans="1:4" ht="12.75">
      <c r="A743" s="60"/>
      <c r="B743" s="857"/>
      <c r="C743" s="857"/>
      <c r="D743" s="857"/>
    </row>
    <row r="744" spans="1:4" ht="12.75">
      <c r="A744" s="60"/>
      <c r="B744" s="857"/>
      <c r="C744" s="857"/>
      <c r="D744" s="857"/>
    </row>
    <row r="745" spans="1:4" ht="12.75">
      <c r="A745" s="60"/>
      <c r="B745" s="857"/>
      <c r="C745" s="857"/>
      <c r="D745" s="857"/>
    </row>
    <row r="746" spans="1:4" ht="12.75">
      <c r="A746" s="60"/>
      <c r="B746" s="857"/>
      <c r="C746" s="857"/>
      <c r="D746" s="857"/>
    </row>
    <row r="747" spans="1:4" ht="12.75">
      <c r="A747" s="60"/>
      <c r="B747" s="857"/>
      <c r="C747" s="857"/>
      <c r="D747" s="857"/>
    </row>
    <row r="748" spans="1:4" ht="12.75">
      <c r="A748" s="60"/>
      <c r="B748" s="857"/>
      <c r="C748" s="857"/>
      <c r="D748" s="857"/>
    </row>
    <row r="749" spans="1:4" ht="12.75">
      <c r="A749" s="60"/>
      <c r="B749" s="857"/>
      <c r="C749" s="857"/>
      <c r="D749" s="857"/>
    </row>
    <row r="750" spans="1:4" ht="12.75">
      <c r="A750" s="60"/>
      <c r="B750" s="857"/>
      <c r="C750" s="857"/>
      <c r="D750" s="857"/>
    </row>
    <row r="751" spans="1:4" ht="12.75">
      <c r="A751" s="60"/>
      <c r="B751" s="857"/>
      <c r="C751" s="857"/>
      <c r="D751" s="857"/>
    </row>
    <row r="752" spans="1:4" ht="12.75">
      <c r="A752" s="60"/>
      <c r="B752" s="857"/>
      <c r="C752" s="857"/>
      <c r="D752" s="857"/>
    </row>
    <row r="753" spans="1:4" ht="12.75">
      <c r="A753" s="60"/>
      <c r="B753" s="857"/>
      <c r="C753" s="857"/>
      <c r="D753" s="857"/>
    </row>
    <row r="754" spans="1:4" ht="12.75">
      <c r="A754" s="60"/>
      <c r="B754" s="857"/>
      <c r="C754" s="857"/>
      <c r="D754" s="857"/>
    </row>
    <row r="755" spans="1:4" ht="12.75">
      <c r="A755" s="60"/>
      <c r="B755" s="857"/>
      <c r="C755" s="857"/>
      <c r="D755" s="857"/>
    </row>
    <row r="756" spans="1:4" ht="12.75">
      <c r="A756" s="60"/>
      <c r="B756" s="857"/>
      <c r="C756" s="857"/>
      <c r="D756" s="857"/>
    </row>
    <row r="757" spans="1:4" ht="12.75">
      <c r="A757" s="60"/>
      <c r="B757" s="857"/>
      <c r="C757" s="857"/>
      <c r="D757" s="857"/>
    </row>
    <row r="758" spans="1:4" ht="12.75">
      <c r="A758" s="60"/>
      <c r="B758" s="857"/>
      <c r="C758" s="857"/>
      <c r="D758" s="857"/>
    </row>
    <row r="759" spans="1:4" ht="12.75">
      <c r="A759" s="60"/>
      <c r="B759" s="857"/>
      <c r="C759" s="857"/>
      <c r="D759" s="857"/>
    </row>
    <row r="760" spans="1:4" ht="12.75">
      <c r="A760" s="60"/>
      <c r="B760" s="857"/>
      <c r="C760" s="857"/>
      <c r="D760" s="857"/>
    </row>
    <row r="761" spans="1:4" ht="12.75">
      <c r="A761" s="60"/>
      <c r="B761" s="857"/>
      <c r="C761" s="857"/>
      <c r="D761" s="857"/>
    </row>
    <row r="762" spans="1:4" ht="12.75">
      <c r="A762" s="60"/>
      <c r="B762" s="857"/>
      <c r="C762" s="857"/>
      <c r="D762" s="857"/>
    </row>
    <row r="763" spans="1:4" ht="12.75">
      <c r="A763" s="60"/>
      <c r="B763" s="857"/>
      <c r="C763" s="857"/>
      <c r="D763" s="857"/>
    </row>
    <row r="764" spans="1:4" ht="12.75">
      <c r="A764" s="60"/>
      <c r="B764" s="857"/>
      <c r="C764" s="857"/>
      <c r="D764" s="857"/>
    </row>
    <row r="765" spans="1:4" ht="12.75">
      <c r="A765" s="60"/>
      <c r="B765" s="857"/>
      <c r="C765" s="857"/>
      <c r="D765" s="857"/>
    </row>
    <row r="766" spans="1:4" ht="12.75">
      <c r="A766" s="60"/>
      <c r="B766" s="857"/>
      <c r="C766" s="857"/>
      <c r="D766" s="857"/>
    </row>
    <row r="767" spans="1:4" ht="12.75">
      <c r="A767" s="60"/>
      <c r="B767" s="857"/>
      <c r="C767" s="857"/>
      <c r="D767" s="857"/>
    </row>
    <row r="768" spans="1:4" ht="12.75">
      <c r="A768" s="60"/>
      <c r="B768" s="857"/>
      <c r="C768" s="857"/>
      <c r="D768" s="857"/>
    </row>
    <row r="769" spans="1:4" ht="12.75">
      <c r="A769" s="60"/>
      <c r="B769" s="857"/>
      <c r="C769" s="857"/>
      <c r="D769" s="857"/>
    </row>
    <row r="770" spans="1:4" ht="12.75">
      <c r="A770" s="60"/>
      <c r="B770" s="857"/>
      <c r="C770" s="857"/>
      <c r="D770" s="857"/>
    </row>
    <row r="771" spans="1:4" ht="12.75">
      <c r="A771" s="60"/>
      <c r="B771" s="857"/>
      <c r="C771" s="857"/>
      <c r="D771" s="857"/>
    </row>
    <row r="772" spans="1:4" ht="12.75">
      <c r="A772" s="60"/>
      <c r="B772" s="857"/>
      <c r="C772" s="857"/>
      <c r="D772" s="857"/>
    </row>
    <row r="773" spans="1:4" ht="12.75">
      <c r="A773" s="60"/>
      <c r="B773" s="857"/>
      <c r="C773" s="857"/>
      <c r="D773" s="857"/>
    </row>
    <row r="774" spans="1:4" ht="12.75">
      <c r="A774" s="60"/>
      <c r="B774" s="857"/>
      <c r="C774" s="857"/>
      <c r="D774" s="857"/>
    </row>
    <row r="775" spans="1:4" ht="12.75">
      <c r="A775" s="60"/>
      <c r="B775" s="857"/>
      <c r="C775" s="857"/>
      <c r="D775" s="857"/>
    </row>
    <row r="776" spans="1:4" ht="12.75">
      <c r="A776" s="60"/>
      <c r="B776" s="857"/>
      <c r="C776" s="857"/>
      <c r="D776" s="857"/>
    </row>
    <row r="777" spans="1:4" ht="12.75">
      <c r="A777" s="60"/>
      <c r="B777" s="857"/>
      <c r="C777" s="857"/>
      <c r="D777" s="857"/>
    </row>
    <row r="778" spans="1:4" ht="12.75">
      <c r="A778" s="60"/>
      <c r="B778" s="857"/>
      <c r="C778" s="857"/>
      <c r="D778" s="857"/>
    </row>
    <row r="779" spans="1:4" ht="12.75">
      <c r="A779" s="60"/>
      <c r="B779" s="857"/>
      <c r="C779" s="857"/>
      <c r="D779" s="857"/>
    </row>
    <row r="780" spans="1:4" ht="12.75">
      <c r="A780" s="60"/>
      <c r="B780" s="857"/>
      <c r="C780" s="857"/>
      <c r="D780" s="857"/>
    </row>
    <row r="781" spans="1:4" ht="12.75">
      <c r="A781" s="60"/>
      <c r="B781" s="857"/>
      <c r="C781" s="857"/>
      <c r="D781" s="857"/>
    </row>
    <row r="782" spans="1:4" ht="12.75">
      <c r="A782" s="60"/>
      <c r="B782" s="857"/>
      <c r="C782" s="857"/>
      <c r="D782" s="857"/>
    </row>
    <row r="783" spans="1:4" ht="12.75">
      <c r="A783" s="60"/>
      <c r="B783" s="857"/>
      <c r="C783" s="857"/>
      <c r="D783" s="857"/>
    </row>
    <row r="784" spans="1:4" ht="12.75">
      <c r="A784" s="60"/>
      <c r="B784" s="857"/>
      <c r="C784" s="857"/>
      <c r="D784" s="857"/>
    </row>
    <row r="785" spans="1:4" ht="12.75">
      <c r="A785" s="60"/>
      <c r="B785" s="857"/>
      <c r="C785" s="857"/>
      <c r="D785" s="857"/>
    </row>
    <row r="786" spans="1:4" ht="12.75">
      <c r="A786" s="60"/>
      <c r="B786" s="857"/>
      <c r="C786" s="857"/>
      <c r="D786" s="857"/>
    </row>
    <row r="787" spans="1:4" ht="12.75">
      <c r="A787" s="60"/>
      <c r="B787" s="857"/>
      <c r="C787" s="857"/>
      <c r="D787" s="857"/>
    </row>
    <row r="788" spans="1:4" ht="12.75">
      <c r="A788" s="60"/>
      <c r="B788" s="857"/>
      <c r="C788" s="857"/>
      <c r="D788" s="857"/>
    </row>
    <row r="789" spans="1:4" ht="12.75">
      <c r="A789" s="60"/>
      <c r="B789" s="857"/>
      <c r="C789" s="857"/>
      <c r="D789" s="857"/>
    </row>
    <row r="790" spans="1:4" ht="12.75">
      <c r="A790" s="60"/>
      <c r="B790" s="857"/>
      <c r="C790" s="857"/>
      <c r="D790" s="857"/>
    </row>
    <row r="791" spans="1:4" ht="12.75">
      <c r="A791" s="60"/>
      <c r="B791" s="857"/>
      <c r="C791" s="857"/>
      <c r="D791" s="857"/>
    </row>
    <row r="792" spans="1:4" ht="12.75">
      <c r="A792" s="60"/>
      <c r="B792" s="857"/>
      <c r="C792" s="857"/>
      <c r="D792" s="857"/>
    </row>
    <row r="793" spans="1:4" ht="12.75">
      <c r="A793" s="60"/>
      <c r="B793" s="857"/>
      <c r="C793" s="857"/>
      <c r="D793" s="857"/>
    </row>
    <row r="794" spans="1:4" ht="12.75">
      <c r="A794" s="60"/>
      <c r="B794" s="857"/>
      <c r="C794" s="857"/>
      <c r="D794" s="857"/>
    </row>
    <row r="795" spans="1:4" ht="12.75">
      <c r="A795" s="60"/>
      <c r="B795" s="857"/>
      <c r="C795" s="857"/>
      <c r="D795" s="857"/>
    </row>
    <row r="796" spans="1:4" ht="12.75">
      <c r="A796" s="60"/>
      <c r="B796" s="857"/>
      <c r="C796" s="857"/>
      <c r="D796" s="857"/>
    </row>
    <row r="797" spans="1:4" ht="12.75">
      <c r="A797" s="60"/>
      <c r="B797" s="857"/>
      <c r="C797" s="857"/>
      <c r="D797" s="857"/>
    </row>
    <row r="798" spans="1:4" ht="12.75">
      <c r="A798" s="60"/>
      <c r="B798" s="857"/>
      <c r="C798" s="857"/>
      <c r="D798" s="857"/>
    </row>
    <row r="799" spans="1:4" ht="12.75">
      <c r="A799" s="60"/>
      <c r="B799" s="857"/>
      <c r="C799" s="857"/>
      <c r="D799" s="857"/>
    </row>
    <row r="800" spans="1:4" ht="12.75">
      <c r="A800" s="60"/>
      <c r="B800" s="857"/>
      <c r="C800" s="857"/>
      <c r="D800" s="857"/>
    </row>
    <row r="801" spans="1:4" ht="12.75">
      <c r="A801" s="60"/>
      <c r="B801" s="857"/>
      <c r="C801" s="857"/>
      <c r="D801" s="857"/>
    </row>
    <row r="802" spans="1:4" ht="12.75">
      <c r="A802" s="60"/>
      <c r="B802" s="857"/>
      <c r="C802" s="857"/>
      <c r="D802" s="857"/>
    </row>
    <row r="803" spans="1:4" ht="12.75">
      <c r="A803" s="60"/>
      <c r="B803" s="857"/>
      <c r="C803" s="857"/>
      <c r="D803" s="857"/>
    </row>
    <row r="804" spans="1:4" ht="12.75">
      <c r="A804" s="60"/>
      <c r="B804" s="857"/>
      <c r="C804" s="857"/>
      <c r="D804" s="857"/>
    </row>
    <row r="805" spans="1:4" ht="12.75">
      <c r="A805" s="60"/>
      <c r="B805" s="857"/>
      <c r="C805" s="857"/>
      <c r="D805" s="857"/>
    </row>
    <row r="806" spans="1:4" ht="12.75">
      <c r="A806" s="60"/>
      <c r="B806" s="857"/>
      <c r="C806" s="857"/>
      <c r="D806" s="857"/>
    </row>
    <row r="807" spans="1:4" ht="12.75">
      <c r="A807" s="60"/>
      <c r="B807" s="857"/>
      <c r="C807" s="857"/>
      <c r="D807" s="857"/>
    </row>
    <row r="808" spans="1:4" ht="12.75">
      <c r="A808" s="60"/>
      <c r="B808" s="857"/>
      <c r="C808" s="857"/>
      <c r="D808" s="857"/>
    </row>
    <row r="809" spans="1:4" ht="12.75">
      <c r="A809" s="60"/>
      <c r="B809" s="857"/>
      <c r="C809" s="857"/>
      <c r="D809" s="857"/>
    </row>
    <row r="810" spans="1:4" ht="12.75">
      <c r="A810" s="60"/>
      <c r="B810" s="857"/>
      <c r="C810" s="857"/>
      <c r="D810" s="857"/>
    </row>
    <row r="811" spans="1:4" ht="12.75">
      <c r="A811" s="60"/>
      <c r="B811" s="857"/>
      <c r="C811" s="857"/>
      <c r="D811" s="857"/>
    </row>
    <row r="812" spans="1:4" ht="12.75">
      <c r="A812" s="60"/>
      <c r="B812" s="857"/>
      <c r="C812" s="857"/>
      <c r="D812" s="857"/>
    </row>
    <row r="813" spans="1:4" ht="12.75">
      <c r="A813" s="60"/>
      <c r="B813" s="857"/>
      <c r="C813" s="857"/>
      <c r="D813" s="857"/>
    </row>
    <row r="814" spans="1:4" ht="12.75">
      <c r="A814" s="60"/>
      <c r="B814" s="857"/>
      <c r="C814" s="857"/>
      <c r="D814" s="857"/>
    </row>
    <row r="815" spans="1:4" ht="12.75">
      <c r="A815" s="60"/>
      <c r="B815" s="857"/>
      <c r="C815" s="857"/>
      <c r="D815" s="857"/>
    </row>
    <row r="816" spans="1:4" ht="12.75">
      <c r="A816" s="60"/>
      <c r="B816" s="857"/>
      <c r="C816" s="857"/>
      <c r="D816" s="857"/>
    </row>
    <row r="817" spans="1:4" ht="12.75">
      <c r="A817" s="60"/>
      <c r="B817" s="857"/>
      <c r="C817" s="857"/>
      <c r="D817" s="857"/>
    </row>
    <row r="818" spans="1:4" ht="12.75">
      <c r="A818" s="60"/>
      <c r="B818" s="857"/>
      <c r="C818" s="857"/>
      <c r="D818" s="857"/>
    </row>
    <row r="819" spans="1:4" ht="12.75">
      <c r="A819" s="60"/>
      <c r="B819" s="857"/>
      <c r="C819" s="857"/>
      <c r="D819" s="857"/>
    </row>
    <row r="820" spans="1:4" ht="12.75">
      <c r="A820" s="60"/>
      <c r="B820" s="857"/>
      <c r="C820" s="857"/>
      <c r="D820" s="857"/>
    </row>
    <row r="821" spans="1:4" ht="12.75">
      <c r="A821" s="60"/>
      <c r="B821" s="857"/>
      <c r="C821" s="857"/>
      <c r="D821" s="857"/>
    </row>
    <row r="822" spans="1:4" ht="12.75">
      <c r="A822" s="60"/>
      <c r="B822" s="857"/>
      <c r="C822" s="857"/>
      <c r="D822" s="857"/>
    </row>
    <row r="823" spans="1:4" ht="12.75">
      <c r="A823" s="60"/>
      <c r="B823" s="857"/>
      <c r="C823" s="857"/>
      <c r="D823" s="857"/>
    </row>
    <row r="824" spans="1:4" ht="12.75">
      <c r="A824" s="60"/>
      <c r="B824" s="857"/>
      <c r="C824" s="857"/>
      <c r="D824" s="857"/>
    </row>
    <row r="825" spans="1:4" ht="12.75">
      <c r="A825" s="60"/>
      <c r="B825" s="857"/>
      <c r="C825" s="857"/>
      <c r="D825" s="857"/>
    </row>
    <row r="826" spans="1:4" ht="12.75">
      <c r="A826" s="60"/>
      <c r="B826" s="857"/>
      <c r="C826" s="857"/>
      <c r="D826" s="857"/>
    </row>
    <row r="827" spans="1:4" ht="12.75">
      <c r="A827" s="60"/>
      <c r="B827" s="857"/>
      <c r="C827" s="857"/>
      <c r="D827" s="857"/>
    </row>
    <row r="828" spans="1:4" ht="12.75">
      <c r="A828" s="60"/>
      <c r="B828" s="857"/>
      <c r="C828" s="857"/>
      <c r="D828" s="857"/>
    </row>
    <row r="829" spans="1:4" ht="12.75">
      <c r="A829" s="60"/>
      <c r="B829" s="857"/>
      <c r="C829" s="857"/>
      <c r="D829" s="857"/>
    </row>
    <row r="830" spans="1:4" ht="12.75">
      <c r="A830" s="60"/>
      <c r="B830" s="857"/>
      <c r="C830" s="857"/>
      <c r="D830" s="857"/>
    </row>
    <row r="831" spans="1:4" ht="12.75">
      <c r="A831" s="60"/>
      <c r="B831" s="857"/>
      <c r="C831" s="857"/>
      <c r="D831" s="857"/>
    </row>
    <row r="832" spans="1:4" ht="12.75">
      <c r="A832" s="60"/>
      <c r="B832" s="857"/>
      <c r="C832" s="857"/>
      <c r="D832" s="857"/>
    </row>
    <row r="833" spans="1:4" ht="12.75">
      <c r="A833" s="60"/>
      <c r="B833" s="857"/>
      <c r="C833" s="857"/>
      <c r="D833" s="857"/>
    </row>
    <row r="834" spans="1:4" ht="12.75">
      <c r="A834" s="60"/>
      <c r="B834" s="857"/>
      <c r="C834" s="857"/>
      <c r="D834" s="857"/>
    </row>
    <row r="835" spans="1:4" ht="12.75">
      <c r="A835" s="60"/>
      <c r="B835" s="857"/>
      <c r="C835" s="857"/>
      <c r="D835" s="857"/>
    </row>
    <row r="836" spans="1:4" ht="12.75">
      <c r="A836" s="60"/>
      <c r="B836" s="857"/>
      <c r="C836" s="857"/>
      <c r="D836" s="857"/>
    </row>
    <row r="837" spans="1:4" ht="12.75">
      <c r="A837" s="60"/>
      <c r="B837" s="857"/>
      <c r="C837" s="857"/>
      <c r="D837" s="857"/>
    </row>
    <row r="838" spans="1:4" ht="12.75">
      <c r="A838" s="60"/>
      <c r="B838" s="857"/>
      <c r="C838" s="857"/>
      <c r="D838" s="857"/>
    </row>
    <row r="839" spans="1:4" ht="12.75">
      <c r="A839" s="60"/>
      <c r="B839" s="857"/>
      <c r="C839" s="857"/>
      <c r="D839" s="857"/>
    </row>
    <row r="840" spans="1:4" ht="12.75">
      <c r="A840" s="60"/>
      <c r="B840" s="857"/>
      <c r="C840" s="857"/>
      <c r="D840" s="857"/>
    </row>
    <row r="841" spans="1:4" ht="12.75">
      <c r="A841" s="60"/>
      <c r="B841" s="857"/>
      <c r="C841" s="857"/>
      <c r="D841" s="857"/>
    </row>
    <row r="842" spans="1:4" ht="12.75">
      <c r="A842" s="60"/>
      <c r="B842" s="857"/>
      <c r="C842" s="857"/>
      <c r="D842" s="857"/>
    </row>
    <row r="843" spans="1:4" ht="12.75">
      <c r="A843" s="60"/>
      <c r="B843" s="857"/>
      <c r="C843" s="857"/>
      <c r="D843" s="857"/>
    </row>
    <row r="844" spans="1:4" ht="12.75">
      <c r="A844" s="60"/>
      <c r="B844" s="857"/>
      <c r="C844" s="857"/>
      <c r="D844" s="857"/>
    </row>
    <row r="845" spans="1:4" ht="12.75">
      <c r="A845" s="60"/>
      <c r="B845" s="857"/>
      <c r="C845" s="857"/>
      <c r="D845" s="857"/>
    </row>
    <row r="846" spans="1:4" ht="12.75">
      <c r="A846" s="60"/>
      <c r="B846" s="857"/>
      <c r="C846" s="857"/>
      <c r="D846" s="857"/>
    </row>
    <row r="847" spans="1:4" ht="12.75">
      <c r="A847" s="60"/>
      <c r="B847" s="857"/>
      <c r="C847" s="857"/>
      <c r="D847" s="857"/>
    </row>
    <row r="848" spans="1:4" ht="12.75">
      <c r="A848" s="60"/>
      <c r="B848" s="857"/>
      <c r="C848" s="857"/>
      <c r="D848" s="857"/>
    </row>
    <row r="849" spans="1:4" ht="12.75">
      <c r="A849" s="60"/>
      <c r="B849" s="857"/>
      <c r="C849" s="857"/>
      <c r="D849" s="857"/>
    </row>
    <row r="850" spans="1:4" ht="12.75">
      <c r="A850" s="60"/>
      <c r="B850" s="857"/>
      <c r="C850" s="857"/>
      <c r="D850" s="857"/>
    </row>
    <row r="851" spans="1:4" ht="12.75">
      <c r="A851" s="60"/>
      <c r="B851" s="857"/>
      <c r="C851" s="857"/>
      <c r="D851" s="857"/>
    </row>
    <row r="852" spans="1:4" ht="12.75">
      <c r="A852" s="60"/>
      <c r="B852" s="857"/>
      <c r="C852" s="857"/>
      <c r="D852" s="857"/>
    </row>
    <row r="853" spans="1:4" ht="12.75">
      <c r="A853" s="60"/>
      <c r="B853" s="857"/>
      <c r="C853" s="857"/>
      <c r="D853" s="857"/>
    </row>
    <row r="854" spans="1:4" ht="12.75">
      <c r="A854" s="60"/>
      <c r="B854" s="857"/>
      <c r="C854" s="857"/>
      <c r="D854" s="857"/>
    </row>
    <row r="855" spans="1:4" ht="12.75">
      <c r="A855" s="60"/>
      <c r="B855" s="857"/>
      <c r="C855" s="857"/>
      <c r="D855" s="857"/>
    </row>
    <row r="856" spans="1:4" ht="12.75">
      <c r="A856" s="60"/>
      <c r="B856" s="857"/>
      <c r="C856" s="857"/>
      <c r="D856" s="857"/>
    </row>
    <row r="857" spans="1:4" ht="12.75">
      <c r="A857" s="60"/>
      <c r="B857" s="857"/>
      <c r="C857" s="857"/>
      <c r="D857" s="857"/>
    </row>
    <row r="858" spans="1:4" ht="12.75">
      <c r="A858" s="60"/>
      <c r="B858" s="857"/>
      <c r="C858" s="857"/>
      <c r="D858" s="857"/>
    </row>
    <row r="859" spans="1:4" ht="12.75">
      <c r="A859" s="60"/>
      <c r="B859" s="857"/>
      <c r="C859" s="857"/>
      <c r="D859" s="857"/>
    </row>
    <row r="860" spans="1:4" ht="12.75">
      <c r="A860" s="60"/>
      <c r="B860" s="857"/>
      <c r="C860" s="857"/>
      <c r="D860" s="857"/>
    </row>
    <row r="861" spans="1:4" ht="12.75">
      <c r="A861" s="60"/>
      <c r="B861" s="857"/>
      <c r="C861" s="857"/>
      <c r="D861" s="857"/>
    </row>
    <row r="862" spans="1:4" ht="12.75">
      <c r="A862" s="60"/>
      <c r="B862" s="857"/>
      <c r="C862" s="857"/>
      <c r="D862" s="857"/>
    </row>
    <row r="863" spans="1:4" ht="12.75">
      <c r="A863" s="60"/>
      <c r="B863" s="857"/>
      <c r="C863" s="857"/>
      <c r="D863" s="857"/>
    </row>
    <row r="864" spans="1:4" ht="12.75">
      <c r="A864" s="60"/>
      <c r="B864" s="857"/>
      <c r="C864" s="857"/>
      <c r="D864" s="857"/>
    </row>
    <row r="865" spans="1:4" ht="12.75">
      <c r="A865" s="60"/>
      <c r="B865" s="857"/>
      <c r="C865" s="857"/>
      <c r="D865" s="857"/>
    </row>
    <row r="866" spans="1:4" ht="12.75">
      <c r="A866" s="60"/>
      <c r="B866" s="857"/>
      <c r="C866" s="857"/>
      <c r="D866" s="857"/>
    </row>
    <row r="867" spans="1:4" ht="12.75">
      <c r="A867" s="60"/>
      <c r="B867" s="857"/>
      <c r="C867" s="857"/>
      <c r="D867" s="857"/>
    </row>
    <row r="868" spans="1:4" ht="12.75">
      <c r="A868" s="60"/>
      <c r="B868" s="857"/>
      <c r="C868" s="857"/>
      <c r="D868" s="857"/>
    </row>
    <row r="869" spans="1:4" ht="12.75">
      <c r="A869" s="60"/>
      <c r="B869" s="857"/>
      <c r="C869" s="857"/>
      <c r="D869" s="857"/>
    </row>
    <row r="870" spans="1:4" ht="12.75">
      <c r="A870" s="60"/>
      <c r="B870" s="857"/>
      <c r="C870" s="857"/>
      <c r="D870" s="857"/>
    </row>
    <row r="871" spans="1:4" ht="12.75">
      <c r="A871" s="60"/>
      <c r="B871" s="857"/>
      <c r="C871" s="857"/>
      <c r="D871" s="857"/>
    </row>
    <row r="872" spans="1:4" ht="12.75">
      <c r="A872" s="60"/>
      <c r="B872" s="857"/>
      <c r="C872" s="857"/>
      <c r="D872" s="857"/>
    </row>
    <row r="873" spans="1:4" ht="12.75">
      <c r="A873" s="60"/>
      <c r="B873" s="857"/>
      <c r="C873" s="857"/>
      <c r="D873" s="857"/>
    </row>
    <row r="874" spans="1:4" ht="12.75">
      <c r="A874" s="60"/>
      <c r="B874" s="857"/>
      <c r="C874" s="857"/>
      <c r="D874" s="857"/>
    </row>
    <row r="875" spans="1:4" ht="12.75">
      <c r="A875" s="60"/>
      <c r="B875" s="857"/>
      <c r="C875" s="857"/>
      <c r="D875" s="857"/>
    </row>
    <row r="876" spans="1:4" ht="12.75">
      <c r="A876" s="60"/>
      <c r="B876" s="857"/>
      <c r="C876" s="857"/>
      <c r="D876" s="857"/>
    </row>
    <row r="877" spans="1:4" ht="12.75">
      <c r="A877" s="60"/>
      <c r="B877" s="857"/>
      <c r="C877" s="857"/>
      <c r="D877" s="857"/>
    </row>
    <row r="878" spans="1:4" ht="12.75">
      <c r="A878" s="60"/>
      <c r="B878" s="857"/>
      <c r="C878" s="857"/>
      <c r="D878" s="857"/>
    </row>
    <row r="879" spans="1:4" ht="12.75">
      <c r="A879" s="60"/>
      <c r="B879" s="857"/>
      <c r="C879" s="857"/>
      <c r="D879" s="857"/>
    </row>
    <row r="880" spans="1:4" ht="12.75">
      <c r="A880" s="60"/>
      <c r="B880" s="857"/>
      <c r="C880" s="857"/>
      <c r="D880" s="857"/>
    </row>
    <row r="881" spans="1:4" ht="12.75">
      <c r="A881" s="60"/>
      <c r="B881" s="857"/>
      <c r="C881" s="857"/>
      <c r="D881" s="857"/>
    </row>
    <row r="882" spans="1:4" ht="12.75">
      <c r="A882" s="60"/>
      <c r="B882" s="857"/>
      <c r="C882" s="857"/>
      <c r="D882" s="857"/>
    </row>
    <row r="883" spans="1:4" ht="12.75">
      <c r="A883" s="60"/>
      <c r="B883" s="857"/>
      <c r="C883" s="857"/>
      <c r="D883" s="857"/>
    </row>
    <row r="884" spans="1:4" ht="12.75">
      <c r="A884" s="60"/>
      <c r="B884" s="857"/>
      <c r="C884" s="857"/>
      <c r="D884" s="857"/>
    </row>
    <row r="885" spans="1:4" ht="12.75">
      <c r="A885" s="60"/>
      <c r="B885" s="857"/>
      <c r="C885" s="857"/>
      <c r="D885" s="857"/>
    </row>
    <row r="886" spans="1:4" ht="12.75">
      <c r="A886" s="60"/>
      <c r="B886" s="857"/>
      <c r="C886" s="857"/>
      <c r="D886" s="857"/>
    </row>
    <row r="887" spans="1:4" ht="12.75">
      <c r="A887" s="60"/>
      <c r="B887" s="857"/>
      <c r="C887" s="857"/>
      <c r="D887" s="857"/>
    </row>
    <row r="888" spans="1:4" ht="12.75">
      <c r="A888" s="60"/>
      <c r="B888" s="857"/>
      <c r="C888" s="857"/>
      <c r="D888" s="857"/>
    </row>
    <row r="889" spans="1:4" ht="12.75">
      <c r="A889" s="60"/>
      <c r="B889" s="857"/>
      <c r="C889" s="857"/>
      <c r="D889" s="857"/>
    </row>
    <row r="890" spans="1:4" ht="12.75">
      <c r="A890" s="60"/>
      <c r="B890" s="857"/>
      <c r="C890" s="857"/>
      <c r="D890" s="857"/>
    </row>
    <row r="891" spans="1:4" ht="12.75">
      <c r="A891" s="60"/>
      <c r="B891" s="857"/>
      <c r="C891" s="857"/>
      <c r="D891" s="857"/>
    </row>
    <row r="892" spans="1:4" ht="12.75">
      <c r="A892" s="60"/>
      <c r="B892" s="857"/>
      <c r="C892" s="857"/>
      <c r="D892" s="857"/>
    </row>
    <row r="893" spans="1:4" ht="12.75">
      <c r="A893" s="60"/>
      <c r="B893" s="857"/>
      <c r="C893" s="857"/>
      <c r="D893" s="857"/>
    </row>
    <row r="894" spans="1:4" ht="12.75">
      <c r="A894" s="60"/>
      <c r="B894" s="857"/>
      <c r="C894" s="857"/>
      <c r="D894" s="857"/>
    </row>
    <row r="895" spans="1:4" ht="12.75">
      <c r="A895" s="60"/>
      <c r="B895" s="857"/>
      <c r="C895" s="857"/>
      <c r="D895" s="857"/>
    </row>
    <row r="896" spans="1:4" ht="12.75">
      <c r="A896" s="60"/>
      <c r="B896" s="857"/>
      <c r="C896" s="857"/>
      <c r="D896" s="857"/>
    </row>
    <row r="897" spans="1:4" ht="12.75">
      <c r="A897" s="60"/>
      <c r="B897" s="857"/>
      <c r="C897" s="857"/>
      <c r="D897" s="857"/>
    </row>
    <row r="898" spans="1:4" ht="12.75">
      <c r="A898" s="60"/>
      <c r="B898" s="857"/>
      <c r="C898" s="857"/>
      <c r="D898" s="857"/>
    </row>
    <row r="899" spans="1:4" ht="12.75">
      <c r="A899" s="60"/>
      <c r="B899" s="857"/>
      <c r="C899" s="857"/>
      <c r="D899" s="857"/>
    </row>
    <row r="900" spans="1:4" ht="12.75">
      <c r="A900" s="60"/>
      <c r="B900" s="857"/>
      <c r="C900" s="857"/>
      <c r="D900" s="857"/>
    </row>
    <row r="901" spans="1:4" ht="12.75">
      <c r="A901" s="60"/>
      <c r="B901" s="857"/>
      <c r="C901" s="857"/>
      <c r="D901" s="857"/>
    </row>
    <row r="902" spans="1:4" ht="12.75">
      <c r="A902" s="60"/>
      <c r="B902" s="857"/>
      <c r="C902" s="857"/>
      <c r="D902" s="857"/>
    </row>
    <row r="903" spans="1:4" ht="12.75">
      <c r="A903" s="60"/>
      <c r="B903" s="857"/>
      <c r="C903" s="857"/>
      <c r="D903" s="857"/>
    </row>
    <row r="904" spans="1:4" ht="12.75">
      <c r="A904" s="60"/>
      <c r="B904" s="857"/>
      <c r="C904" s="857"/>
      <c r="D904" s="857"/>
    </row>
    <row r="905" spans="1:4" ht="12.75">
      <c r="A905" s="60"/>
      <c r="B905" s="857"/>
      <c r="C905" s="857"/>
      <c r="D905" s="857"/>
    </row>
    <row r="906" spans="1:4" ht="12.75">
      <c r="A906" s="60"/>
      <c r="B906" s="857"/>
      <c r="C906" s="857"/>
      <c r="D906" s="857"/>
    </row>
    <row r="907" spans="1:4" ht="12.75">
      <c r="A907" s="60"/>
      <c r="B907" s="857"/>
      <c r="C907" s="857"/>
      <c r="D907" s="857"/>
    </row>
    <row r="908" spans="1:4" ht="12.75">
      <c r="A908" s="60"/>
      <c r="B908" s="857"/>
      <c r="C908" s="857"/>
      <c r="D908" s="857"/>
    </row>
    <row r="909" spans="1:4" ht="12.75">
      <c r="A909" s="60"/>
      <c r="B909" s="857"/>
      <c r="C909" s="857"/>
      <c r="D909" s="857"/>
    </row>
    <row r="910" spans="1:4" ht="12.75">
      <c r="A910" s="60"/>
      <c r="B910" s="857"/>
      <c r="C910" s="857"/>
      <c r="D910" s="857"/>
    </row>
    <row r="911" spans="1:4" ht="12.75">
      <c r="A911" s="60"/>
      <c r="B911" s="857"/>
      <c r="C911" s="857"/>
      <c r="D911" s="857"/>
    </row>
    <row r="912" spans="1:4" ht="12.75">
      <c r="A912" s="60"/>
      <c r="B912" s="857"/>
      <c r="C912" s="857"/>
      <c r="D912" s="857"/>
    </row>
    <row r="913" spans="1:4" ht="12.75">
      <c r="A913" s="60"/>
      <c r="B913" s="857"/>
      <c r="C913" s="857"/>
      <c r="D913" s="857"/>
    </row>
    <row r="914" spans="1:4" ht="12.75">
      <c r="A914" s="60"/>
      <c r="B914" s="857"/>
      <c r="C914" s="857"/>
      <c r="D914" s="857"/>
    </row>
    <row r="915" spans="1:4" ht="12.75">
      <c r="A915" s="60"/>
      <c r="B915" s="857"/>
      <c r="C915" s="857"/>
      <c r="D915" s="857"/>
    </row>
    <row r="916" spans="1:4" ht="12.75">
      <c r="A916" s="60"/>
      <c r="B916" s="857"/>
      <c r="C916" s="857"/>
      <c r="D916" s="857"/>
    </row>
    <row r="917" spans="1:4" ht="12.75">
      <c r="A917" s="60"/>
      <c r="B917" s="857"/>
      <c r="C917" s="857"/>
      <c r="D917" s="857"/>
    </row>
    <row r="918" spans="1:4" ht="12.75">
      <c r="A918" s="60"/>
      <c r="B918" s="857"/>
      <c r="C918" s="857"/>
      <c r="D918" s="857"/>
    </row>
    <row r="919" spans="1:4" ht="12.75">
      <c r="A919" s="60"/>
      <c r="B919" s="857"/>
      <c r="C919" s="857"/>
      <c r="D919" s="857"/>
    </row>
    <row r="920" spans="1:4" ht="12.75">
      <c r="A920" s="60"/>
      <c r="B920" s="857"/>
      <c r="C920" s="857"/>
      <c r="D920" s="857"/>
    </row>
    <row r="921" spans="1:4" ht="12.75">
      <c r="A921" s="60"/>
      <c r="B921" s="857"/>
      <c r="C921" s="857"/>
      <c r="D921" s="857"/>
    </row>
    <row r="922" spans="1:4" ht="12.75">
      <c r="A922" s="60"/>
      <c r="B922" s="857"/>
      <c r="C922" s="857"/>
      <c r="D922" s="857"/>
    </row>
    <row r="923" spans="1:4" ht="12.75">
      <c r="A923" s="60"/>
      <c r="B923" s="857"/>
      <c r="C923" s="857"/>
      <c r="D923" s="857"/>
    </row>
    <row r="924" spans="1:4" ht="12.75">
      <c r="A924" s="60"/>
      <c r="B924" s="857"/>
      <c r="C924" s="857"/>
      <c r="D924" s="857"/>
    </row>
    <row r="925" spans="1:4" ht="12.75">
      <c r="A925" s="60"/>
      <c r="B925" s="857"/>
      <c r="C925" s="857"/>
      <c r="D925" s="857"/>
    </row>
    <row r="926" spans="1:4" ht="12.75">
      <c r="A926" s="60"/>
      <c r="B926" s="857"/>
      <c r="C926" s="857"/>
      <c r="D926" s="857"/>
    </row>
    <row r="927" spans="1:4" ht="12.75">
      <c r="A927" s="60"/>
      <c r="B927" s="857"/>
      <c r="C927" s="857"/>
      <c r="D927" s="857"/>
    </row>
    <row r="928" spans="1:4" ht="12.75">
      <c r="A928" s="60"/>
      <c r="B928" s="857"/>
      <c r="C928" s="857"/>
      <c r="D928" s="857"/>
    </row>
    <row r="929" spans="1:4" ht="12.75">
      <c r="A929" s="60"/>
      <c r="B929" s="857"/>
      <c r="C929" s="857"/>
      <c r="D929" s="857"/>
    </row>
    <row r="930" spans="1:4" ht="12.75">
      <c r="A930" s="60"/>
      <c r="B930" s="857"/>
      <c r="C930" s="857"/>
      <c r="D930" s="857"/>
    </row>
    <row r="931" spans="1:4" ht="12.75">
      <c r="A931" s="60"/>
      <c r="B931" s="857"/>
      <c r="C931" s="857"/>
      <c r="D931" s="857"/>
    </row>
    <row r="932" spans="1:4" ht="12.75">
      <c r="A932" s="60"/>
      <c r="B932" s="857"/>
      <c r="C932" s="857"/>
      <c r="D932" s="857"/>
    </row>
    <row r="933" spans="1:4" ht="12.75">
      <c r="A933" s="60"/>
      <c r="B933" s="857"/>
      <c r="C933" s="857"/>
      <c r="D933" s="857"/>
    </row>
    <row r="934" spans="1:4" ht="12.75">
      <c r="A934" s="60"/>
      <c r="B934" s="857"/>
      <c r="C934" s="857"/>
      <c r="D934" s="857"/>
    </row>
    <row r="935" spans="1:4" ht="12.75">
      <c r="A935" s="60"/>
      <c r="B935" s="857"/>
      <c r="C935" s="857"/>
      <c r="D935" s="857"/>
    </row>
    <row r="936" spans="1:4" ht="12.75">
      <c r="A936" s="60"/>
      <c r="B936" s="857"/>
      <c r="C936" s="857"/>
      <c r="D936" s="857"/>
    </row>
    <row r="937" spans="1:4" ht="12.75">
      <c r="A937" s="60"/>
      <c r="B937" s="857"/>
      <c r="C937" s="857"/>
      <c r="D937" s="857"/>
    </row>
    <row r="938" spans="1:4" ht="12.75">
      <c r="A938" s="60"/>
      <c r="B938" s="857"/>
      <c r="C938" s="857"/>
      <c r="D938" s="857"/>
    </row>
    <row r="939" spans="1:4" ht="12.75">
      <c r="A939" s="60"/>
      <c r="B939" s="857"/>
      <c r="C939" s="857"/>
      <c r="D939" s="857"/>
    </row>
    <row r="940" spans="1:4" ht="12.75">
      <c r="A940" s="60"/>
      <c r="B940" s="857"/>
      <c r="C940" s="857"/>
      <c r="D940" s="857"/>
    </row>
    <row r="941" spans="1:4" ht="12.75">
      <c r="A941" s="60"/>
      <c r="B941" s="857"/>
      <c r="C941" s="857"/>
      <c r="D941" s="857"/>
    </row>
    <row r="942" spans="1:4" ht="12.75">
      <c r="A942" s="60"/>
      <c r="B942" s="857"/>
      <c r="C942" s="857"/>
      <c r="D942" s="857"/>
    </row>
    <row r="943" spans="1:4" ht="12.75">
      <c r="A943" s="60"/>
      <c r="B943" s="857"/>
      <c r="C943" s="857"/>
      <c r="D943" s="857"/>
    </row>
    <row r="944" spans="1:4" ht="12.75">
      <c r="A944" s="60"/>
      <c r="B944" s="857"/>
      <c r="C944" s="857"/>
      <c r="D944" s="857"/>
    </row>
    <row r="945" spans="1:4" ht="12.75">
      <c r="A945" s="60"/>
      <c r="B945" s="857"/>
      <c r="C945" s="857"/>
      <c r="D945" s="857"/>
    </row>
    <row r="946" spans="1:4" ht="12.75">
      <c r="A946" s="60"/>
      <c r="B946" s="857"/>
      <c r="C946" s="857"/>
      <c r="D946" s="857"/>
    </row>
    <row r="947" spans="1:4" ht="12.75">
      <c r="A947" s="60"/>
      <c r="B947" s="857"/>
      <c r="C947" s="857"/>
      <c r="D947" s="857"/>
    </row>
    <row r="948" spans="1:4" ht="12.75">
      <c r="A948" s="60"/>
      <c r="B948" s="857"/>
      <c r="C948" s="857"/>
      <c r="D948" s="857"/>
    </row>
    <row r="949" spans="1:4" ht="12.75">
      <c r="A949" s="60"/>
      <c r="B949" s="857"/>
      <c r="C949" s="857"/>
      <c r="D949" s="857"/>
    </row>
    <row r="950" spans="1:4" ht="12.75">
      <c r="A950" s="60"/>
      <c r="B950" s="857"/>
      <c r="C950" s="857"/>
      <c r="D950" s="857"/>
    </row>
    <row r="951" spans="1:4" ht="12.75">
      <c r="A951" s="60"/>
      <c r="B951" s="857"/>
      <c r="C951" s="857"/>
      <c r="D951" s="857"/>
    </row>
    <row r="952" spans="1:4" ht="12.75">
      <c r="A952" s="60"/>
      <c r="B952" s="857"/>
      <c r="C952" s="857"/>
      <c r="D952" s="857"/>
    </row>
    <row r="953" spans="1:4" ht="12.75">
      <c r="A953" s="60"/>
      <c r="B953" s="857"/>
      <c r="C953" s="857"/>
      <c r="D953" s="857"/>
    </row>
    <row r="954" spans="1:4" ht="12.75">
      <c r="A954" s="60"/>
      <c r="B954" s="857"/>
      <c r="C954" s="857"/>
      <c r="D954" s="857"/>
    </row>
    <row r="955" spans="1:4" ht="12.75">
      <c r="A955" s="60"/>
      <c r="B955" s="857"/>
      <c r="C955" s="857"/>
      <c r="D955" s="857"/>
    </row>
    <row r="956" spans="1:4" ht="12.75">
      <c r="A956" s="60"/>
      <c r="B956" s="857"/>
      <c r="C956" s="857"/>
      <c r="D956" s="857"/>
    </row>
    <row r="957" spans="1:4" ht="12.75">
      <c r="A957" s="60"/>
      <c r="B957" s="857"/>
      <c r="C957" s="857"/>
      <c r="D957" s="857"/>
    </row>
    <row r="958" spans="1:4" ht="12.75">
      <c r="A958" s="60"/>
      <c r="B958" s="857"/>
      <c r="C958" s="857"/>
      <c r="D958" s="857"/>
    </row>
    <row r="959" spans="1:4" ht="12.75">
      <c r="A959" s="60"/>
      <c r="B959" s="857"/>
      <c r="C959" s="857"/>
      <c r="D959" s="857"/>
    </row>
    <row r="960" spans="1:4" ht="12.75">
      <c r="A960" s="60"/>
      <c r="B960" s="857"/>
      <c r="C960" s="857"/>
      <c r="D960" s="857"/>
    </row>
    <row r="961" spans="1:4" ht="12.75">
      <c r="A961" s="60"/>
      <c r="B961" s="857"/>
      <c r="C961" s="857"/>
      <c r="D961" s="857"/>
    </row>
    <row r="962" spans="1:4" ht="12.75">
      <c r="A962" s="60"/>
      <c r="B962" s="857"/>
      <c r="C962" s="857"/>
      <c r="D962" s="857"/>
    </row>
    <row r="963" spans="1:4" ht="12.75">
      <c r="A963" s="60"/>
      <c r="B963" s="857"/>
      <c r="C963" s="857"/>
      <c r="D963" s="857"/>
    </row>
    <row r="964" spans="1:4" ht="12.75">
      <c r="A964" s="60"/>
      <c r="B964" s="857"/>
      <c r="C964" s="857"/>
      <c r="D964" s="857"/>
    </row>
    <row r="965" spans="1:4" ht="12.75">
      <c r="A965" s="60"/>
      <c r="B965" s="857"/>
      <c r="C965" s="857"/>
      <c r="D965" s="857"/>
    </row>
    <row r="966" spans="1:4" ht="12.75">
      <c r="A966" s="60"/>
      <c r="B966" s="857"/>
      <c r="C966" s="857"/>
      <c r="D966" s="857"/>
    </row>
    <row r="967" spans="1:4" ht="12.75">
      <c r="A967" s="60"/>
      <c r="B967" s="857"/>
      <c r="C967" s="857"/>
      <c r="D967" s="857"/>
    </row>
    <row r="968" spans="1:4" ht="12.75">
      <c r="A968" s="60"/>
      <c r="B968" s="857"/>
      <c r="C968" s="857"/>
      <c r="D968" s="857"/>
    </row>
    <row r="969" spans="1:4" ht="12.75">
      <c r="A969" s="60"/>
      <c r="B969" s="857"/>
      <c r="C969" s="857"/>
      <c r="D969" s="857"/>
    </row>
    <row r="970" spans="1:4" ht="12.75">
      <c r="A970" s="60"/>
      <c r="B970" s="857"/>
      <c r="C970" s="857"/>
      <c r="D970" s="857"/>
    </row>
    <row r="971" spans="1:4" ht="12.75">
      <c r="A971" s="60"/>
      <c r="B971" s="857"/>
      <c r="C971" s="857"/>
      <c r="D971" s="857"/>
    </row>
    <row r="972" spans="1:4" ht="12.75">
      <c r="A972" s="60"/>
      <c r="B972" s="857"/>
      <c r="C972" s="857"/>
      <c r="D972" s="857"/>
    </row>
    <row r="973" spans="1:4" ht="12.75">
      <c r="A973" s="60"/>
      <c r="B973" s="857"/>
      <c r="C973" s="857"/>
      <c r="D973" s="857"/>
    </row>
    <row r="974" spans="1:4" ht="12.75">
      <c r="A974" s="60"/>
      <c r="B974" s="857"/>
      <c r="C974" s="857"/>
      <c r="D974" s="857"/>
    </row>
    <row r="975" spans="1:4" ht="12.75">
      <c r="A975" s="60"/>
      <c r="B975" s="857"/>
      <c r="C975" s="857"/>
      <c r="D975" s="857"/>
    </row>
    <row r="976" spans="1:4" ht="12.75">
      <c r="A976" s="60"/>
      <c r="B976" s="857"/>
      <c r="C976" s="857"/>
      <c r="D976" s="857"/>
    </row>
    <row r="977" spans="1:4" ht="12.75">
      <c r="A977" s="60"/>
      <c r="B977" s="857"/>
      <c r="C977" s="857"/>
      <c r="D977" s="857"/>
    </row>
    <row r="978" spans="1:4" ht="12.75">
      <c r="A978" s="60"/>
      <c r="B978" s="857"/>
      <c r="C978" s="857"/>
      <c r="D978" s="857"/>
    </row>
    <row r="979" spans="1:4" ht="12.75">
      <c r="A979" s="60"/>
      <c r="B979" s="857"/>
      <c r="C979" s="857"/>
      <c r="D979" s="857"/>
    </row>
    <row r="980" spans="1:4" ht="12.75">
      <c r="A980" s="60"/>
      <c r="B980" s="857"/>
      <c r="C980" s="857"/>
      <c r="D980" s="857"/>
    </row>
    <row r="981" spans="1:4" ht="12.75">
      <c r="A981" s="60"/>
      <c r="B981" s="857"/>
      <c r="C981" s="857"/>
      <c r="D981" s="857"/>
    </row>
    <row r="982" spans="1:4" ht="12.75">
      <c r="A982" s="60"/>
      <c r="B982" s="857"/>
      <c r="C982" s="857"/>
      <c r="D982" s="857"/>
    </row>
    <row r="983" spans="1:4" ht="12.75">
      <c r="A983" s="60"/>
      <c r="B983" s="857"/>
      <c r="C983" s="857"/>
      <c r="D983" s="857"/>
    </row>
    <row r="984" spans="1:4" ht="12.75">
      <c r="A984" s="60"/>
      <c r="B984" s="857"/>
      <c r="C984" s="857"/>
      <c r="D984" s="857"/>
    </row>
    <row r="985" spans="1:4" ht="12.75">
      <c r="A985" s="60"/>
      <c r="B985" s="857"/>
      <c r="C985" s="857"/>
      <c r="D985" s="857"/>
    </row>
    <row r="986" spans="1:4" ht="12.75">
      <c r="A986" s="60"/>
      <c r="B986" s="857"/>
      <c r="C986" s="857"/>
      <c r="D986" s="857"/>
    </row>
    <row r="987" spans="1:4" ht="12.75">
      <c r="A987" s="60"/>
      <c r="B987" s="857"/>
      <c r="C987" s="857"/>
      <c r="D987" s="857"/>
    </row>
    <row r="988" spans="1:4" ht="12.75">
      <c r="A988" s="60"/>
      <c r="B988" s="857"/>
      <c r="C988" s="857"/>
      <c r="D988" s="857"/>
    </row>
    <row r="989" spans="1:4" ht="12.75">
      <c r="A989" s="60"/>
      <c r="B989" s="857"/>
      <c r="C989" s="857"/>
      <c r="D989" s="857"/>
    </row>
    <row r="990" spans="1:4" ht="12.75">
      <c r="A990" s="60"/>
      <c r="B990" s="857"/>
      <c r="C990" s="857"/>
      <c r="D990" s="857"/>
    </row>
    <row r="991" spans="1:4" ht="12.75">
      <c r="A991" s="60"/>
      <c r="B991" s="857"/>
      <c r="C991" s="857"/>
      <c r="D991" s="857"/>
    </row>
    <row r="992" spans="1:4" ht="12.75">
      <c r="A992" s="60"/>
      <c r="B992" s="857"/>
      <c r="C992" s="857"/>
      <c r="D992" s="857"/>
    </row>
    <row r="993" spans="1:4" ht="12.75">
      <c r="A993" s="60"/>
      <c r="B993" s="857"/>
      <c r="C993" s="857"/>
      <c r="D993" s="857"/>
    </row>
    <row r="994" spans="1:4" ht="12.75">
      <c r="A994" s="60"/>
      <c r="B994" s="857"/>
      <c r="C994" s="857"/>
      <c r="D994" s="857"/>
    </row>
    <row r="995" spans="1:4" ht="12.75">
      <c r="A995" s="60"/>
      <c r="B995" s="857"/>
      <c r="C995" s="857"/>
      <c r="D995" s="857"/>
    </row>
    <row r="996" spans="1:4" ht="12.75">
      <c r="A996" s="60"/>
      <c r="B996" s="857"/>
      <c r="C996" s="857"/>
      <c r="D996" s="857"/>
    </row>
    <row r="997" spans="1:4" ht="12.75">
      <c r="A997" s="60"/>
      <c r="B997" s="857"/>
      <c r="C997" s="857"/>
      <c r="D997" s="857"/>
    </row>
    <row r="998" spans="1:4" ht="12.75">
      <c r="A998" s="60"/>
      <c r="B998" s="857"/>
      <c r="C998" s="857"/>
      <c r="D998" s="857"/>
    </row>
    <row r="999" spans="1:4" ht="12.75">
      <c r="A999" s="60"/>
      <c r="B999" s="857"/>
      <c r="C999" s="857"/>
      <c r="D999" s="857"/>
    </row>
    <row r="1000" spans="1:4" ht="12.75">
      <c r="A1000" s="60"/>
      <c r="B1000" s="857"/>
      <c r="C1000" s="857"/>
      <c r="D1000" s="857"/>
    </row>
    <row r="1001" spans="1:4" ht="12.75">
      <c r="A1001" s="60"/>
      <c r="B1001" s="857"/>
      <c r="C1001" s="857"/>
      <c r="D1001" s="857"/>
    </row>
    <row r="1002" spans="1:4" ht="12.75">
      <c r="A1002" s="60"/>
      <c r="B1002" s="857"/>
      <c r="C1002" s="857"/>
      <c r="D1002" s="857"/>
    </row>
    <row r="1003" spans="1:4" ht="12.75">
      <c r="A1003" s="60"/>
      <c r="B1003" s="857"/>
      <c r="C1003" s="857"/>
      <c r="D1003" s="857"/>
    </row>
    <row r="1004" spans="1:4" ht="12.75">
      <c r="A1004" s="60"/>
      <c r="B1004" s="857"/>
      <c r="C1004" s="857"/>
      <c r="D1004" s="857"/>
    </row>
    <row r="1005" spans="1:4" ht="12.75">
      <c r="A1005" s="60"/>
      <c r="B1005" s="857"/>
      <c r="C1005" s="857"/>
      <c r="D1005" s="857"/>
    </row>
    <row r="1006" spans="1:4" ht="12.75">
      <c r="A1006" s="60"/>
      <c r="B1006" s="857"/>
      <c r="C1006" s="857"/>
      <c r="D1006" s="857"/>
    </row>
    <row r="1007" spans="1:4" ht="12.75">
      <c r="A1007" s="60"/>
      <c r="B1007" s="857"/>
      <c r="C1007" s="857"/>
      <c r="D1007" s="857"/>
    </row>
    <row r="1008" spans="1:4" ht="12.75">
      <c r="A1008" s="60"/>
      <c r="B1008" s="857"/>
      <c r="C1008" s="857"/>
      <c r="D1008" s="857"/>
    </row>
    <row r="1009" spans="1:4" ht="12.75">
      <c r="A1009" s="60"/>
      <c r="B1009" s="857"/>
      <c r="C1009" s="857"/>
      <c r="D1009" s="857"/>
    </row>
    <row r="1010" spans="1:4" ht="12.75">
      <c r="A1010" s="60"/>
      <c r="B1010" s="857"/>
      <c r="C1010" s="857"/>
      <c r="D1010" s="857"/>
    </row>
    <row r="1011" spans="1:4" ht="12.75">
      <c r="A1011" s="60"/>
      <c r="B1011" s="857"/>
      <c r="C1011" s="857"/>
      <c r="D1011" s="857"/>
    </row>
    <row r="1012" spans="1:4" ht="12.75">
      <c r="A1012" s="60"/>
      <c r="B1012" s="857"/>
      <c r="C1012" s="857"/>
      <c r="D1012" s="857"/>
    </row>
    <row r="1013" spans="1:4" ht="12.75">
      <c r="A1013" s="60"/>
      <c r="B1013" s="857"/>
      <c r="C1013" s="857"/>
      <c r="D1013" s="857"/>
    </row>
    <row r="1014" spans="1:4" ht="12.75">
      <c r="A1014" s="60"/>
      <c r="B1014" s="857"/>
      <c r="C1014" s="857"/>
      <c r="D1014" s="857"/>
    </row>
    <row r="1015" spans="1:4" ht="12.75">
      <c r="A1015" s="60"/>
      <c r="B1015" s="857"/>
      <c r="C1015" s="857"/>
      <c r="D1015" s="857"/>
    </row>
    <row r="1016" spans="1:4" ht="12.75">
      <c r="A1016" s="60"/>
      <c r="B1016" s="857"/>
      <c r="C1016" s="857"/>
      <c r="D1016" s="857"/>
    </row>
    <row r="1017" spans="1:4" ht="12.75">
      <c r="A1017" s="60"/>
      <c r="B1017" s="857"/>
      <c r="C1017" s="857"/>
      <c r="D1017" s="857"/>
    </row>
    <row r="1018" spans="1:4" ht="12.75">
      <c r="A1018" s="60"/>
      <c r="B1018" s="857"/>
      <c r="C1018" s="857"/>
      <c r="D1018" s="857"/>
    </row>
    <row r="1019" spans="1:4" ht="12.75">
      <c r="A1019" s="60"/>
      <c r="B1019" s="857"/>
      <c r="C1019" s="857"/>
      <c r="D1019" s="857"/>
    </row>
    <row r="1020" spans="1:4" ht="12.75">
      <c r="A1020" s="60"/>
      <c r="B1020" s="857"/>
      <c r="C1020" s="857"/>
      <c r="D1020" s="857"/>
    </row>
    <row r="1021" spans="1:4" ht="12.75">
      <c r="A1021" s="60"/>
      <c r="B1021" s="857"/>
      <c r="C1021" s="857"/>
      <c r="D1021" s="857"/>
    </row>
    <row r="1022" spans="1:4" ht="12.75">
      <c r="A1022" s="60"/>
      <c r="B1022" s="857"/>
      <c r="C1022" s="857"/>
      <c r="D1022" s="857"/>
    </row>
    <row r="1023" spans="1:4" ht="12.75">
      <c r="A1023" s="60"/>
      <c r="B1023" s="857"/>
      <c r="C1023" s="857"/>
      <c r="D1023" s="857"/>
    </row>
    <row r="1024" spans="1:4" ht="12.75">
      <c r="A1024" s="60"/>
      <c r="B1024" s="857"/>
      <c r="C1024" s="857"/>
      <c r="D1024" s="857"/>
    </row>
    <row r="1025" spans="1:4" ht="12.75">
      <c r="A1025" s="60"/>
      <c r="B1025" s="857"/>
      <c r="C1025" s="857"/>
      <c r="D1025" s="857"/>
    </row>
    <row r="1026" spans="1:4" ht="12.75">
      <c r="A1026" s="60"/>
      <c r="B1026" s="857"/>
      <c r="C1026" s="857"/>
      <c r="D1026" s="857"/>
    </row>
    <row r="1027" spans="1:4" ht="12.75">
      <c r="A1027" s="60"/>
      <c r="B1027" s="857"/>
      <c r="C1027" s="857"/>
      <c r="D1027" s="857"/>
    </row>
    <row r="1028" spans="1:4" ht="12.75">
      <c r="A1028" s="60"/>
      <c r="B1028" s="857"/>
      <c r="C1028" s="857"/>
      <c r="D1028" s="857"/>
    </row>
    <row r="1029" spans="1:4" ht="12.75">
      <c r="A1029" s="60"/>
      <c r="B1029" s="857"/>
      <c r="C1029" s="857"/>
      <c r="D1029" s="857"/>
    </row>
    <row r="1030" spans="1:4" ht="12.75">
      <c r="A1030" s="60"/>
      <c r="B1030" s="857"/>
      <c r="C1030" s="857"/>
      <c r="D1030" s="857"/>
    </row>
    <row r="1031" spans="1:4" ht="12.75">
      <c r="A1031" s="60"/>
      <c r="B1031" s="857"/>
      <c r="C1031" s="857"/>
      <c r="D1031" s="857"/>
    </row>
    <row r="1032" spans="1:4" ht="12.75">
      <c r="A1032" s="60"/>
      <c r="B1032" s="857"/>
      <c r="C1032" s="857"/>
      <c r="D1032" s="857"/>
    </row>
    <row r="1033" spans="1:4" ht="12.75">
      <c r="A1033" s="60"/>
      <c r="B1033" s="857"/>
      <c r="C1033" s="857"/>
      <c r="D1033" s="857"/>
    </row>
    <row r="1034" spans="1:4" ht="12.75">
      <c r="A1034" s="60"/>
      <c r="B1034" s="857"/>
      <c r="C1034" s="857"/>
      <c r="D1034" s="857"/>
    </row>
    <row r="1035" spans="1:4" ht="12.75">
      <c r="A1035" s="60"/>
      <c r="B1035" s="857"/>
      <c r="C1035" s="857"/>
      <c r="D1035" s="857"/>
    </row>
    <row r="1036" spans="1:4" ht="12.75">
      <c r="A1036" s="60"/>
      <c r="B1036" s="857"/>
      <c r="C1036" s="857"/>
      <c r="D1036" s="857"/>
    </row>
    <row r="1037" spans="1:4" ht="12.75">
      <c r="A1037" s="60"/>
      <c r="B1037" s="857"/>
      <c r="C1037" s="857"/>
      <c r="D1037" s="857"/>
    </row>
    <row r="1038" spans="1:4" ht="12.75">
      <c r="A1038" s="60"/>
      <c r="B1038" s="857"/>
      <c r="C1038" s="857"/>
      <c r="D1038" s="857"/>
    </row>
    <row r="1039" spans="1:4" ht="12.75">
      <c r="A1039" s="60"/>
      <c r="B1039" s="857"/>
      <c r="C1039" s="857"/>
      <c r="D1039" s="857"/>
    </row>
    <row r="1040" spans="1:4" ht="12.75">
      <c r="A1040" s="60"/>
      <c r="B1040" s="857"/>
      <c r="C1040" s="857"/>
      <c r="D1040" s="857"/>
    </row>
    <row r="1041" spans="1:4" ht="12.75">
      <c r="A1041" s="60"/>
      <c r="B1041" s="857"/>
      <c r="C1041" s="857"/>
      <c r="D1041" s="857"/>
    </row>
    <row r="1042" spans="1:4" ht="12.75">
      <c r="A1042" s="60"/>
      <c r="B1042" s="857"/>
      <c r="C1042" s="857"/>
      <c r="D1042" s="857"/>
    </row>
    <row r="1043" spans="1:4" ht="12.75">
      <c r="A1043" s="60"/>
      <c r="B1043" s="857"/>
      <c r="C1043" s="857"/>
      <c r="D1043" s="857"/>
    </row>
    <row r="1044" spans="1:4" ht="12.75">
      <c r="A1044" s="60"/>
      <c r="B1044" s="857"/>
      <c r="C1044" s="857"/>
      <c r="D1044" s="857"/>
    </row>
    <row r="1045" spans="1:4" ht="12.75">
      <c r="A1045" s="60"/>
      <c r="B1045" s="857"/>
      <c r="C1045" s="857"/>
      <c r="D1045" s="857"/>
    </row>
    <row r="1046" spans="1:4" ht="12.75">
      <c r="A1046" s="60"/>
      <c r="B1046" s="857"/>
      <c r="C1046" s="857"/>
      <c r="D1046" s="857"/>
    </row>
    <row r="1047" spans="1:4" ht="12.75">
      <c r="A1047" s="60"/>
      <c r="B1047" s="857"/>
      <c r="C1047" s="857"/>
      <c r="D1047" s="857"/>
    </row>
    <row r="1048" spans="1:4" ht="12.75">
      <c r="A1048" s="60"/>
      <c r="B1048" s="857"/>
      <c r="C1048" s="857"/>
      <c r="D1048" s="857"/>
    </row>
    <row r="1049" spans="1:4" ht="12.75">
      <c r="A1049" s="60"/>
      <c r="B1049" s="857"/>
      <c r="C1049" s="857"/>
      <c r="D1049" s="857"/>
    </row>
    <row r="1050" spans="1:4" ht="12.75">
      <c r="A1050" s="60"/>
      <c r="B1050" s="857"/>
      <c r="C1050" s="857"/>
      <c r="D1050" s="857"/>
    </row>
    <row r="1051" spans="1:4" ht="12.75">
      <c r="A1051" s="60"/>
      <c r="B1051" s="857"/>
      <c r="C1051" s="857"/>
      <c r="D1051" s="857"/>
    </row>
    <row r="1052" spans="1:4" ht="12.75">
      <c r="A1052" s="60"/>
      <c r="B1052" s="857"/>
      <c r="C1052" s="857"/>
      <c r="D1052" s="857"/>
    </row>
    <row r="1053" spans="1:4" ht="12.75">
      <c r="A1053" s="60"/>
      <c r="B1053" s="857"/>
      <c r="C1053" s="857"/>
      <c r="D1053" s="857"/>
    </row>
    <row r="1054" spans="1:4" ht="12.75">
      <c r="A1054" s="60"/>
      <c r="B1054" s="857"/>
      <c r="C1054" s="857"/>
      <c r="D1054" s="857"/>
    </row>
    <row r="1055" spans="1:4" ht="12.75">
      <c r="A1055" s="60"/>
      <c r="B1055" s="857"/>
      <c r="C1055" s="857"/>
      <c r="D1055" s="857"/>
    </row>
    <row r="1056" spans="1:4" ht="12.75">
      <c r="A1056" s="60"/>
      <c r="B1056" s="857"/>
      <c r="C1056" s="857"/>
      <c r="D1056" s="857"/>
    </row>
    <row r="1057" spans="1:4" ht="12.75">
      <c r="A1057" s="60"/>
      <c r="B1057" s="857"/>
      <c r="C1057" s="857"/>
      <c r="D1057" s="857"/>
    </row>
    <row r="1058" spans="1:4" ht="12.75">
      <c r="A1058" s="60"/>
      <c r="B1058" s="857"/>
      <c r="C1058" s="857"/>
      <c r="D1058" s="857"/>
    </row>
    <row r="1059" spans="1:4" ht="12.75">
      <c r="A1059" s="60"/>
      <c r="B1059" s="857"/>
      <c r="C1059" s="857"/>
      <c r="D1059" s="857"/>
    </row>
    <row r="1060" spans="1:4" ht="12.75">
      <c r="A1060" s="60"/>
      <c r="B1060" s="857"/>
      <c r="C1060" s="857"/>
      <c r="D1060" s="857"/>
    </row>
    <row r="1061" spans="1:4" ht="12.75">
      <c r="A1061" s="60"/>
      <c r="B1061" s="857"/>
      <c r="C1061" s="857"/>
      <c r="D1061" s="857"/>
    </row>
    <row r="1062" spans="1:4" ht="12.75">
      <c r="A1062" s="60"/>
      <c r="B1062" s="857"/>
      <c r="C1062" s="857"/>
      <c r="D1062" s="857"/>
    </row>
    <row r="1063" spans="1:4" ht="12.75">
      <c r="A1063" s="60"/>
      <c r="B1063" s="857"/>
      <c r="C1063" s="857"/>
      <c r="D1063" s="857"/>
    </row>
    <row r="1064" spans="1:4" ht="12.75">
      <c r="A1064" s="60"/>
      <c r="B1064" s="857"/>
      <c r="C1064" s="857"/>
      <c r="D1064" s="857"/>
    </row>
    <row r="1065" spans="1:4" ht="12.75">
      <c r="A1065" s="60"/>
      <c r="B1065" s="857"/>
      <c r="C1065" s="857"/>
      <c r="D1065" s="857"/>
    </row>
    <row r="1066" spans="1:4" ht="12.75">
      <c r="A1066" s="60"/>
      <c r="B1066" s="857"/>
      <c r="C1066" s="857"/>
      <c r="D1066" s="857"/>
    </row>
    <row r="1067" spans="1:4" ht="12.75">
      <c r="A1067" s="60"/>
      <c r="B1067" s="857"/>
      <c r="C1067" s="857"/>
      <c r="D1067" s="857"/>
    </row>
    <row r="1068" spans="1:4" ht="12.75">
      <c r="A1068" s="60"/>
      <c r="B1068" s="857"/>
      <c r="C1068" s="857"/>
      <c r="D1068" s="857"/>
    </row>
    <row r="1069" spans="1:4" ht="12.75">
      <c r="A1069" s="60"/>
      <c r="B1069" s="857"/>
      <c r="C1069" s="857"/>
      <c r="D1069" s="857"/>
    </row>
    <row r="1070" spans="1:4" ht="12.75">
      <c r="A1070" s="60"/>
      <c r="B1070" s="857"/>
      <c r="C1070" s="857"/>
      <c r="D1070" s="857"/>
    </row>
    <row r="1071" spans="1:4" ht="12.75">
      <c r="A1071" s="60"/>
      <c r="B1071" s="857"/>
      <c r="C1071" s="857"/>
      <c r="D1071" s="857"/>
    </row>
    <row r="1072" spans="1:4" ht="12.75">
      <c r="A1072" s="60"/>
      <c r="B1072" s="857"/>
      <c r="C1072" s="857"/>
      <c r="D1072" s="857"/>
    </row>
    <row r="1073" spans="1:4" ht="12.75">
      <c r="A1073" s="60"/>
      <c r="B1073" s="857"/>
      <c r="C1073" s="857"/>
      <c r="D1073" s="857"/>
    </row>
    <row r="1074" spans="1:4" ht="12.75">
      <c r="A1074" s="60"/>
      <c r="B1074" s="857"/>
      <c r="C1074" s="857"/>
      <c r="D1074" s="857"/>
    </row>
    <row r="1075" spans="1:4" ht="12.75">
      <c r="A1075" s="60"/>
      <c r="B1075" s="857"/>
      <c r="C1075" s="857"/>
      <c r="D1075" s="857"/>
    </row>
    <row r="1076" spans="1:4" ht="12.75">
      <c r="A1076" s="60"/>
      <c r="B1076" s="857"/>
      <c r="C1076" s="857"/>
      <c r="D1076" s="857"/>
    </row>
    <row r="1077" spans="1:4" ht="12.75">
      <c r="A1077" s="60"/>
      <c r="B1077" s="857"/>
      <c r="C1077" s="857"/>
      <c r="D1077" s="857"/>
    </row>
    <row r="1078" spans="1:4" ht="12.75">
      <c r="A1078" s="60"/>
      <c r="B1078" s="857"/>
      <c r="C1078" s="857"/>
      <c r="D1078" s="857"/>
    </row>
    <row r="1079" spans="1:4" ht="12.75">
      <c r="A1079" s="60"/>
      <c r="B1079" s="857"/>
      <c r="C1079" s="857"/>
      <c r="D1079" s="857"/>
    </row>
    <row r="1080" spans="1:4" ht="12.75">
      <c r="A1080" s="60"/>
      <c r="B1080" s="857"/>
      <c r="C1080" s="857"/>
      <c r="D1080" s="857"/>
    </row>
    <row r="1081" spans="1:4" ht="12.75">
      <c r="A1081" s="60"/>
      <c r="B1081" s="857"/>
      <c r="C1081" s="857"/>
      <c r="D1081" s="857"/>
    </row>
    <row r="1082" spans="1:4" ht="12.75">
      <c r="A1082" s="60"/>
      <c r="B1082" s="857"/>
      <c r="C1082" s="857"/>
      <c r="D1082" s="857"/>
    </row>
    <row r="1083" spans="1:4" ht="12.75">
      <c r="A1083" s="60"/>
      <c r="B1083" s="857"/>
      <c r="C1083" s="857"/>
      <c r="D1083" s="857"/>
    </row>
    <row r="1084" spans="1:4" ht="12.75">
      <c r="A1084" s="60"/>
      <c r="B1084" s="857"/>
      <c r="C1084" s="857"/>
      <c r="D1084" s="857"/>
    </row>
    <row r="1085" spans="1:4" ht="12.75">
      <c r="A1085" s="60"/>
      <c r="B1085" s="857"/>
      <c r="C1085" s="857"/>
      <c r="D1085" s="857"/>
    </row>
    <row r="1086" spans="1:4" ht="12.75">
      <c r="A1086" s="60"/>
      <c r="B1086" s="857"/>
      <c r="C1086" s="857"/>
      <c r="D1086" s="857"/>
    </row>
    <row r="1087" spans="1:4" ht="12.75">
      <c r="A1087" s="60"/>
      <c r="B1087" s="857"/>
      <c r="C1087" s="857"/>
      <c r="D1087" s="857"/>
    </row>
    <row r="1088" spans="1:4" ht="12.75">
      <c r="A1088" s="60"/>
      <c r="B1088" s="857"/>
      <c r="C1088" s="857"/>
      <c r="D1088" s="857"/>
    </row>
    <row r="1089" spans="1:4" ht="12.75">
      <c r="A1089" s="60"/>
      <c r="B1089" s="857"/>
      <c r="C1089" s="857"/>
      <c r="D1089" s="857"/>
    </row>
    <row r="1090" spans="1:4" ht="12.75">
      <c r="A1090" s="60"/>
      <c r="B1090" s="857"/>
      <c r="C1090" s="857"/>
      <c r="D1090" s="857"/>
    </row>
    <row r="1091" spans="1:4" ht="12.75">
      <c r="A1091" s="60"/>
      <c r="B1091" s="857"/>
      <c r="C1091" s="857"/>
      <c r="D1091" s="857"/>
    </row>
    <row r="1092" spans="1:4" ht="12.75">
      <c r="A1092" s="60"/>
      <c r="B1092" s="857"/>
      <c r="C1092" s="857"/>
      <c r="D1092" s="857"/>
    </row>
    <row r="1093" spans="1:4" ht="12.75">
      <c r="A1093" s="60"/>
      <c r="B1093" s="857"/>
      <c r="C1093" s="857"/>
      <c r="D1093" s="857"/>
    </row>
    <row r="1094" spans="1:4" ht="12.75">
      <c r="A1094" s="60"/>
      <c r="B1094" s="857"/>
      <c r="C1094" s="857"/>
      <c r="D1094" s="857"/>
    </row>
    <row r="1095" spans="1:4" ht="12.75">
      <c r="A1095" s="60"/>
      <c r="B1095" s="857"/>
      <c r="C1095" s="857"/>
      <c r="D1095" s="857"/>
    </row>
    <row r="1096" spans="1:4" ht="12.75">
      <c r="A1096" s="60"/>
      <c r="B1096" s="857"/>
      <c r="C1096" s="857"/>
      <c r="D1096" s="857"/>
    </row>
    <row r="1097" spans="1:4" ht="12.75">
      <c r="A1097" s="60"/>
      <c r="B1097" s="857"/>
      <c r="C1097" s="857"/>
      <c r="D1097" s="857"/>
    </row>
    <row r="1098" spans="1:4" ht="12.75">
      <c r="A1098" s="60"/>
      <c r="B1098" s="857"/>
      <c r="C1098" s="857"/>
      <c r="D1098" s="857"/>
    </row>
    <row r="1099" spans="1:4" ht="12.75">
      <c r="A1099" s="60"/>
      <c r="B1099" s="857"/>
      <c r="C1099" s="857"/>
      <c r="D1099" s="857"/>
    </row>
    <row r="1100" spans="1:4" ht="12.75">
      <c r="A1100" s="60"/>
      <c r="B1100" s="857"/>
      <c r="C1100" s="857"/>
      <c r="D1100" s="857"/>
    </row>
    <row r="1101" spans="1:4" ht="12.75">
      <c r="A1101" s="60"/>
      <c r="B1101" s="857"/>
      <c r="C1101" s="857"/>
      <c r="D1101" s="857"/>
    </row>
    <row r="1102" spans="1:4" ht="12.75">
      <c r="A1102" s="60"/>
      <c r="B1102" s="857"/>
      <c r="C1102" s="857"/>
      <c r="D1102" s="857"/>
    </row>
    <row r="1103" spans="1:4" ht="12.75">
      <c r="A1103" s="60"/>
      <c r="B1103" s="857"/>
      <c r="C1103" s="857"/>
      <c r="D1103" s="857"/>
    </row>
    <row r="1104" spans="1:4" ht="12.75">
      <c r="A1104" s="60"/>
      <c r="B1104" s="857"/>
      <c r="C1104" s="857"/>
      <c r="D1104" s="857"/>
    </row>
    <row r="1105" spans="1:4" ht="12.75">
      <c r="A1105" s="60"/>
      <c r="B1105" s="857"/>
      <c r="C1105" s="857"/>
      <c r="D1105" s="857"/>
    </row>
    <row r="1106" spans="1:4" ht="12.75">
      <c r="A1106" s="60"/>
      <c r="B1106" s="857"/>
      <c r="C1106" s="857"/>
      <c r="D1106" s="857"/>
    </row>
    <row r="1107" spans="1:4" ht="12.75">
      <c r="A1107" s="60"/>
      <c r="B1107" s="857"/>
      <c r="C1107" s="857"/>
      <c r="D1107" s="857"/>
    </row>
    <row r="1108" spans="1:4" ht="12.75">
      <c r="A1108" s="60"/>
      <c r="B1108" s="857"/>
      <c r="C1108" s="857"/>
      <c r="D1108" s="857"/>
    </row>
    <row r="1109" spans="1:4" ht="12.75">
      <c r="A1109" s="60"/>
      <c r="B1109" s="857"/>
      <c r="C1109" s="857"/>
      <c r="D1109" s="857"/>
    </row>
    <row r="1110" spans="1:4" ht="12.75">
      <c r="A1110" s="60"/>
      <c r="B1110" s="857"/>
      <c r="C1110" s="857"/>
      <c r="D1110" s="857"/>
    </row>
    <row r="1111" spans="1:4" ht="12.75">
      <c r="A1111" s="60"/>
      <c r="B1111" s="857"/>
      <c r="C1111" s="857"/>
      <c r="D1111" s="857"/>
    </row>
    <row r="1112" spans="1:4" ht="12.75">
      <c r="A1112" s="60"/>
      <c r="B1112" s="857"/>
      <c r="C1112" s="857"/>
      <c r="D1112" s="857"/>
    </row>
    <row r="1113" spans="1:4" ht="12.75">
      <c r="A1113" s="60"/>
      <c r="B1113" s="857"/>
      <c r="C1113" s="857"/>
      <c r="D1113" s="857"/>
    </row>
    <row r="1114" spans="1:4" ht="12.75">
      <c r="A1114" s="60"/>
      <c r="B1114" s="857"/>
      <c r="C1114" s="857"/>
      <c r="D1114" s="857"/>
    </row>
    <row r="1115" spans="1:4" ht="12.75">
      <c r="A1115" s="60"/>
      <c r="B1115" s="857"/>
      <c r="C1115" s="857"/>
      <c r="D1115" s="857"/>
    </row>
    <row r="1116" spans="1:4" ht="12.75">
      <c r="A1116" s="60"/>
      <c r="B1116" s="857"/>
      <c r="C1116" s="857"/>
      <c r="D1116" s="857"/>
    </row>
    <row r="1117" spans="1:4" ht="12.75">
      <c r="A1117" s="60"/>
      <c r="B1117" s="857"/>
      <c r="C1117" s="857"/>
      <c r="D1117" s="857"/>
    </row>
    <row r="1118" spans="1:4" ht="12.75">
      <c r="A1118" s="60"/>
      <c r="B1118" s="857"/>
      <c r="C1118" s="857"/>
      <c r="D1118" s="857"/>
    </row>
    <row r="1119" spans="1:4" ht="12.75">
      <c r="A1119" s="60"/>
      <c r="B1119" s="857"/>
      <c r="C1119" s="857"/>
      <c r="D1119" s="857"/>
    </row>
    <row r="1120" spans="1:4" ht="12.75">
      <c r="A1120" s="60"/>
      <c r="B1120" s="857"/>
      <c r="C1120" s="857"/>
      <c r="D1120" s="857"/>
    </row>
    <row r="1121" spans="1:4" ht="12.75">
      <c r="A1121" s="60"/>
      <c r="B1121" s="857"/>
      <c r="C1121" s="857"/>
      <c r="D1121" s="857"/>
    </row>
    <row r="1122" spans="1:4" ht="12.75">
      <c r="A1122" s="60"/>
      <c r="B1122" s="857"/>
      <c r="C1122" s="857"/>
      <c r="D1122" s="857"/>
    </row>
    <row r="1123" spans="1:4" ht="12.75">
      <c r="A1123" s="60"/>
      <c r="B1123" s="857"/>
      <c r="C1123" s="857"/>
      <c r="D1123" s="857"/>
    </row>
    <row r="1124" spans="1:4" ht="12.75">
      <c r="A1124" s="60"/>
      <c r="B1124" s="857"/>
      <c r="C1124" s="857"/>
      <c r="D1124" s="857"/>
    </row>
    <row r="1125" spans="1:4" ht="12.75">
      <c r="A1125" s="60"/>
      <c r="B1125" s="857"/>
      <c r="C1125" s="857"/>
      <c r="D1125" s="857"/>
    </row>
    <row r="1126" spans="1:4" ht="12.75">
      <c r="A1126" s="60"/>
      <c r="B1126" s="857"/>
      <c r="C1126" s="857"/>
      <c r="D1126" s="857"/>
    </row>
    <row r="1127" spans="1:4" ht="12.75">
      <c r="A1127" s="60"/>
      <c r="B1127" s="857"/>
      <c r="C1127" s="857"/>
      <c r="D1127" s="857"/>
    </row>
    <row r="1128" spans="1:4" ht="12.75">
      <c r="A1128" s="60"/>
      <c r="B1128" s="857"/>
      <c r="C1128" s="857"/>
      <c r="D1128" s="857"/>
    </row>
  </sheetData>
  <conditionalFormatting sqref="A2:D1127">
    <cfRule type="expression" dxfId="9" priority="1">
      <formula>ISODD(ROW())</formula>
    </cfRule>
  </conditionalFormatting>
  <conditionalFormatting sqref="A2:D1128">
    <cfRule type="expression" dxfId="8" priority="2">
      <formula>ISEVEN(ROW())</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775F-D8EC-4326-8A5B-67CCB0A1C3C9}">
  <sheetPr>
    <outlinePr summaryBelow="0" summaryRight="0"/>
  </sheetPr>
  <dimension ref="A3:H33"/>
  <sheetViews>
    <sheetView workbookViewId="0"/>
  </sheetViews>
  <sheetFormatPr defaultColWidth="12.5703125" defaultRowHeight="15.75" customHeight="1"/>
  <cols>
    <col min="1" max="16384" width="12.5703125" style="929"/>
  </cols>
  <sheetData>
    <row r="3" spans="1:8" ht="15.75" customHeight="1">
      <c r="A3" s="930" t="s">
        <v>1892</v>
      </c>
      <c r="E3" s="932" t="s">
        <v>1891</v>
      </c>
      <c r="G3" s="932" t="s">
        <v>1890</v>
      </c>
    </row>
    <row r="4" spans="1:8" ht="15.75" customHeight="1">
      <c r="G4" s="930" t="s">
        <v>1889</v>
      </c>
    </row>
    <row r="5" spans="1:8" ht="15.75" customHeight="1">
      <c r="G5" s="930" t="s">
        <v>1888</v>
      </c>
    </row>
    <row r="6" spans="1:8" ht="15.75" customHeight="1">
      <c r="G6" s="930" t="s">
        <v>1887</v>
      </c>
    </row>
    <row r="7" spans="1:8" ht="15.75" customHeight="1">
      <c r="A7" s="930" t="s">
        <v>1886</v>
      </c>
      <c r="G7" s="930" t="s">
        <v>1885</v>
      </c>
    </row>
    <row r="8" spans="1:8" ht="15.75" customHeight="1">
      <c r="G8" s="930" t="s">
        <v>1884</v>
      </c>
    </row>
    <row r="9" spans="1:8" ht="15.75" customHeight="1">
      <c r="G9" s="930" t="s">
        <v>1883</v>
      </c>
    </row>
    <row r="10" spans="1:8" ht="15.75" customHeight="1">
      <c r="G10" s="930" t="s">
        <v>1882</v>
      </c>
    </row>
    <row r="11" spans="1:8" ht="15.75" customHeight="1">
      <c r="A11" s="930" t="s">
        <v>1881</v>
      </c>
      <c r="H11" s="930" t="s">
        <v>1880</v>
      </c>
    </row>
    <row r="12" spans="1:8" ht="15.75" customHeight="1">
      <c r="A12" s="930" t="s">
        <v>1879</v>
      </c>
      <c r="G12" s="930" t="s">
        <v>1878</v>
      </c>
    </row>
    <row r="13" spans="1:8" ht="15.75" customHeight="1">
      <c r="A13" s="930" t="s">
        <v>1877</v>
      </c>
      <c r="G13" s="930" t="s">
        <v>1876</v>
      </c>
    </row>
    <row r="14" spans="1:8" ht="15.75" customHeight="1">
      <c r="B14" s="930" t="s">
        <v>1875</v>
      </c>
      <c r="G14" s="930" t="s">
        <v>1874</v>
      </c>
    </row>
    <row r="15" spans="1:8" ht="15.75" customHeight="1">
      <c r="A15" s="930" t="s">
        <v>1873</v>
      </c>
      <c r="G15" s="930" t="s">
        <v>1872</v>
      </c>
    </row>
    <row r="16" spans="1:8" ht="15.75" customHeight="1">
      <c r="G16" s="931" t="s">
        <v>1871</v>
      </c>
    </row>
    <row r="17" spans="1:8" ht="15.75" customHeight="1">
      <c r="A17" s="930" t="s">
        <v>1870</v>
      </c>
      <c r="F17" s="930" t="s">
        <v>1869</v>
      </c>
      <c r="H17" s="930" t="s">
        <v>1868</v>
      </c>
    </row>
    <row r="18" spans="1:8" ht="15.75" customHeight="1">
      <c r="G18" s="930" t="s">
        <v>1867</v>
      </c>
    </row>
    <row r="19" spans="1:8" ht="15.75" customHeight="1">
      <c r="A19" s="930" t="s">
        <v>1866</v>
      </c>
    </row>
    <row r="20" spans="1:8" ht="15.75" customHeight="1">
      <c r="A20" s="930" t="s">
        <v>1865</v>
      </c>
    </row>
    <row r="21" spans="1:8" ht="15.75" customHeight="1">
      <c r="A21" s="930" t="s">
        <v>1864</v>
      </c>
    </row>
    <row r="22" spans="1:8" ht="15.75" customHeight="1"/>
    <row r="23" spans="1:8" ht="15.75" customHeight="1">
      <c r="A23" s="930" t="s">
        <v>1863</v>
      </c>
    </row>
    <row r="24" spans="1:8" ht="12.75">
      <c r="A24" s="930" t="s">
        <v>1862</v>
      </c>
    </row>
    <row r="30" spans="1:8" ht="12.75">
      <c r="A30" s="930" t="s">
        <v>1861</v>
      </c>
    </row>
    <row r="31" spans="1:8" ht="12.75">
      <c r="A31" s="930" t="s">
        <v>1860</v>
      </c>
    </row>
    <row r="32" spans="1:8" ht="12.75">
      <c r="A32" s="930" t="s">
        <v>1859</v>
      </c>
    </row>
    <row r="33" spans="1:1" ht="12.75">
      <c r="A33" s="930" t="s">
        <v>1858</v>
      </c>
    </row>
  </sheetData>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223D0-6AE8-4860-9783-A80133755076}">
  <sheetPr>
    <outlinePr summaryBelow="0" summaryRight="0"/>
  </sheetPr>
  <dimension ref="A1:AE1004"/>
  <sheetViews>
    <sheetView workbookViewId="0"/>
  </sheetViews>
  <sheetFormatPr defaultColWidth="12.5703125" defaultRowHeight="15.75" customHeight="1"/>
  <cols>
    <col min="1" max="1" width="22" style="929" customWidth="1"/>
    <col min="2" max="2" width="15" style="929" customWidth="1"/>
    <col min="3" max="3" width="12.5703125" style="929"/>
    <col min="4" max="4" width="17.140625" style="929" customWidth="1"/>
    <col min="5" max="5" width="12.5703125" style="929"/>
    <col min="6" max="6" width="15.140625" style="929" customWidth="1"/>
    <col min="7" max="10" width="12.5703125" style="929"/>
    <col min="11" max="11" width="12.85546875" style="929" customWidth="1"/>
    <col min="12" max="16384" width="12.5703125" style="929"/>
  </cols>
  <sheetData>
    <row r="1" spans="1:31" ht="12.75">
      <c r="A1" s="933"/>
      <c r="B1" s="933"/>
      <c r="C1" s="933"/>
      <c r="D1" s="933"/>
      <c r="E1" s="933"/>
      <c r="F1" s="933"/>
      <c r="G1" s="933"/>
      <c r="H1" s="933"/>
      <c r="I1" s="933"/>
      <c r="J1" s="933"/>
      <c r="K1" s="933"/>
      <c r="L1" s="933"/>
      <c r="M1" s="933"/>
      <c r="N1" s="933"/>
      <c r="O1" s="933"/>
      <c r="P1" s="933"/>
      <c r="Q1" s="933"/>
      <c r="R1" s="933"/>
      <c r="S1" s="933"/>
      <c r="T1" s="933"/>
      <c r="U1" s="933"/>
      <c r="V1" s="933"/>
      <c r="W1" s="933"/>
      <c r="X1" s="933"/>
      <c r="Y1" s="933"/>
      <c r="Z1" s="933"/>
      <c r="AA1" s="933"/>
      <c r="AB1" s="933"/>
      <c r="AC1" s="933"/>
      <c r="AD1" s="933"/>
      <c r="AE1" s="933"/>
    </row>
    <row r="2" spans="1:31" ht="12.75">
      <c r="A2" s="933" t="s">
        <v>1954</v>
      </c>
      <c r="B2" s="945"/>
      <c r="C2" s="933"/>
      <c r="D2" s="933"/>
      <c r="E2" s="933"/>
      <c r="F2" s="933"/>
      <c r="G2" s="933"/>
      <c r="H2" s="933"/>
      <c r="I2" s="933"/>
      <c r="J2" s="933"/>
      <c r="K2" s="933"/>
      <c r="L2" s="933"/>
      <c r="M2" s="933"/>
      <c r="N2" s="933"/>
      <c r="O2" s="933"/>
      <c r="P2" s="933"/>
      <c r="Q2" s="933"/>
      <c r="R2" s="933"/>
      <c r="S2" s="933"/>
      <c r="T2" s="933"/>
      <c r="U2" s="933"/>
      <c r="V2" s="933"/>
      <c r="W2" s="933"/>
      <c r="X2" s="933"/>
      <c r="Y2" s="933"/>
      <c r="Z2" s="933"/>
      <c r="AA2" s="933"/>
      <c r="AB2" s="933"/>
      <c r="AC2" s="933"/>
      <c r="AD2" s="933"/>
      <c r="AE2" s="933"/>
    </row>
    <row r="3" spans="1:31" ht="12.75">
      <c r="A3" s="933"/>
      <c r="B3" s="933"/>
      <c r="C3" s="933"/>
      <c r="D3" s="933"/>
      <c r="E3" s="933"/>
      <c r="F3" s="933"/>
      <c r="G3" s="933"/>
      <c r="H3" s="933"/>
      <c r="I3" s="933"/>
      <c r="J3" s="933"/>
      <c r="K3" s="933"/>
      <c r="L3" s="933"/>
      <c r="M3" s="933"/>
      <c r="N3" s="933"/>
      <c r="O3" s="933"/>
      <c r="P3" s="933"/>
      <c r="Q3" s="933"/>
      <c r="R3" s="933"/>
      <c r="S3" s="933"/>
      <c r="T3" s="933"/>
      <c r="U3" s="933"/>
      <c r="V3" s="933"/>
      <c r="W3" s="933"/>
      <c r="X3" s="933"/>
      <c r="Y3" s="933"/>
      <c r="Z3" s="933"/>
      <c r="AA3" s="933"/>
      <c r="AB3" s="933"/>
      <c r="AC3" s="933"/>
      <c r="AD3" s="933"/>
      <c r="AE3" s="933"/>
    </row>
    <row r="4" spans="1:31" ht="12.75">
      <c r="A4" s="943" t="s">
        <v>1953</v>
      </c>
      <c r="B4" s="943" t="s">
        <v>1916</v>
      </c>
      <c r="C4" s="943" t="s">
        <v>1915</v>
      </c>
      <c r="D4" s="943" t="s">
        <v>1914</v>
      </c>
      <c r="E4" s="943" t="s">
        <v>1913</v>
      </c>
      <c r="F4" s="943" t="s">
        <v>1952</v>
      </c>
      <c r="G4" s="943" t="s">
        <v>1911</v>
      </c>
      <c r="H4" s="943" t="s">
        <v>1951</v>
      </c>
      <c r="I4" s="943" t="s">
        <v>1909</v>
      </c>
      <c r="J4" s="951" t="str">
        <f>HYPERLINK("http://i.ytimg.com/vi/7JUjq7TJshE/hqdefault.jpg","37mm NS-37")</f>
        <v>37mm NS-37</v>
      </c>
      <c r="K4" s="943" t="s">
        <v>1908</v>
      </c>
      <c r="L4" s="943" t="s">
        <v>1907</v>
      </c>
      <c r="M4" s="943" t="s">
        <v>1906</v>
      </c>
      <c r="N4" s="943" t="s">
        <v>1905</v>
      </c>
      <c r="O4" s="943" t="s">
        <v>1904</v>
      </c>
      <c r="P4" s="943" t="s">
        <v>1903</v>
      </c>
      <c r="Q4" s="943" t="s">
        <v>1902</v>
      </c>
      <c r="R4" s="942" t="s">
        <v>1950</v>
      </c>
      <c r="S4" s="943"/>
      <c r="T4" s="943"/>
      <c r="U4" s="943"/>
      <c r="V4" s="943"/>
      <c r="W4" s="943"/>
      <c r="X4" s="943"/>
      <c r="Y4" s="943"/>
      <c r="Z4" s="943"/>
      <c r="AA4" s="943"/>
      <c r="AB4" s="943"/>
      <c r="AC4" s="943"/>
      <c r="AD4" s="943"/>
      <c r="AE4" s="943"/>
    </row>
    <row r="5" spans="1:31" ht="14.25">
      <c r="A5" s="937" t="s">
        <v>1949</v>
      </c>
      <c r="B5" s="946" t="s">
        <v>1930</v>
      </c>
      <c r="C5" s="946" t="s">
        <v>1930</v>
      </c>
      <c r="D5" s="946" t="s">
        <v>1930</v>
      </c>
      <c r="E5" s="946" t="s">
        <v>1930</v>
      </c>
      <c r="F5" s="946" t="s">
        <v>1930</v>
      </c>
      <c r="G5" s="946" t="s">
        <v>1930</v>
      </c>
      <c r="H5" s="946" t="s">
        <v>1930</v>
      </c>
      <c r="I5" s="946" t="s">
        <v>1930</v>
      </c>
      <c r="J5" s="946" t="s">
        <v>1930</v>
      </c>
      <c r="K5" s="946" t="s">
        <v>1930</v>
      </c>
      <c r="L5" s="946">
        <v>1</v>
      </c>
      <c r="M5" s="946" t="s">
        <v>1930</v>
      </c>
      <c r="N5" s="946" t="s">
        <v>1930</v>
      </c>
      <c r="O5" s="934" t="s">
        <v>1893</v>
      </c>
      <c r="P5" s="946">
        <v>1</v>
      </c>
      <c r="Q5" s="946">
        <v>1</v>
      </c>
      <c r="R5" s="945" t="s">
        <v>1948</v>
      </c>
      <c r="S5" s="933"/>
      <c r="T5" s="933"/>
      <c r="U5" s="933"/>
      <c r="V5" s="933"/>
      <c r="W5" s="933"/>
      <c r="X5" s="933"/>
      <c r="Y5" s="933"/>
      <c r="Z5" s="933"/>
      <c r="AA5" s="933"/>
      <c r="AB5" s="933"/>
      <c r="AC5" s="933"/>
      <c r="AD5" s="933"/>
      <c r="AE5" s="933"/>
    </row>
    <row r="6" spans="1:31" ht="14.25">
      <c r="A6" s="937"/>
      <c r="B6" s="935"/>
      <c r="C6" s="935"/>
      <c r="D6" s="935"/>
      <c r="E6" s="935"/>
      <c r="F6" s="935"/>
      <c r="G6" s="935"/>
      <c r="H6" s="935"/>
      <c r="I6" s="935"/>
      <c r="J6" s="935"/>
      <c r="K6" s="935"/>
      <c r="L6" s="935"/>
      <c r="M6" s="935"/>
      <c r="N6" s="935"/>
      <c r="O6" s="935"/>
      <c r="P6" s="935"/>
      <c r="Q6" s="935"/>
      <c r="R6" s="933"/>
      <c r="S6" s="933" t="s">
        <v>1947</v>
      </c>
      <c r="T6" s="933"/>
      <c r="U6" s="933"/>
      <c r="V6" s="933"/>
      <c r="W6" s="933"/>
      <c r="X6" s="933"/>
      <c r="Y6" s="933"/>
      <c r="Z6" s="933"/>
      <c r="AA6" s="933"/>
      <c r="AB6" s="933"/>
      <c r="AC6" s="933"/>
      <c r="AD6" s="933"/>
      <c r="AE6" s="933"/>
    </row>
    <row r="7" spans="1:31" ht="14.25">
      <c r="A7" s="937" t="s">
        <v>1946</v>
      </c>
      <c r="B7" s="934" t="s">
        <v>1893</v>
      </c>
      <c r="C7" s="934" t="s">
        <v>1893</v>
      </c>
      <c r="D7" s="950" t="s">
        <v>1941</v>
      </c>
      <c r="E7" s="950" t="s">
        <v>1941</v>
      </c>
      <c r="F7" s="950" t="s">
        <v>1941</v>
      </c>
      <c r="G7" s="950" t="s">
        <v>1941</v>
      </c>
      <c r="H7" s="950" t="s">
        <v>1941</v>
      </c>
      <c r="I7" s="950" t="s">
        <v>1941</v>
      </c>
      <c r="J7" s="938">
        <v>2</v>
      </c>
      <c r="K7" s="946" t="s">
        <v>1930</v>
      </c>
      <c r="L7" s="938">
        <v>15</v>
      </c>
      <c r="M7" s="941">
        <v>2</v>
      </c>
      <c r="N7" s="941">
        <v>2</v>
      </c>
      <c r="O7" s="934" t="s">
        <v>1893</v>
      </c>
      <c r="P7" s="941">
        <v>1</v>
      </c>
      <c r="Q7" s="941">
        <v>1</v>
      </c>
      <c r="S7" s="933"/>
      <c r="T7" s="933"/>
      <c r="U7" s="933"/>
      <c r="V7" s="933"/>
      <c r="W7" s="933"/>
      <c r="X7" s="933"/>
      <c r="Y7" s="933"/>
      <c r="Z7" s="933"/>
      <c r="AA7" s="933"/>
      <c r="AB7" s="933"/>
      <c r="AC7" s="933"/>
      <c r="AD7" s="933"/>
      <c r="AE7" s="933"/>
    </row>
    <row r="8" spans="1:31" ht="14.25">
      <c r="A8" s="937"/>
      <c r="B8" s="935"/>
      <c r="C8" s="935"/>
      <c r="D8" s="935"/>
      <c r="E8" s="935"/>
      <c r="F8" s="935"/>
      <c r="G8" s="935"/>
      <c r="H8" s="935"/>
      <c r="I8" s="935"/>
      <c r="J8" s="935"/>
      <c r="K8" s="935"/>
      <c r="L8" s="934"/>
      <c r="M8" s="935"/>
      <c r="N8" s="935"/>
      <c r="O8" s="935"/>
      <c r="P8" s="935"/>
      <c r="Q8" s="935"/>
      <c r="R8" s="933"/>
      <c r="S8" s="933"/>
      <c r="T8" s="933"/>
      <c r="U8" s="933"/>
      <c r="V8" s="933"/>
      <c r="W8" s="933"/>
      <c r="X8" s="933"/>
      <c r="Y8" s="933"/>
      <c r="Z8" s="933"/>
      <c r="AA8" s="933"/>
      <c r="AB8" s="933"/>
      <c r="AC8" s="933"/>
      <c r="AD8" s="933"/>
      <c r="AE8" s="933"/>
    </row>
    <row r="9" spans="1:31" ht="14.25">
      <c r="A9" s="937" t="s">
        <v>1945</v>
      </c>
      <c r="B9" s="934" t="s">
        <v>1893</v>
      </c>
      <c r="C9" s="934" t="s">
        <v>1893</v>
      </c>
      <c r="D9" s="934" t="s">
        <v>1893</v>
      </c>
      <c r="E9" s="934" t="s">
        <v>1893</v>
      </c>
      <c r="F9" s="934" t="s">
        <v>1893</v>
      </c>
      <c r="G9" s="934" t="s">
        <v>1893</v>
      </c>
      <c r="H9" s="934" t="s">
        <v>1893</v>
      </c>
      <c r="I9" s="934" t="s">
        <v>1893</v>
      </c>
      <c r="J9" s="934" t="s">
        <v>1893</v>
      </c>
      <c r="K9" s="934" t="s">
        <v>1893</v>
      </c>
      <c r="L9" s="934" t="s">
        <v>1893</v>
      </c>
      <c r="M9" s="938">
        <v>14</v>
      </c>
      <c r="N9" s="941">
        <v>3</v>
      </c>
      <c r="O9" s="934" t="s">
        <v>1893</v>
      </c>
      <c r="P9" s="941">
        <v>1</v>
      </c>
      <c r="Q9" s="941">
        <v>1</v>
      </c>
      <c r="R9" s="933"/>
      <c r="S9" s="933"/>
      <c r="T9" s="933"/>
      <c r="U9" s="933"/>
      <c r="V9" s="933"/>
      <c r="W9" s="933"/>
      <c r="X9" s="933"/>
      <c r="Y9" s="933"/>
      <c r="Z9" s="933"/>
      <c r="AA9" s="933"/>
      <c r="AB9" s="933"/>
      <c r="AC9" s="933"/>
      <c r="AD9" s="933"/>
      <c r="AE9" s="933"/>
    </row>
    <row r="10" spans="1:31" ht="14.25">
      <c r="A10" s="937"/>
      <c r="B10" s="935"/>
      <c r="C10" s="935"/>
      <c r="D10" s="935"/>
      <c r="E10" s="935"/>
      <c r="F10" s="935"/>
      <c r="G10" s="935"/>
      <c r="H10" s="935"/>
      <c r="I10" s="935"/>
      <c r="J10" s="935"/>
      <c r="K10" s="935"/>
      <c r="L10" s="934"/>
      <c r="M10" s="935"/>
      <c r="N10" s="935"/>
      <c r="O10" s="935"/>
      <c r="P10" s="935"/>
      <c r="Q10" s="935"/>
      <c r="R10" s="933"/>
      <c r="S10" s="933"/>
      <c r="T10" s="933"/>
      <c r="U10" s="933"/>
      <c r="V10" s="933"/>
      <c r="W10" s="933"/>
      <c r="X10" s="933"/>
      <c r="Y10" s="933"/>
      <c r="Z10" s="933"/>
      <c r="AA10" s="933"/>
      <c r="AB10" s="933"/>
      <c r="AC10" s="933"/>
      <c r="AD10" s="933"/>
      <c r="AE10" s="933"/>
    </row>
    <row r="11" spans="1:31" ht="14.25">
      <c r="A11" s="937" t="s">
        <v>1944</v>
      </c>
      <c r="B11" s="946" t="s">
        <v>1930</v>
      </c>
      <c r="C11" s="946" t="s">
        <v>1930</v>
      </c>
      <c r="D11" s="946" t="s">
        <v>1930</v>
      </c>
      <c r="E11" s="946" t="s">
        <v>1930</v>
      </c>
      <c r="F11" s="946" t="s">
        <v>1930</v>
      </c>
      <c r="G11" s="946" t="s">
        <v>1930</v>
      </c>
      <c r="H11" s="946" t="s">
        <v>1930</v>
      </c>
      <c r="I11" s="946" t="s">
        <v>1930</v>
      </c>
      <c r="J11" s="946" t="s">
        <v>1930</v>
      </c>
      <c r="K11" s="946" t="s">
        <v>1930</v>
      </c>
      <c r="L11" s="946">
        <v>1</v>
      </c>
      <c r="M11" s="946" t="s">
        <v>1930</v>
      </c>
      <c r="N11" s="946" t="s">
        <v>1930</v>
      </c>
      <c r="O11" s="934" t="s">
        <v>1893</v>
      </c>
      <c r="P11" s="946">
        <v>1</v>
      </c>
      <c r="Q11" s="946">
        <v>1</v>
      </c>
      <c r="R11" s="933"/>
      <c r="S11" s="933"/>
      <c r="T11" s="933"/>
      <c r="U11" s="933"/>
      <c r="V11" s="933"/>
      <c r="W11" s="933"/>
      <c r="X11" s="933"/>
      <c r="Y11" s="933"/>
      <c r="Z11" s="933"/>
      <c r="AA11" s="933"/>
      <c r="AB11" s="933"/>
      <c r="AC11" s="933"/>
      <c r="AD11" s="933"/>
      <c r="AE11" s="933"/>
    </row>
    <row r="12" spans="1:31" ht="14.25">
      <c r="A12" s="937"/>
      <c r="B12" s="935"/>
      <c r="C12" s="935"/>
      <c r="D12" s="935"/>
      <c r="E12" s="935"/>
      <c r="F12" s="935"/>
      <c r="G12" s="935"/>
      <c r="H12" s="935"/>
      <c r="I12" s="935"/>
      <c r="J12" s="935"/>
      <c r="K12" s="935"/>
      <c r="L12" s="935"/>
      <c r="M12" s="935"/>
      <c r="N12" s="935"/>
      <c r="O12" s="935"/>
      <c r="P12" s="935"/>
      <c r="Q12" s="935"/>
      <c r="R12" s="933"/>
      <c r="S12" s="933"/>
      <c r="T12" s="933"/>
      <c r="U12" s="933"/>
      <c r="V12" s="933"/>
      <c r="W12" s="933"/>
      <c r="X12" s="933"/>
      <c r="Y12" s="933"/>
      <c r="Z12" s="933"/>
      <c r="AA12" s="933"/>
      <c r="AB12" s="933"/>
      <c r="AC12" s="933"/>
      <c r="AD12" s="933"/>
      <c r="AE12" s="933"/>
    </row>
    <row r="13" spans="1:31" ht="14.25">
      <c r="A13" s="937" t="s">
        <v>1943</v>
      </c>
      <c r="B13" s="934" t="s">
        <v>1893</v>
      </c>
      <c r="C13" s="934" t="s">
        <v>1893</v>
      </c>
      <c r="D13" s="946" t="s">
        <v>1930</v>
      </c>
      <c r="E13" s="946" t="s">
        <v>1930</v>
      </c>
      <c r="F13" s="946" t="s">
        <v>1930</v>
      </c>
      <c r="G13" s="946" t="s">
        <v>1930</v>
      </c>
      <c r="H13" s="946" t="s">
        <v>1930</v>
      </c>
      <c r="I13" s="946" t="s">
        <v>1930</v>
      </c>
      <c r="J13" s="938">
        <v>1</v>
      </c>
      <c r="K13" s="934" t="s">
        <v>1893</v>
      </c>
      <c r="L13" s="934" t="s">
        <v>1893</v>
      </c>
      <c r="M13" s="946">
        <v>1</v>
      </c>
      <c r="N13" s="946">
        <v>1</v>
      </c>
      <c r="O13" s="934" t="s">
        <v>1893</v>
      </c>
      <c r="P13" s="946">
        <v>1</v>
      </c>
      <c r="Q13" s="946">
        <v>1</v>
      </c>
      <c r="R13" s="933"/>
      <c r="S13" s="933"/>
      <c r="T13" s="933"/>
      <c r="U13" s="933"/>
      <c r="V13" s="933"/>
      <c r="W13" s="933"/>
      <c r="X13" s="933"/>
      <c r="Y13" s="933"/>
      <c r="Z13" s="933"/>
      <c r="AA13" s="933"/>
      <c r="AB13" s="933"/>
      <c r="AC13" s="933"/>
      <c r="AD13" s="933"/>
      <c r="AE13" s="933"/>
    </row>
    <row r="14" spans="1:31" ht="14.25">
      <c r="A14" s="937"/>
      <c r="B14" s="935"/>
      <c r="C14" s="935"/>
      <c r="D14" s="935"/>
      <c r="E14" s="935"/>
      <c r="F14" s="935"/>
      <c r="G14" s="935"/>
      <c r="H14" s="935"/>
      <c r="I14" s="935"/>
      <c r="J14" s="938"/>
      <c r="K14" s="938"/>
      <c r="L14" s="935"/>
      <c r="M14" s="946"/>
      <c r="N14" s="946"/>
      <c r="O14" s="935"/>
      <c r="P14" s="946"/>
      <c r="Q14" s="946"/>
      <c r="R14" s="933"/>
      <c r="S14" s="933"/>
      <c r="T14" s="933"/>
      <c r="U14" s="933"/>
      <c r="V14" s="933"/>
      <c r="W14" s="933"/>
      <c r="X14" s="933"/>
      <c r="Y14" s="933"/>
      <c r="Z14" s="933"/>
      <c r="AA14" s="933"/>
      <c r="AB14" s="933"/>
      <c r="AC14" s="933"/>
      <c r="AD14" s="933"/>
      <c r="AE14" s="933"/>
    </row>
    <row r="15" spans="1:31" ht="14.25">
      <c r="A15" s="937" t="s">
        <v>1942</v>
      </c>
      <c r="B15" s="934" t="s">
        <v>1893</v>
      </c>
      <c r="C15" s="934" t="s">
        <v>1893</v>
      </c>
      <c r="D15" s="950" t="s">
        <v>1941</v>
      </c>
      <c r="E15" s="950" t="s">
        <v>1941</v>
      </c>
      <c r="F15" s="950" t="s">
        <v>1941</v>
      </c>
      <c r="G15" s="949" t="s">
        <v>1941</v>
      </c>
      <c r="H15" s="949" t="s">
        <v>1893</v>
      </c>
      <c r="I15" s="949" t="s">
        <v>1893</v>
      </c>
      <c r="J15" s="938">
        <v>1</v>
      </c>
      <c r="K15" s="934" t="s">
        <v>1893</v>
      </c>
      <c r="L15" s="934" t="s">
        <v>1893</v>
      </c>
      <c r="M15" s="946">
        <v>1</v>
      </c>
      <c r="N15" s="946">
        <v>1</v>
      </c>
      <c r="O15" s="934" t="s">
        <v>1893</v>
      </c>
      <c r="P15" s="946">
        <v>1</v>
      </c>
      <c r="Q15" s="946">
        <v>1</v>
      </c>
      <c r="R15" s="933"/>
      <c r="S15" s="933"/>
      <c r="T15" s="933"/>
      <c r="U15" s="933"/>
      <c r="V15" s="933"/>
      <c r="W15" s="933"/>
      <c r="X15" s="933"/>
      <c r="Y15" s="933"/>
      <c r="Z15" s="933"/>
      <c r="AA15" s="933"/>
      <c r="AB15" s="933"/>
      <c r="AC15" s="933"/>
      <c r="AD15" s="933"/>
      <c r="AE15" s="933"/>
    </row>
    <row r="16" spans="1:31" ht="14.25">
      <c r="A16" s="937"/>
      <c r="B16" s="935"/>
      <c r="C16" s="935"/>
      <c r="D16" s="935"/>
      <c r="E16" s="935"/>
      <c r="F16" s="935"/>
      <c r="G16" s="935"/>
      <c r="H16" s="935"/>
      <c r="I16" s="935"/>
      <c r="J16" s="935"/>
      <c r="K16" s="935"/>
      <c r="L16" s="935"/>
      <c r="M16" s="935"/>
      <c r="N16" s="935"/>
      <c r="O16" s="935"/>
      <c r="P16" s="935"/>
      <c r="Q16" s="935"/>
      <c r="R16" s="933"/>
      <c r="S16" s="933"/>
      <c r="T16" s="933"/>
      <c r="U16" s="933"/>
      <c r="V16" s="933"/>
      <c r="W16" s="933"/>
      <c r="X16" s="933"/>
      <c r="Y16" s="933"/>
      <c r="Z16" s="933"/>
      <c r="AA16" s="933"/>
      <c r="AB16" s="933"/>
      <c r="AC16" s="933"/>
      <c r="AD16" s="933"/>
      <c r="AE16" s="933"/>
    </row>
    <row r="17" spans="1:31" ht="14.25">
      <c r="A17" s="937" t="s">
        <v>1940</v>
      </c>
      <c r="B17" s="934" t="s">
        <v>1893</v>
      </c>
      <c r="C17" s="934" t="s">
        <v>1893</v>
      </c>
      <c r="D17" s="934" t="s">
        <v>1893</v>
      </c>
      <c r="E17" s="934" t="s">
        <v>1893</v>
      </c>
      <c r="F17" s="934" t="s">
        <v>1893</v>
      </c>
      <c r="G17" s="934" t="s">
        <v>1893</v>
      </c>
      <c r="H17" s="934" t="s">
        <v>1893</v>
      </c>
      <c r="I17" s="934" t="s">
        <v>1893</v>
      </c>
      <c r="J17" s="934" t="s">
        <v>1939</v>
      </c>
      <c r="K17" s="934" t="s">
        <v>1893</v>
      </c>
      <c r="L17" s="934" t="s">
        <v>1893</v>
      </c>
      <c r="M17" s="938" t="s">
        <v>1938</v>
      </c>
      <c r="N17" s="941">
        <v>1</v>
      </c>
      <c r="O17" s="934" t="s">
        <v>1893</v>
      </c>
      <c r="P17" s="941">
        <v>1</v>
      </c>
      <c r="Q17" s="941">
        <v>1</v>
      </c>
      <c r="R17" s="933"/>
      <c r="S17" s="933"/>
      <c r="T17" s="933"/>
      <c r="U17" s="933"/>
      <c r="V17" s="933"/>
      <c r="W17" s="933"/>
      <c r="X17" s="933"/>
      <c r="Y17" s="933"/>
      <c r="Z17" s="933"/>
      <c r="AA17" s="933"/>
      <c r="AB17" s="933"/>
      <c r="AC17" s="933"/>
      <c r="AD17" s="933"/>
      <c r="AE17" s="933"/>
    </row>
    <row r="18" spans="1:31" ht="14.25">
      <c r="A18" s="937"/>
      <c r="B18" s="935"/>
      <c r="C18" s="935"/>
      <c r="D18" s="935"/>
      <c r="E18" s="935"/>
      <c r="F18" s="935"/>
      <c r="G18" s="935"/>
      <c r="H18" s="935"/>
      <c r="I18" s="935"/>
      <c r="J18" s="935"/>
      <c r="K18" s="935"/>
      <c r="L18" s="935"/>
      <c r="M18" s="935"/>
      <c r="N18" s="935"/>
      <c r="O18" s="935"/>
      <c r="P18" s="935"/>
      <c r="Q18" s="935"/>
      <c r="R18" s="933"/>
      <c r="S18" s="933"/>
      <c r="T18" s="933"/>
      <c r="U18" s="933"/>
      <c r="V18" s="933"/>
      <c r="W18" s="933"/>
      <c r="X18" s="933"/>
      <c r="Y18" s="933"/>
      <c r="Z18" s="933"/>
      <c r="AA18" s="933"/>
      <c r="AB18" s="933"/>
      <c r="AC18" s="933"/>
      <c r="AD18" s="933"/>
      <c r="AE18" s="933"/>
    </row>
    <row r="19" spans="1:31" ht="14.25">
      <c r="A19" s="937" t="s">
        <v>1937</v>
      </c>
      <c r="B19" s="934" t="s">
        <v>1893</v>
      </c>
      <c r="C19" s="934" t="s">
        <v>1893</v>
      </c>
      <c r="D19" s="934" t="s">
        <v>1893</v>
      </c>
      <c r="E19" s="934" t="s">
        <v>1893</v>
      </c>
      <c r="F19" s="934" t="s">
        <v>1893</v>
      </c>
      <c r="G19" s="934" t="s">
        <v>1893</v>
      </c>
      <c r="H19" s="934" t="s">
        <v>1893</v>
      </c>
      <c r="I19" s="934" t="s">
        <v>1893</v>
      </c>
      <c r="J19" s="934" t="s">
        <v>1893</v>
      </c>
      <c r="K19" s="934" t="s">
        <v>1893</v>
      </c>
      <c r="L19" s="934" t="s">
        <v>1893</v>
      </c>
      <c r="M19" s="938">
        <v>14</v>
      </c>
      <c r="N19" s="941">
        <v>2</v>
      </c>
      <c r="O19" s="934" t="s">
        <v>1893</v>
      </c>
      <c r="P19" s="941">
        <v>1</v>
      </c>
      <c r="Q19" s="941">
        <v>1</v>
      </c>
      <c r="R19" s="933"/>
      <c r="S19" s="933"/>
      <c r="T19" s="933"/>
      <c r="U19" s="933"/>
      <c r="V19" s="933"/>
      <c r="W19" s="933"/>
      <c r="X19" s="933"/>
      <c r="Y19" s="933"/>
      <c r="Z19" s="933"/>
      <c r="AA19" s="933"/>
      <c r="AB19" s="933"/>
      <c r="AC19" s="933"/>
      <c r="AD19" s="933"/>
      <c r="AE19" s="933"/>
    </row>
    <row r="20" spans="1:31" ht="14.25">
      <c r="A20" s="937"/>
      <c r="B20" s="933"/>
      <c r="C20" s="933"/>
      <c r="D20" s="933"/>
      <c r="E20" s="933"/>
      <c r="F20" s="933"/>
      <c r="G20" s="933"/>
      <c r="H20" s="933"/>
      <c r="I20" s="933"/>
      <c r="J20" s="933"/>
      <c r="K20" s="933"/>
      <c r="L20" s="933"/>
      <c r="M20" s="933"/>
      <c r="N20" s="933"/>
      <c r="O20" s="933"/>
      <c r="P20" s="933"/>
      <c r="Q20" s="933"/>
      <c r="R20" s="933"/>
      <c r="S20" s="933"/>
      <c r="T20" s="933"/>
      <c r="U20" s="933"/>
      <c r="V20" s="933"/>
      <c r="W20" s="933"/>
      <c r="X20" s="933"/>
      <c r="Y20" s="933"/>
      <c r="Z20" s="933"/>
      <c r="AA20" s="933"/>
      <c r="AB20" s="933"/>
      <c r="AC20" s="933"/>
      <c r="AD20" s="933"/>
      <c r="AE20" s="933"/>
    </row>
    <row r="21" spans="1:31" ht="14.25" customHeight="1">
      <c r="A21" s="948" t="s">
        <v>1936</v>
      </c>
      <c r="B21" s="943" t="s">
        <v>1916</v>
      </c>
      <c r="C21" s="943" t="s">
        <v>1915</v>
      </c>
      <c r="D21" s="943" t="s">
        <v>1914</v>
      </c>
      <c r="E21" s="943" t="s">
        <v>1913</v>
      </c>
      <c r="F21" s="943" t="s">
        <v>1912</v>
      </c>
      <c r="G21" s="943" t="s">
        <v>1911</v>
      </c>
      <c r="H21" s="943" t="s">
        <v>1910</v>
      </c>
      <c r="I21" s="943" t="s">
        <v>1909</v>
      </c>
      <c r="J21" s="943" t="str">
        <f>HYPERLINK("http://i.ytimg.com/vi/7JUjq7TJshE/hqdefault.jpg","37mm NS-37")</f>
        <v>37mm NS-37</v>
      </c>
      <c r="K21" s="943" t="s">
        <v>1908</v>
      </c>
      <c r="L21" s="943" t="s">
        <v>1907</v>
      </c>
      <c r="M21" s="943" t="s">
        <v>1906</v>
      </c>
      <c r="N21" s="943" t="s">
        <v>1905</v>
      </c>
      <c r="O21" s="943" t="s">
        <v>1904</v>
      </c>
      <c r="P21" s="943" t="s">
        <v>1903</v>
      </c>
      <c r="Q21" s="943" t="s">
        <v>1902</v>
      </c>
      <c r="R21" s="942"/>
      <c r="S21" s="942"/>
      <c r="T21" s="942"/>
      <c r="U21" s="942"/>
      <c r="V21" s="942"/>
      <c r="W21" s="942"/>
      <c r="X21" s="942"/>
      <c r="Y21" s="942"/>
      <c r="Z21" s="942"/>
      <c r="AA21" s="942"/>
      <c r="AB21" s="942"/>
      <c r="AC21" s="942"/>
      <c r="AD21" s="942"/>
      <c r="AE21" s="942"/>
    </row>
    <row r="22" spans="1:31" ht="12.75">
      <c r="A22" s="935"/>
      <c r="B22" s="935"/>
      <c r="C22" s="935"/>
      <c r="D22" s="935"/>
      <c r="E22" s="935"/>
      <c r="F22" s="935"/>
      <c r="G22" s="935"/>
      <c r="H22" s="935"/>
      <c r="I22" s="935"/>
      <c r="J22" s="935"/>
      <c r="K22" s="935"/>
      <c r="L22" s="935"/>
      <c r="M22" s="935"/>
      <c r="N22" s="935"/>
      <c r="O22" s="935"/>
      <c r="P22" s="935"/>
      <c r="Q22" s="933"/>
      <c r="R22" s="945" t="s">
        <v>1935</v>
      </c>
      <c r="S22" s="933"/>
      <c r="T22" s="933"/>
      <c r="U22" s="933"/>
      <c r="V22" s="933"/>
      <c r="W22" s="933"/>
      <c r="X22" s="933"/>
      <c r="Y22" s="933"/>
      <c r="Z22" s="933"/>
      <c r="AA22" s="933"/>
      <c r="AB22" s="933"/>
      <c r="AC22" s="933"/>
      <c r="AD22" s="933"/>
      <c r="AE22" s="933"/>
    </row>
    <row r="23" spans="1:31" ht="14.25">
      <c r="A23" s="937" t="s">
        <v>1934</v>
      </c>
      <c r="B23" s="946" t="s">
        <v>1930</v>
      </c>
      <c r="C23" s="946" t="s">
        <v>1930</v>
      </c>
      <c r="D23" s="946" t="s">
        <v>1930</v>
      </c>
      <c r="E23" s="946" t="s">
        <v>1930</v>
      </c>
      <c r="F23" s="946" t="s">
        <v>1930</v>
      </c>
      <c r="G23" s="946" t="s">
        <v>1930</v>
      </c>
      <c r="H23" s="946" t="s">
        <v>1930</v>
      </c>
      <c r="I23" s="946" t="s">
        <v>1930</v>
      </c>
      <c r="J23" s="946" t="s">
        <v>1930</v>
      </c>
      <c r="K23" s="946" t="s">
        <v>1930</v>
      </c>
      <c r="L23" s="946" t="s">
        <v>1930</v>
      </c>
      <c r="M23" s="947" t="s">
        <v>1930</v>
      </c>
      <c r="N23" s="947" t="s">
        <v>1930</v>
      </c>
      <c r="O23" s="947">
        <v>1</v>
      </c>
      <c r="P23" s="947">
        <v>1</v>
      </c>
      <c r="Q23" s="947">
        <v>1</v>
      </c>
      <c r="R23" s="930" t="s">
        <v>1933</v>
      </c>
      <c r="S23" s="933"/>
      <c r="T23" s="933"/>
      <c r="U23" s="933"/>
      <c r="V23" s="933"/>
      <c r="W23" s="933"/>
      <c r="X23" s="933"/>
      <c r="Y23" s="933"/>
      <c r="Z23" s="933"/>
      <c r="AA23" s="933"/>
      <c r="AB23" s="933"/>
      <c r="AC23" s="933"/>
      <c r="AD23" s="933"/>
      <c r="AE23" s="933"/>
    </row>
    <row r="24" spans="1:31" ht="14.25">
      <c r="A24" s="937"/>
      <c r="B24" s="935"/>
      <c r="C24" s="935"/>
      <c r="D24" s="935"/>
      <c r="E24" s="935"/>
      <c r="F24" s="935"/>
      <c r="G24" s="935"/>
      <c r="H24" s="935"/>
      <c r="I24" s="935"/>
      <c r="J24" s="935"/>
      <c r="K24" s="935"/>
      <c r="L24" s="935"/>
      <c r="M24" s="933"/>
      <c r="N24" s="933"/>
      <c r="O24" s="944"/>
      <c r="P24" s="944"/>
      <c r="Q24" s="944"/>
      <c r="R24" s="945" t="s">
        <v>1932</v>
      </c>
      <c r="S24" s="933"/>
      <c r="T24" s="933"/>
      <c r="U24" s="933"/>
      <c r="V24" s="933"/>
      <c r="W24" s="933"/>
      <c r="X24" s="933"/>
      <c r="Y24" s="933"/>
      <c r="Z24" s="933"/>
      <c r="AA24" s="933"/>
      <c r="AB24" s="933"/>
      <c r="AC24" s="933"/>
      <c r="AD24" s="933"/>
      <c r="AE24" s="933"/>
    </row>
    <row r="25" spans="1:31" ht="14.25">
      <c r="A25" s="937" t="s">
        <v>1931</v>
      </c>
      <c r="B25" s="946" t="s">
        <v>1930</v>
      </c>
      <c r="C25" s="946" t="s">
        <v>1930</v>
      </c>
      <c r="D25" s="946" t="s">
        <v>1930</v>
      </c>
      <c r="E25" s="946" t="s">
        <v>1930</v>
      </c>
      <c r="F25" s="946" t="s">
        <v>1930</v>
      </c>
      <c r="G25" s="946" t="s">
        <v>1930</v>
      </c>
      <c r="H25" s="946" t="s">
        <v>1930</v>
      </c>
      <c r="I25" s="946" t="s">
        <v>1930</v>
      </c>
      <c r="J25" s="946" t="s">
        <v>1930</v>
      </c>
      <c r="K25" s="946" t="s">
        <v>1930</v>
      </c>
      <c r="L25" s="946" t="s">
        <v>1930</v>
      </c>
      <c r="M25" s="946" t="s">
        <v>1930</v>
      </c>
      <c r="N25" s="946" t="s">
        <v>1930</v>
      </c>
      <c r="O25" s="946">
        <v>1</v>
      </c>
      <c r="P25" s="946">
        <v>1</v>
      </c>
      <c r="Q25" s="946">
        <v>1</v>
      </c>
      <c r="R25" s="945" t="s">
        <v>1929</v>
      </c>
      <c r="S25" s="933"/>
      <c r="T25" s="933"/>
      <c r="U25" s="933"/>
      <c r="V25" s="933"/>
      <c r="W25" s="933"/>
      <c r="X25" s="933"/>
      <c r="Y25" s="933"/>
      <c r="Z25" s="933"/>
      <c r="AA25" s="933"/>
      <c r="AB25" s="933"/>
      <c r="AC25" s="933"/>
      <c r="AD25" s="933"/>
      <c r="AE25" s="933"/>
    </row>
    <row r="26" spans="1:31" ht="14.25">
      <c r="A26" s="937"/>
      <c r="B26" s="935"/>
      <c r="C26" s="935"/>
      <c r="D26" s="935"/>
      <c r="E26" s="935"/>
      <c r="F26" s="935"/>
      <c r="G26" s="935"/>
      <c r="H26" s="935"/>
      <c r="I26" s="935"/>
      <c r="J26" s="935"/>
      <c r="K26" s="935"/>
      <c r="L26" s="935"/>
      <c r="M26" s="935"/>
      <c r="N26" s="935"/>
      <c r="O26" s="941"/>
      <c r="P26" s="941"/>
      <c r="Q26" s="941"/>
      <c r="R26" s="945" t="s">
        <v>1928</v>
      </c>
      <c r="S26" s="933"/>
      <c r="T26" s="933"/>
      <c r="U26" s="933"/>
      <c r="V26" s="933"/>
      <c r="W26" s="933"/>
      <c r="X26" s="933"/>
      <c r="Y26" s="933"/>
      <c r="Z26" s="933"/>
      <c r="AA26" s="933"/>
      <c r="AB26" s="933"/>
      <c r="AC26" s="933"/>
      <c r="AD26" s="933"/>
      <c r="AE26" s="933"/>
    </row>
    <row r="27" spans="1:31" ht="14.25">
      <c r="A27" s="937" t="s">
        <v>1927</v>
      </c>
      <c r="B27" s="934" t="s">
        <v>1893</v>
      </c>
      <c r="C27" s="934" t="s">
        <v>1893</v>
      </c>
      <c r="D27" s="934" t="s">
        <v>1893</v>
      </c>
      <c r="E27" s="934" t="s">
        <v>1893</v>
      </c>
      <c r="F27" s="934" t="s">
        <v>1893</v>
      </c>
      <c r="G27" s="934" t="s">
        <v>1893</v>
      </c>
      <c r="H27" s="934" t="s">
        <v>1893</v>
      </c>
      <c r="I27" s="934" t="s">
        <v>1893</v>
      </c>
      <c r="J27" s="934" t="s">
        <v>1893</v>
      </c>
      <c r="K27" s="934" t="s">
        <v>1893</v>
      </c>
      <c r="L27" s="934" t="s">
        <v>1893</v>
      </c>
      <c r="M27" s="941">
        <v>2</v>
      </c>
      <c r="N27" s="941">
        <v>1</v>
      </c>
      <c r="O27" s="941">
        <v>1</v>
      </c>
      <c r="P27" s="941">
        <v>1</v>
      </c>
      <c r="Q27" s="941">
        <v>1</v>
      </c>
      <c r="R27" s="945" t="s">
        <v>1926</v>
      </c>
      <c r="S27" s="933"/>
      <c r="T27" s="933"/>
      <c r="U27" s="933"/>
      <c r="V27" s="933"/>
      <c r="W27" s="933"/>
      <c r="X27" s="933"/>
      <c r="Y27" s="933"/>
      <c r="Z27" s="933"/>
      <c r="AA27" s="933"/>
      <c r="AB27" s="933"/>
      <c r="AC27" s="933"/>
      <c r="AD27" s="933"/>
      <c r="AE27" s="933"/>
    </row>
    <row r="28" spans="1:31" ht="14.25">
      <c r="A28" s="937"/>
      <c r="B28" s="935"/>
      <c r="C28" s="935"/>
      <c r="D28" s="935"/>
      <c r="E28" s="935"/>
      <c r="F28" s="935"/>
      <c r="G28" s="935"/>
      <c r="H28" s="935"/>
      <c r="I28" s="935"/>
      <c r="J28" s="935"/>
      <c r="K28" s="935"/>
      <c r="L28" s="935"/>
      <c r="M28" s="935"/>
      <c r="N28" s="935"/>
      <c r="O28" s="941"/>
      <c r="P28" s="941"/>
      <c r="Q28" s="941"/>
      <c r="R28" s="933"/>
      <c r="S28" s="933"/>
      <c r="T28" s="933"/>
      <c r="U28" s="933"/>
      <c r="V28" s="933"/>
      <c r="W28" s="933"/>
      <c r="X28" s="933"/>
      <c r="Y28" s="933"/>
      <c r="Z28" s="933"/>
      <c r="AA28" s="933"/>
      <c r="AB28" s="933"/>
      <c r="AC28" s="933"/>
      <c r="AD28" s="933"/>
      <c r="AE28" s="933"/>
    </row>
    <row r="29" spans="1:31" ht="14.25">
      <c r="A29" s="937" t="s">
        <v>1925</v>
      </c>
      <c r="B29" s="934" t="s">
        <v>1893</v>
      </c>
      <c r="C29" s="934" t="s">
        <v>1893</v>
      </c>
      <c r="D29" s="934" t="s">
        <v>1893</v>
      </c>
      <c r="E29" s="934" t="s">
        <v>1893</v>
      </c>
      <c r="F29" s="934" t="s">
        <v>1893</v>
      </c>
      <c r="G29" s="934" t="s">
        <v>1893</v>
      </c>
      <c r="H29" s="934" t="s">
        <v>1893</v>
      </c>
      <c r="I29" s="934" t="s">
        <v>1893</v>
      </c>
      <c r="J29" s="934" t="s">
        <v>1893</v>
      </c>
      <c r="K29" s="934" t="s">
        <v>1893</v>
      </c>
      <c r="L29" s="934" t="s">
        <v>1893</v>
      </c>
      <c r="M29" s="938">
        <v>16</v>
      </c>
      <c r="N29" s="941">
        <v>3</v>
      </c>
      <c r="O29" s="941">
        <v>1</v>
      </c>
      <c r="P29" s="941">
        <v>1</v>
      </c>
      <c r="Q29" s="941">
        <v>1</v>
      </c>
      <c r="R29" s="933"/>
      <c r="S29" s="933"/>
      <c r="T29" s="933"/>
      <c r="U29" s="933"/>
      <c r="V29" s="933"/>
      <c r="W29" s="933"/>
      <c r="X29" s="933"/>
      <c r="Y29" s="933"/>
      <c r="Z29" s="933"/>
      <c r="AA29" s="933"/>
      <c r="AB29" s="933"/>
      <c r="AC29" s="933"/>
      <c r="AD29" s="933"/>
      <c r="AE29" s="933"/>
    </row>
    <row r="30" spans="1:31" ht="14.25">
      <c r="A30" s="937"/>
      <c r="B30" s="935"/>
      <c r="C30" s="935"/>
      <c r="D30" s="935"/>
      <c r="E30" s="935"/>
      <c r="F30" s="935"/>
      <c r="G30" s="935"/>
      <c r="H30" s="935"/>
      <c r="I30" s="935"/>
      <c r="J30" s="935"/>
      <c r="K30" s="935"/>
      <c r="L30" s="935"/>
      <c r="M30" s="935"/>
      <c r="N30" s="941"/>
      <c r="O30" s="941"/>
      <c r="P30" s="941"/>
      <c r="Q30" s="941"/>
      <c r="R30" s="933"/>
      <c r="S30" s="933"/>
      <c r="T30" s="933"/>
      <c r="U30" s="933"/>
      <c r="V30" s="933"/>
      <c r="W30" s="933"/>
      <c r="X30" s="933"/>
      <c r="Y30" s="933"/>
      <c r="Z30" s="933"/>
      <c r="AA30" s="933"/>
      <c r="AB30" s="933"/>
      <c r="AC30" s="933"/>
      <c r="AD30" s="933"/>
      <c r="AE30" s="933"/>
    </row>
    <row r="31" spans="1:31" ht="14.25">
      <c r="A31" s="937" t="s">
        <v>1924</v>
      </c>
      <c r="B31" s="934" t="s">
        <v>1893</v>
      </c>
      <c r="C31" s="934" t="s">
        <v>1893</v>
      </c>
      <c r="D31" s="934" t="s">
        <v>1893</v>
      </c>
      <c r="E31" s="934" t="s">
        <v>1893</v>
      </c>
      <c r="F31" s="934" t="s">
        <v>1893</v>
      </c>
      <c r="G31" s="934" t="s">
        <v>1893</v>
      </c>
      <c r="H31" s="934" t="s">
        <v>1893</v>
      </c>
      <c r="I31" s="934" t="s">
        <v>1893</v>
      </c>
      <c r="J31" s="934" t="s">
        <v>1893</v>
      </c>
      <c r="K31" s="934" t="s">
        <v>1893</v>
      </c>
      <c r="L31" s="934" t="s">
        <v>1893</v>
      </c>
      <c r="M31" s="934" t="s">
        <v>1922</v>
      </c>
      <c r="N31" s="941">
        <v>5</v>
      </c>
      <c r="O31" s="941">
        <v>1</v>
      </c>
      <c r="P31" s="941">
        <v>1</v>
      </c>
      <c r="Q31" s="941">
        <v>1</v>
      </c>
      <c r="R31" s="933"/>
      <c r="S31" s="933"/>
      <c r="T31" s="933"/>
      <c r="U31" s="933"/>
      <c r="V31" s="933"/>
      <c r="W31" s="933"/>
      <c r="X31" s="933"/>
      <c r="Y31" s="933"/>
      <c r="Z31" s="933"/>
      <c r="AA31" s="933"/>
      <c r="AB31" s="933"/>
      <c r="AC31" s="933"/>
      <c r="AD31" s="933"/>
      <c r="AE31" s="933"/>
    </row>
    <row r="32" spans="1:31" ht="14.25">
      <c r="A32" s="937"/>
      <c r="B32" s="935"/>
      <c r="C32" s="935"/>
      <c r="D32" s="935"/>
      <c r="E32" s="935"/>
      <c r="F32" s="935"/>
      <c r="G32" s="935"/>
      <c r="H32" s="935"/>
      <c r="I32" s="935"/>
      <c r="J32" s="935"/>
      <c r="K32" s="935"/>
      <c r="L32" s="935"/>
      <c r="M32" s="935"/>
      <c r="N32" s="941"/>
      <c r="O32" s="941"/>
      <c r="P32" s="941"/>
      <c r="Q32" s="941"/>
      <c r="R32" s="933"/>
      <c r="S32" s="933"/>
      <c r="T32" s="933"/>
      <c r="U32" s="933"/>
      <c r="V32" s="933"/>
      <c r="W32" s="933"/>
      <c r="X32" s="933"/>
      <c r="Y32" s="933"/>
      <c r="Z32" s="933"/>
      <c r="AA32" s="933"/>
      <c r="AB32" s="933"/>
      <c r="AC32" s="933"/>
      <c r="AD32" s="933"/>
      <c r="AE32" s="933"/>
    </row>
    <row r="33" spans="1:31" ht="14.25">
      <c r="A33" s="937" t="s">
        <v>1923</v>
      </c>
      <c r="B33" s="934" t="s">
        <v>1893</v>
      </c>
      <c r="C33" s="934" t="s">
        <v>1893</v>
      </c>
      <c r="D33" s="934" t="s">
        <v>1893</v>
      </c>
      <c r="E33" s="934" t="s">
        <v>1893</v>
      </c>
      <c r="F33" s="934" t="s">
        <v>1893</v>
      </c>
      <c r="G33" s="934" t="s">
        <v>1893</v>
      </c>
      <c r="H33" s="934" t="s">
        <v>1893</v>
      </c>
      <c r="I33" s="934" t="s">
        <v>1893</v>
      </c>
      <c r="J33" s="934" t="s">
        <v>1893</v>
      </c>
      <c r="K33" s="934" t="s">
        <v>1893</v>
      </c>
      <c r="L33" s="934" t="s">
        <v>1893</v>
      </c>
      <c r="M33" s="934" t="s">
        <v>1922</v>
      </c>
      <c r="N33" s="941">
        <v>5</v>
      </c>
      <c r="O33" s="941">
        <v>1</v>
      </c>
      <c r="P33" s="941">
        <v>1</v>
      </c>
      <c r="Q33" s="941">
        <v>1</v>
      </c>
      <c r="R33" s="933"/>
      <c r="S33" s="933"/>
      <c r="T33" s="933"/>
      <c r="U33" s="933"/>
      <c r="V33" s="933"/>
      <c r="W33" s="933"/>
      <c r="X33" s="933"/>
      <c r="Y33" s="933"/>
      <c r="Z33" s="933"/>
      <c r="AA33" s="933"/>
      <c r="AB33" s="933"/>
      <c r="AC33" s="933"/>
      <c r="AD33" s="933"/>
      <c r="AE33" s="933"/>
    </row>
    <row r="34" spans="1:31" ht="14.25">
      <c r="A34" s="937"/>
      <c r="B34" s="935"/>
      <c r="C34" s="935"/>
      <c r="D34" s="935"/>
      <c r="E34" s="935"/>
      <c r="F34" s="935"/>
      <c r="G34" s="935"/>
      <c r="H34" s="935"/>
      <c r="I34" s="935"/>
      <c r="J34" s="935"/>
      <c r="K34" s="935"/>
      <c r="L34" s="935"/>
      <c r="M34" s="935"/>
      <c r="N34" s="935"/>
      <c r="O34" s="941"/>
      <c r="P34" s="941"/>
      <c r="Q34" s="935"/>
      <c r="R34" s="933"/>
      <c r="S34" s="933"/>
      <c r="T34" s="933"/>
      <c r="U34" s="933"/>
      <c r="V34" s="933"/>
      <c r="W34" s="933"/>
      <c r="X34" s="933"/>
      <c r="Y34" s="933"/>
      <c r="Z34" s="933"/>
      <c r="AA34" s="933"/>
      <c r="AB34" s="933"/>
      <c r="AC34" s="933"/>
      <c r="AD34" s="933"/>
      <c r="AE34" s="933"/>
    </row>
    <row r="35" spans="1:31" ht="14.25">
      <c r="A35" s="937" t="s">
        <v>1921</v>
      </c>
      <c r="B35" s="934" t="s">
        <v>1893</v>
      </c>
      <c r="C35" s="934" t="s">
        <v>1893</v>
      </c>
      <c r="D35" s="934" t="s">
        <v>1893</v>
      </c>
      <c r="E35" s="934" t="s">
        <v>1893</v>
      </c>
      <c r="F35" s="934" t="s">
        <v>1893</v>
      </c>
      <c r="G35" s="934" t="s">
        <v>1893</v>
      </c>
      <c r="H35" s="934" t="s">
        <v>1893</v>
      </c>
      <c r="I35" s="934" t="s">
        <v>1893</v>
      </c>
      <c r="J35" s="934" t="s">
        <v>1893</v>
      </c>
      <c r="K35" s="934" t="s">
        <v>1893</v>
      </c>
      <c r="L35" s="934" t="s">
        <v>1893</v>
      </c>
      <c r="M35" s="934" t="s">
        <v>1893</v>
      </c>
      <c r="N35" s="938">
        <v>34</v>
      </c>
      <c r="O35" s="941">
        <v>3</v>
      </c>
      <c r="P35" s="941">
        <v>2</v>
      </c>
      <c r="Q35" s="941">
        <v>1</v>
      </c>
      <c r="R35" s="933"/>
      <c r="S35" s="933"/>
      <c r="T35" s="933"/>
      <c r="U35" s="933"/>
      <c r="V35" s="933"/>
      <c r="W35" s="933"/>
      <c r="X35" s="933"/>
      <c r="Y35" s="933"/>
      <c r="Z35" s="933"/>
      <c r="AA35" s="933"/>
      <c r="AB35" s="933"/>
      <c r="AC35" s="933"/>
      <c r="AD35" s="933"/>
      <c r="AE35" s="933"/>
    </row>
    <row r="36" spans="1:31" ht="14.25">
      <c r="A36" s="937"/>
      <c r="B36" s="935"/>
      <c r="C36" s="935"/>
      <c r="D36" s="935"/>
      <c r="E36" s="935"/>
      <c r="F36" s="935"/>
      <c r="G36" s="935"/>
      <c r="H36" s="935"/>
      <c r="I36" s="935"/>
      <c r="J36" s="935"/>
      <c r="K36" s="935"/>
      <c r="L36" s="935"/>
      <c r="M36" s="935"/>
      <c r="N36" s="935"/>
      <c r="O36" s="941"/>
      <c r="P36" s="941"/>
      <c r="Q36" s="941"/>
      <c r="R36" s="933"/>
      <c r="S36" s="933"/>
      <c r="T36" s="933"/>
      <c r="U36" s="933"/>
      <c r="V36" s="933"/>
      <c r="W36" s="933"/>
      <c r="X36" s="933"/>
      <c r="Y36" s="933"/>
      <c r="Z36" s="933"/>
      <c r="AA36" s="933"/>
      <c r="AB36" s="933"/>
      <c r="AC36" s="933"/>
      <c r="AD36" s="933"/>
      <c r="AE36" s="933"/>
    </row>
    <row r="37" spans="1:31" ht="14.25">
      <c r="A37" s="937" t="s">
        <v>1920</v>
      </c>
      <c r="B37" s="934" t="s">
        <v>1893</v>
      </c>
      <c r="C37" s="934" t="s">
        <v>1893</v>
      </c>
      <c r="D37" s="934" t="s">
        <v>1893</v>
      </c>
      <c r="E37" s="934" t="s">
        <v>1893</v>
      </c>
      <c r="F37" s="934" t="s">
        <v>1893</v>
      </c>
      <c r="G37" s="934" t="s">
        <v>1893</v>
      </c>
      <c r="H37" s="934" t="s">
        <v>1893</v>
      </c>
      <c r="I37" s="934" t="s">
        <v>1893</v>
      </c>
      <c r="J37" s="934" t="s">
        <v>1893</v>
      </c>
      <c r="K37" s="934" t="s">
        <v>1893</v>
      </c>
      <c r="L37" s="934" t="s">
        <v>1893</v>
      </c>
      <c r="M37" s="934" t="s">
        <v>1919</v>
      </c>
      <c r="N37" s="938" t="s">
        <v>1918</v>
      </c>
      <c r="O37" s="941">
        <v>3</v>
      </c>
      <c r="P37" s="941">
        <v>2</v>
      </c>
      <c r="Q37" s="941">
        <v>1</v>
      </c>
      <c r="R37" s="933"/>
      <c r="S37" s="933"/>
      <c r="T37" s="933"/>
      <c r="U37" s="933"/>
      <c r="V37" s="933"/>
      <c r="W37" s="933"/>
      <c r="X37" s="933"/>
      <c r="Y37" s="933"/>
      <c r="Z37" s="933"/>
      <c r="AA37" s="933"/>
      <c r="AB37" s="933"/>
      <c r="AC37" s="933"/>
      <c r="AD37" s="933"/>
      <c r="AE37" s="933"/>
    </row>
    <row r="38" spans="1:31" ht="14.25">
      <c r="A38" s="937"/>
      <c r="B38" s="933"/>
      <c r="C38" s="933"/>
      <c r="D38" s="933"/>
      <c r="E38" s="933"/>
      <c r="F38" s="933"/>
      <c r="G38" s="933"/>
      <c r="H38" s="933"/>
      <c r="I38" s="933"/>
      <c r="J38" s="933"/>
      <c r="K38" s="933"/>
      <c r="L38" s="933"/>
      <c r="M38" s="933"/>
      <c r="N38" s="933"/>
      <c r="O38" s="933"/>
      <c r="P38" s="944"/>
      <c r="Q38" s="941"/>
      <c r="R38" s="933"/>
      <c r="S38" s="933"/>
      <c r="T38" s="933"/>
      <c r="U38" s="933"/>
      <c r="V38" s="933"/>
      <c r="W38" s="933"/>
      <c r="X38" s="933"/>
      <c r="Y38" s="933"/>
      <c r="Z38" s="933"/>
      <c r="AA38" s="933"/>
      <c r="AB38" s="933"/>
      <c r="AC38" s="933"/>
      <c r="AD38" s="933"/>
      <c r="AE38" s="933"/>
    </row>
    <row r="39" spans="1:31" ht="12.75">
      <c r="A39" s="943" t="s">
        <v>1917</v>
      </c>
      <c r="B39" s="943" t="s">
        <v>1916</v>
      </c>
      <c r="C39" s="943" t="s">
        <v>1915</v>
      </c>
      <c r="D39" s="943" t="s">
        <v>1914</v>
      </c>
      <c r="E39" s="943" t="s">
        <v>1913</v>
      </c>
      <c r="F39" s="943" t="s">
        <v>1912</v>
      </c>
      <c r="G39" s="943" t="s">
        <v>1911</v>
      </c>
      <c r="H39" s="943" t="s">
        <v>1910</v>
      </c>
      <c r="I39" s="943" t="s">
        <v>1909</v>
      </c>
      <c r="J39" s="943" t="str">
        <f>HYPERLINK("http://i.ytimg.com/vi/7JUjq7TJshE/hqdefault.jpg","37mm NS-37")</f>
        <v>37mm NS-37</v>
      </c>
      <c r="K39" s="943" t="s">
        <v>1908</v>
      </c>
      <c r="L39" s="943" t="s">
        <v>1907</v>
      </c>
      <c r="M39" s="943" t="s">
        <v>1906</v>
      </c>
      <c r="N39" s="943" t="s">
        <v>1905</v>
      </c>
      <c r="O39" s="943" t="s">
        <v>1904</v>
      </c>
      <c r="P39" s="943" t="s">
        <v>1903</v>
      </c>
      <c r="Q39" s="943" t="s">
        <v>1902</v>
      </c>
      <c r="R39" s="942"/>
      <c r="S39" s="942"/>
      <c r="T39" s="942"/>
      <c r="U39" s="942"/>
      <c r="V39" s="942"/>
      <c r="W39" s="942"/>
      <c r="X39" s="942"/>
      <c r="Y39" s="942"/>
      <c r="Z39" s="942"/>
      <c r="AA39" s="942"/>
      <c r="AB39" s="942"/>
      <c r="AC39" s="942"/>
      <c r="AD39" s="942"/>
      <c r="AE39" s="942"/>
    </row>
    <row r="40" spans="1:31" ht="14.25">
      <c r="A40" s="939"/>
      <c r="B40" s="933"/>
      <c r="C40" s="933"/>
      <c r="D40" s="933"/>
      <c r="E40" s="933"/>
      <c r="F40" s="933"/>
      <c r="G40" s="933"/>
      <c r="H40" s="933"/>
      <c r="I40" s="933"/>
      <c r="J40" s="933"/>
      <c r="K40" s="933"/>
      <c r="L40" s="933"/>
      <c r="M40" s="933"/>
      <c r="N40" s="933"/>
      <c r="O40" s="933"/>
      <c r="P40" s="933"/>
      <c r="Q40" s="933"/>
      <c r="R40" s="933"/>
      <c r="S40" s="933"/>
      <c r="T40" s="933"/>
      <c r="U40" s="933"/>
      <c r="V40" s="933"/>
      <c r="W40" s="933"/>
      <c r="X40" s="933"/>
      <c r="Y40" s="933"/>
      <c r="Z40" s="933"/>
      <c r="AA40" s="933"/>
      <c r="AB40" s="933"/>
      <c r="AC40" s="933"/>
      <c r="AD40" s="933"/>
      <c r="AE40" s="933"/>
    </row>
    <row r="41" spans="1:31" ht="14.25">
      <c r="A41" s="939" t="s">
        <v>1901</v>
      </c>
      <c r="B41" s="933"/>
      <c r="C41" s="933"/>
      <c r="D41" s="933"/>
      <c r="E41" s="933"/>
      <c r="F41" s="933"/>
      <c r="G41" s="933"/>
      <c r="H41" s="933"/>
      <c r="I41" s="933"/>
      <c r="J41" s="933"/>
      <c r="K41" s="933"/>
      <c r="L41" s="933"/>
      <c r="M41" s="933"/>
      <c r="N41" s="933"/>
      <c r="O41" s="933"/>
      <c r="P41" s="933"/>
      <c r="Q41" s="933"/>
      <c r="R41" s="933"/>
      <c r="S41" s="933"/>
      <c r="T41" s="933"/>
      <c r="U41" s="933"/>
      <c r="V41" s="933"/>
      <c r="W41" s="933"/>
      <c r="X41" s="933"/>
      <c r="Y41" s="933"/>
      <c r="Z41" s="933"/>
      <c r="AA41" s="933"/>
      <c r="AB41" s="933"/>
      <c r="AC41" s="933"/>
      <c r="AD41" s="933"/>
      <c r="AE41" s="933"/>
    </row>
    <row r="42" spans="1:31" ht="14.25">
      <c r="A42" s="940" t="s">
        <v>1897</v>
      </c>
      <c r="B42" s="934" t="s">
        <v>1893</v>
      </c>
      <c r="C42" s="934" t="s">
        <v>1893</v>
      </c>
      <c r="D42" s="934" t="s">
        <v>1893</v>
      </c>
      <c r="E42" s="934" t="s">
        <v>1893</v>
      </c>
      <c r="F42" s="934" t="s">
        <v>1893</v>
      </c>
      <c r="G42" s="934" t="s">
        <v>1893</v>
      </c>
      <c r="H42" s="934" t="s">
        <v>1893</v>
      </c>
      <c r="I42" s="934" t="s">
        <v>1893</v>
      </c>
      <c r="J42" s="934" t="s">
        <v>1893</v>
      </c>
      <c r="K42" s="934" t="s">
        <v>1893</v>
      </c>
      <c r="L42" s="934" t="s">
        <v>1893</v>
      </c>
      <c r="M42" s="933"/>
      <c r="N42" s="933"/>
      <c r="O42" s="934" t="s">
        <v>1893</v>
      </c>
      <c r="P42" s="934" t="s">
        <v>295</v>
      </c>
      <c r="Q42" s="934" t="s">
        <v>295</v>
      </c>
      <c r="R42" s="933"/>
      <c r="S42" s="933"/>
      <c r="T42" s="933"/>
      <c r="U42" s="933"/>
      <c r="V42" s="933"/>
      <c r="W42" s="933"/>
      <c r="X42" s="933"/>
      <c r="Y42" s="933"/>
      <c r="Z42" s="933"/>
      <c r="AA42" s="933"/>
      <c r="AB42" s="933"/>
      <c r="AC42" s="933"/>
      <c r="AD42" s="933"/>
      <c r="AE42" s="933"/>
    </row>
    <row r="43" spans="1:31" ht="14.25">
      <c r="A43" s="940"/>
      <c r="B43" s="935"/>
      <c r="C43" s="935"/>
      <c r="D43" s="935"/>
      <c r="E43" s="935"/>
      <c r="F43" s="935"/>
      <c r="G43" s="935"/>
      <c r="H43" s="935"/>
      <c r="I43" s="935"/>
      <c r="J43" s="935"/>
      <c r="K43" s="935"/>
      <c r="L43" s="935"/>
      <c r="M43" s="933"/>
      <c r="N43" s="933"/>
      <c r="O43" s="935"/>
      <c r="P43" s="935"/>
      <c r="Q43" s="933"/>
      <c r="R43" s="933"/>
      <c r="S43" s="933"/>
      <c r="T43" s="933"/>
      <c r="U43" s="933"/>
      <c r="V43" s="933"/>
      <c r="W43" s="933"/>
      <c r="X43" s="933"/>
      <c r="Y43" s="933"/>
      <c r="Z43" s="933"/>
      <c r="AA43" s="933"/>
      <c r="AB43" s="933"/>
      <c r="AC43" s="933"/>
      <c r="AD43" s="933"/>
      <c r="AE43" s="933"/>
    </row>
    <row r="44" spans="1:31" ht="14.25">
      <c r="A44" s="940" t="s">
        <v>1896</v>
      </c>
      <c r="B44" s="934" t="s">
        <v>1893</v>
      </c>
      <c r="C44" s="934" t="s">
        <v>1893</v>
      </c>
      <c r="D44" s="934" t="s">
        <v>1893</v>
      </c>
      <c r="E44" s="934" t="s">
        <v>1893</v>
      </c>
      <c r="F44" s="934" t="s">
        <v>1893</v>
      </c>
      <c r="G44" s="934" t="s">
        <v>1893</v>
      </c>
      <c r="H44" s="934" t="s">
        <v>1893</v>
      </c>
      <c r="I44" s="934" t="s">
        <v>1893</v>
      </c>
      <c r="J44" s="934" t="s">
        <v>1893</v>
      </c>
      <c r="K44" s="934" t="s">
        <v>1893</v>
      </c>
      <c r="L44" s="934" t="s">
        <v>1893</v>
      </c>
      <c r="M44" s="933"/>
      <c r="N44" s="933"/>
      <c r="O44" s="934" t="s">
        <v>1893</v>
      </c>
      <c r="P44" s="941">
        <v>3</v>
      </c>
      <c r="Q44" s="941">
        <v>2</v>
      </c>
      <c r="R44" s="933"/>
      <c r="S44" s="933"/>
      <c r="T44" s="933"/>
      <c r="U44" s="933"/>
      <c r="V44" s="933"/>
      <c r="W44" s="933"/>
      <c r="X44" s="933"/>
      <c r="Y44" s="933"/>
      <c r="Z44" s="933"/>
      <c r="AA44" s="933"/>
      <c r="AB44" s="933"/>
      <c r="AC44" s="933"/>
      <c r="AD44" s="933"/>
      <c r="AE44" s="933"/>
    </row>
    <row r="45" spans="1:31" ht="14.25">
      <c r="A45" s="940"/>
      <c r="B45" s="935"/>
      <c r="C45" s="935"/>
      <c r="D45" s="935"/>
      <c r="E45" s="935"/>
      <c r="F45" s="935"/>
      <c r="G45" s="935"/>
      <c r="H45" s="935"/>
      <c r="I45" s="935"/>
      <c r="J45" s="935"/>
      <c r="K45" s="935"/>
      <c r="L45" s="935"/>
      <c r="M45" s="933"/>
      <c r="N45" s="933"/>
      <c r="O45" s="935"/>
      <c r="P45" s="935"/>
      <c r="Q45" s="941"/>
      <c r="R45" s="933"/>
      <c r="S45" s="933"/>
      <c r="T45" s="933"/>
      <c r="U45" s="933"/>
      <c r="V45" s="933"/>
      <c r="W45" s="933"/>
      <c r="X45" s="933"/>
      <c r="Y45" s="933"/>
      <c r="Z45" s="933"/>
      <c r="AA45" s="933"/>
      <c r="AB45" s="933"/>
      <c r="AC45" s="933"/>
      <c r="AD45" s="933"/>
      <c r="AE45" s="933"/>
    </row>
    <row r="46" spans="1:31" ht="14.25">
      <c r="A46" s="940" t="s">
        <v>1900</v>
      </c>
      <c r="B46" s="934" t="s">
        <v>1893</v>
      </c>
      <c r="C46" s="934" t="s">
        <v>1893</v>
      </c>
      <c r="D46" s="934" t="s">
        <v>1893</v>
      </c>
      <c r="E46" s="934" t="s">
        <v>1893</v>
      </c>
      <c r="F46" s="934" t="s">
        <v>1893</v>
      </c>
      <c r="G46" s="934" t="s">
        <v>1893</v>
      </c>
      <c r="H46" s="934" t="s">
        <v>1893</v>
      </c>
      <c r="I46" s="934" t="s">
        <v>1893</v>
      </c>
      <c r="J46" s="934" t="s">
        <v>1893</v>
      </c>
      <c r="K46" s="934" t="s">
        <v>1893</v>
      </c>
      <c r="L46" s="934" t="s">
        <v>1893</v>
      </c>
      <c r="M46" s="933" t="s">
        <v>1899</v>
      </c>
      <c r="N46" s="933">
        <v>18</v>
      </c>
      <c r="O46" s="934" t="s">
        <v>1893</v>
      </c>
      <c r="P46" s="941">
        <v>1</v>
      </c>
      <c r="Q46" s="941">
        <v>1</v>
      </c>
      <c r="R46" s="933"/>
      <c r="S46" s="933"/>
      <c r="T46" s="933"/>
      <c r="U46" s="933"/>
      <c r="V46" s="933"/>
      <c r="W46" s="933"/>
      <c r="X46" s="933"/>
      <c r="Y46" s="933"/>
      <c r="Z46" s="933"/>
      <c r="AA46" s="933"/>
      <c r="AB46" s="933"/>
      <c r="AC46" s="933"/>
      <c r="AD46" s="933"/>
      <c r="AE46" s="933"/>
    </row>
    <row r="47" spans="1:31" ht="14.25">
      <c r="A47" s="940"/>
      <c r="B47" s="935"/>
      <c r="C47" s="935"/>
      <c r="D47" s="935"/>
      <c r="E47" s="935"/>
      <c r="F47" s="935"/>
      <c r="G47" s="935"/>
      <c r="H47" s="935"/>
      <c r="I47" s="935"/>
      <c r="J47" s="935"/>
      <c r="K47" s="935"/>
      <c r="L47" s="935"/>
      <c r="M47" s="933"/>
      <c r="N47" s="933"/>
      <c r="O47" s="935"/>
      <c r="P47" s="935"/>
      <c r="Q47" s="933"/>
      <c r="R47" s="933"/>
      <c r="S47" s="933"/>
      <c r="T47" s="933"/>
      <c r="U47" s="933"/>
      <c r="V47" s="933"/>
      <c r="W47" s="933"/>
      <c r="X47" s="933"/>
      <c r="Y47" s="933"/>
      <c r="Z47" s="933"/>
      <c r="AA47" s="933"/>
      <c r="AB47" s="933"/>
      <c r="AC47" s="933"/>
      <c r="AD47" s="933"/>
      <c r="AE47" s="933"/>
    </row>
    <row r="48" spans="1:31" ht="14.25">
      <c r="A48" s="939" t="s">
        <v>1898</v>
      </c>
      <c r="B48" s="935"/>
      <c r="C48" s="935"/>
      <c r="D48" s="935"/>
      <c r="E48" s="935"/>
      <c r="F48" s="935"/>
      <c r="G48" s="935"/>
      <c r="H48" s="935"/>
      <c r="I48" s="935"/>
      <c r="J48" s="935"/>
      <c r="K48" s="935"/>
      <c r="L48" s="935"/>
      <c r="M48" s="933"/>
      <c r="N48" s="933"/>
      <c r="O48" s="934"/>
      <c r="P48" s="934"/>
      <c r="Q48" s="933"/>
      <c r="R48" s="933"/>
      <c r="S48" s="933"/>
      <c r="T48" s="933"/>
      <c r="U48" s="933"/>
      <c r="V48" s="933"/>
      <c r="W48" s="933"/>
      <c r="X48" s="933"/>
      <c r="Y48" s="933"/>
      <c r="Z48" s="933"/>
      <c r="AA48" s="933"/>
      <c r="AB48" s="933"/>
      <c r="AC48" s="933"/>
      <c r="AD48" s="933"/>
      <c r="AE48" s="933"/>
    </row>
    <row r="49" spans="1:31" ht="14.25">
      <c r="A49" s="939"/>
      <c r="B49" s="935"/>
      <c r="C49" s="935"/>
      <c r="D49" s="935"/>
      <c r="E49" s="935"/>
      <c r="F49" s="935"/>
      <c r="G49" s="935"/>
      <c r="H49" s="935"/>
      <c r="I49" s="935"/>
      <c r="J49" s="935"/>
      <c r="K49" s="935"/>
      <c r="L49" s="935"/>
      <c r="M49" s="933"/>
      <c r="N49" s="933"/>
      <c r="O49" s="935"/>
      <c r="P49" s="935"/>
      <c r="Q49" s="933"/>
      <c r="R49" s="933"/>
      <c r="S49" s="933"/>
      <c r="T49" s="933"/>
      <c r="U49" s="933"/>
      <c r="V49" s="933"/>
      <c r="W49" s="933"/>
      <c r="X49" s="933"/>
      <c r="Y49" s="933"/>
      <c r="Z49" s="933"/>
      <c r="AA49" s="933"/>
      <c r="AB49" s="933"/>
      <c r="AC49" s="933"/>
      <c r="AD49" s="933"/>
      <c r="AE49" s="933"/>
    </row>
    <row r="50" spans="1:31" ht="14.25">
      <c r="A50" s="937" t="s">
        <v>1897</v>
      </c>
      <c r="B50" s="934" t="s">
        <v>1893</v>
      </c>
      <c r="C50" s="934" t="s">
        <v>1893</v>
      </c>
      <c r="D50" s="934" t="s">
        <v>1893</v>
      </c>
      <c r="E50" s="934" t="s">
        <v>1893</v>
      </c>
      <c r="F50" s="934" t="s">
        <v>1893</v>
      </c>
      <c r="G50" s="934" t="s">
        <v>1893</v>
      </c>
      <c r="H50" s="934" t="s">
        <v>1893</v>
      </c>
      <c r="I50" s="934" t="s">
        <v>1893</v>
      </c>
      <c r="J50" s="934" t="s">
        <v>1893</v>
      </c>
      <c r="K50" s="934" t="s">
        <v>1893</v>
      </c>
      <c r="L50" s="934" t="s">
        <v>1893</v>
      </c>
      <c r="M50" s="933"/>
      <c r="N50" s="933"/>
      <c r="O50" s="934" t="s">
        <v>1893</v>
      </c>
      <c r="P50" s="934" t="s">
        <v>295</v>
      </c>
      <c r="Q50" s="934" t="s">
        <v>295</v>
      </c>
      <c r="R50" s="933"/>
      <c r="S50" s="933"/>
      <c r="T50" s="933"/>
      <c r="U50" s="933"/>
      <c r="V50" s="933"/>
      <c r="W50" s="933"/>
      <c r="X50" s="933"/>
      <c r="Y50" s="933"/>
      <c r="Z50" s="933"/>
      <c r="AA50" s="933"/>
      <c r="AB50" s="933"/>
      <c r="AC50" s="933"/>
      <c r="AD50" s="933"/>
      <c r="AE50" s="933"/>
    </row>
    <row r="51" spans="1:31" ht="14.25">
      <c r="A51" s="937"/>
      <c r="B51" s="935"/>
      <c r="C51" s="935"/>
      <c r="D51" s="935"/>
      <c r="E51" s="935"/>
      <c r="F51" s="935"/>
      <c r="G51" s="935"/>
      <c r="H51" s="935"/>
      <c r="I51" s="935"/>
      <c r="J51" s="935"/>
      <c r="K51" s="935"/>
      <c r="L51" s="935"/>
      <c r="M51" s="933"/>
      <c r="N51" s="933"/>
      <c r="O51" s="935"/>
      <c r="P51" s="935"/>
      <c r="Q51" s="933"/>
      <c r="R51" s="933"/>
      <c r="S51" s="933"/>
      <c r="T51" s="933"/>
      <c r="U51" s="933"/>
      <c r="V51" s="933"/>
      <c r="W51" s="933"/>
      <c r="X51" s="933"/>
      <c r="Y51" s="933"/>
      <c r="Z51" s="933"/>
      <c r="AA51" s="933"/>
      <c r="AB51" s="933"/>
      <c r="AC51" s="933"/>
      <c r="AD51" s="933"/>
      <c r="AE51" s="933"/>
    </row>
    <row r="52" spans="1:31" ht="14.25">
      <c r="A52" s="937" t="s">
        <v>1896</v>
      </c>
      <c r="B52" s="934" t="s">
        <v>1893</v>
      </c>
      <c r="C52" s="934" t="s">
        <v>1893</v>
      </c>
      <c r="D52" s="934" t="s">
        <v>1893</v>
      </c>
      <c r="E52" s="934" t="s">
        <v>1893</v>
      </c>
      <c r="F52" s="934" t="s">
        <v>1893</v>
      </c>
      <c r="G52" s="934" t="s">
        <v>1893</v>
      </c>
      <c r="H52" s="934" t="s">
        <v>1893</v>
      </c>
      <c r="I52" s="934" t="s">
        <v>1893</v>
      </c>
      <c r="J52" s="934" t="s">
        <v>1893</v>
      </c>
      <c r="K52" s="934" t="s">
        <v>1893</v>
      </c>
      <c r="L52" s="934" t="s">
        <v>1893</v>
      </c>
      <c r="M52" s="933"/>
      <c r="N52" s="933"/>
      <c r="O52" s="934" t="s">
        <v>1893</v>
      </c>
      <c r="P52" s="938" t="s">
        <v>1895</v>
      </c>
      <c r="Q52" s="938" t="s">
        <v>1895</v>
      </c>
      <c r="R52" s="933"/>
      <c r="S52" s="933"/>
      <c r="T52" s="933"/>
      <c r="U52" s="933"/>
      <c r="V52" s="933"/>
      <c r="W52" s="933"/>
      <c r="X52" s="933"/>
      <c r="Y52" s="933"/>
      <c r="Z52" s="933"/>
      <c r="AA52" s="933"/>
      <c r="AB52" s="933"/>
      <c r="AC52" s="933"/>
      <c r="AD52" s="933"/>
      <c r="AE52" s="933"/>
    </row>
    <row r="53" spans="1:31" ht="14.25">
      <c r="A53" s="937"/>
      <c r="B53" s="935"/>
      <c r="C53" s="935"/>
      <c r="D53" s="935"/>
      <c r="E53" s="935"/>
      <c r="F53" s="935"/>
      <c r="G53" s="935"/>
      <c r="H53" s="935"/>
      <c r="I53" s="935"/>
      <c r="J53" s="935"/>
      <c r="K53" s="935"/>
      <c r="L53" s="935"/>
      <c r="M53" s="933"/>
      <c r="N53" s="933"/>
      <c r="O53" s="935"/>
      <c r="P53" s="935"/>
      <c r="R53" s="933"/>
      <c r="S53" s="933"/>
      <c r="T53" s="933"/>
      <c r="U53" s="933"/>
      <c r="V53" s="933"/>
      <c r="W53" s="933"/>
      <c r="X53" s="933"/>
      <c r="Y53" s="933"/>
      <c r="Z53" s="933"/>
      <c r="AA53" s="933"/>
      <c r="AB53" s="933"/>
      <c r="AC53" s="933"/>
      <c r="AD53" s="933"/>
      <c r="AE53" s="933"/>
    </row>
    <row r="54" spans="1:31" ht="14.25">
      <c r="A54" s="936" t="s">
        <v>1894</v>
      </c>
      <c r="B54" s="934" t="s">
        <v>1893</v>
      </c>
      <c r="C54" s="934" t="s">
        <v>1893</v>
      </c>
      <c r="D54" s="934" t="s">
        <v>1893</v>
      </c>
      <c r="E54" s="934" t="s">
        <v>1893</v>
      </c>
      <c r="F54" s="934" t="s">
        <v>1893</v>
      </c>
      <c r="G54" s="934" t="s">
        <v>1893</v>
      </c>
      <c r="H54" s="934" t="s">
        <v>1893</v>
      </c>
      <c r="I54" s="934" t="s">
        <v>1893</v>
      </c>
      <c r="J54" s="934" t="s">
        <v>1893</v>
      </c>
      <c r="K54" s="934" t="s">
        <v>1893</v>
      </c>
      <c r="L54" s="934" t="s">
        <v>1893</v>
      </c>
      <c r="M54" s="933"/>
      <c r="N54" s="933"/>
      <c r="O54" s="934" t="s">
        <v>1893</v>
      </c>
      <c r="P54" s="934" t="s">
        <v>1617</v>
      </c>
      <c r="Q54" s="934" t="s">
        <v>1617</v>
      </c>
      <c r="R54" s="933"/>
      <c r="S54" s="933"/>
      <c r="T54" s="933"/>
      <c r="U54" s="933"/>
      <c r="V54" s="933"/>
      <c r="W54" s="933"/>
      <c r="X54" s="933"/>
      <c r="Y54" s="933"/>
      <c r="Z54" s="933"/>
      <c r="AA54" s="933"/>
      <c r="AB54" s="933"/>
      <c r="AC54" s="933"/>
      <c r="AD54" s="933"/>
      <c r="AE54" s="933"/>
    </row>
    <row r="55" spans="1:31" ht="12.75">
      <c r="A55" s="933"/>
      <c r="B55" s="933"/>
      <c r="C55" s="933"/>
      <c r="D55" s="933"/>
      <c r="E55" s="933"/>
      <c r="F55" s="933"/>
      <c r="G55" s="933"/>
      <c r="H55" s="933"/>
      <c r="I55" s="933"/>
      <c r="J55" s="933"/>
      <c r="K55" s="933"/>
      <c r="L55" s="933"/>
      <c r="M55" s="933"/>
      <c r="N55" s="933"/>
      <c r="O55" s="935"/>
      <c r="P55" s="935"/>
      <c r="Q55" s="933"/>
      <c r="R55" s="933"/>
      <c r="S55" s="933"/>
      <c r="T55" s="933"/>
      <c r="U55" s="933"/>
      <c r="V55" s="933"/>
      <c r="W55" s="933"/>
      <c r="X55" s="933"/>
      <c r="Y55" s="933"/>
      <c r="Z55" s="933"/>
      <c r="AA55" s="933"/>
      <c r="AB55" s="933"/>
      <c r="AC55" s="933"/>
      <c r="AD55" s="933"/>
      <c r="AE55" s="933"/>
    </row>
    <row r="56" spans="1:31" ht="12.75">
      <c r="A56" s="933"/>
      <c r="C56" s="933"/>
      <c r="D56" s="933"/>
      <c r="E56" s="933"/>
      <c r="F56" s="933"/>
      <c r="G56" s="933"/>
      <c r="H56" s="933"/>
      <c r="I56" s="933"/>
      <c r="J56" s="933"/>
      <c r="K56" s="933"/>
      <c r="L56" s="933"/>
      <c r="M56" s="933"/>
      <c r="N56" s="933"/>
      <c r="O56" s="934"/>
      <c r="P56" s="934"/>
      <c r="Q56" s="933"/>
      <c r="R56" s="933"/>
      <c r="S56" s="933"/>
      <c r="T56" s="933"/>
      <c r="U56" s="933"/>
      <c r="V56" s="933"/>
      <c r="W56" s="933"/>
      <c r="X56" s="933"/>
      <c r="Y56" s="933"/>
      <c r="Z56" s="933"/>
      <c r="AA56" s="933"/>
      <c r="AB56" s="933"/>
      <c r="AC56" s="933"/>
      <c r="AD56" s="933"/>
      <c r="AE56" s="933"/>
    </row>
    <row r="57" spans="1:31" ht="12.75">
      <c r="A57" s="933"/>
      <c r="C57" s="933"/>
      <c r="D57" s="933"/>
      <c r="E57" s="933"/>
      <c r="F57" s="933"/>
      <c r="G57" s="933"/>
      <c r="H57" s="933"/>
      <c r="I57" s="933"/>
      <c r="J57" s="933"/>
      <c r="K57" s="933"/>
      <c r="L57" s="933"/>
      <c r="M57" s="933"/>
      <c r="N57" s="933"/>
      <c r="O57" s="933"/>
      <c r="P57" s="933"/>
      <c r="Q57" s="933"/>
      <c r="R57" s="933"/>
      <c r="S57" s="933"/>
      <c r="T57" s="933"/>
      <c r="U57" s="933"/>
      <c r="V57" s="933"/>
      <c r="W57" s="933"/>
      <c r="X57" s="933"/>
      <c r="Y57" s="933"/>
      <c r="Z57" s="933"/>
      <c r="AA57" s="933"/>
      <c r="AB57" s="933"/>
      <c r="AC57" s="933"/>
      <c r="AD57" s="933"/>
      <c r="AE57" s="933"/>
    </row>
    <row r="58" spans="1:31" ht="12.75">
      <c r="A58" s="933"/>
      <c r="B58" s="933"/>
      <c r="C58" s="933"/>
      <c r="D58" s="933"/>
      <c r="E58" s="933"/>
      <c r="F58" s="933"/>
      <c r="G58" s="933"/>
      <c r="H58" s="933"/>
      <c r="I58" s="933"/>
      <c r="J58" s="933"/>
      <c r="K58" s="933"/>
      <c r="L58" s="933"/>
      <c r="M58" s="933"/>
      <c r="N58" s="933"/>
      <c r="O58" s="933"/>
      <c r="P58" s="933"/>
      <c r="Q58" s="933"/>
      <c r="R58" s="933"/>
      <c r="S58" s="933"/>
      <c r="T58" s="933"/>
      <c r="U58" s="933"/>
      <c r="V58" s="933"/>
      <c r="W58" s="933"/>
      <c r="X58" s="933"/>
      <c r="Y58" s="933"/>
      <c r="Z58" s="933"/>
      <c r="AA58" s="933"/>
      <c r="AB58" s="933"/>
      <c r="AC58" s="933"/>
      <c r="AD58" s="933"/>
      <c r="AE58" s="933"/>
    </row>
    <row r="59" spans="1:31" ht="12.75">
      <c r="A59" s="933"/>
      <c r="B59" s="933"/>
      <c r="C59" s="933"/>
      <c r="D59" s="933"/>
      <c r="E59" s="933"/>
      <c r="F59" s="933"/>
      <c r="G59" s="933"/>
      <c r="H59" s="933"/>
      <c r="I59" s="933"/>
      <c r="J59" s="933"/>
      <c r="K59" s="933"/>
      <c r="L59" s="933"/>
      <c r="M59" s="933"/>
      <c r="N59" s="933"/>
      <c r="O59" s="933"/>
      <c r="P59" s="933"/>
      <c r="Q59" s="933"/>
      <c r="R59" s="933"/>
      <c r="S59" s="933"/>
      <c r="T59" s="933"/>
      <c r="U59" s="933"/>
      <c r="V59" s="933"/>
      <c r="W59" s="933"/>
      <c r="X59" s="933"/>
      <c r="Y59" s="933"/>
      <c r="Z59" s="933"/>
      <c r="AA59" s="933"/>
      <c r="AB59" s="933"/>
      <c r="AC59" s="933"/>
      <c r="AD59" s="933"/>
      <c r="AE59" s="933"/>
    </row>
    <row r="60" spans="1:31" ht="12.75">
      <c r="A60" s="933"/>
      <c r="B60" s="933"/>
      <c r="C60" s="933"/>
      <c r="D60" s="933"/>
      <c r="E60" s="933"/>
      <c r="F60" s="933"/>
      <c r="G60" s="933"/>
      <c r="H60" s="933"/>
      <c r="I60" s="933"/>
      <c r="J60" s="933"/>
      <c r="K60" s="933"/>
      <c r="L60" s="933"/>
      <c r="M60" s="933"/>
      <c r="N60" s="933"/>
      <c r="O60" s="933"/>
      <c r="P60" s="933"/>
      <c r="Q60" s="933"/>
      <c r="R60" s="933"/>
      <c r="S60" s="933"/>
      <c r="T60" s="933"/>
      <c r="U60" s="933"/>
      <c r="V60" s="933"/>
      <c r="W60" s="933"/>
      <c r="X60" s="933"/>
      <c r="Y60" s="933"/>
      <c r="Z60" s="933"/>
      <c r="AA60" s="933"/>
      <c r="AB60" s="933"/>
      <c r="AC60" s="933"/>
      <c r="AD60" s="933"/>
      <c r="AE60" s="933"/>
    </row>
    <row r="61" spans="1:31" ht="12.75">
      <c r="A61" s="933"/>
      <c r="B61" s="933"/>
      <c r="C61" s="933"/>
      <c r="D61" s="933"/>
      <c r="E61" s="933"/>
      <c r="F61" s="933"/>
      <c r="G61" s="933"/>
      <c r="H61" s="933"/>
      <c r="I61" s="933"/>
      <c r="J61" s="933"/>
      <c r="K61" s="933"/>
      <c r="L61" s="933"/>
      <c r="M61" s="933"/>
      <c r="N61" s="933"/>
      <c r="O61" s="933"/>
      <c r="P61" s="933"/>
      <c r="Q61" s="933"/>
      <c r="R61" s="933"/>
      <c r="S61" s="933"/>
      <c r="T61" s="933"/>
      <c r="U61" s="933"/>
      <c r="V61" s="933"/>
      <c r="W61" s="933"/>
      <c r="X61" s="933"/>
      <c r="Y61" s="933"/>
      <c r="Z61" s="933"/>
      <c r="AA61" s="933"/>
      <c r="AB61" s="933"/>
      <c r="AC61" s="933"/>
      <c r="AD61" s="933"/>
      <c r="AE61" s="933"/>
    </row>
    <row r="62" spans="1:31" ht="12.75">
      <c r="A62" s="933"/>
      <c r="B62" s="933"/>
      <c r="C62" s="933"/>
      <c r="D62" s="933"/>
      <c r="E62" s="933"/>
      <c r="F62" s="933"/>
      <c r="G62" s="933"/>
      <c r="H62" s="933"/>
      <c r="I62" s="933"/>
      <c r="J62" s="933"/>
      <c r="K62" s="933"/>
      <c r="L62" s="933"/>
      <c r="M62" s="933"/>
      <c r="N62" s="933"/>
      <c r="O62" s="933"/>
      <c r="P62" s="933"/>
      <c r="Q62" s="933"/>
      <c r="R62" s="933"/>
      <c r="S62" s="933"/>
      <c r="T62" s="933"/>
      <c r="U62" s="933"/>
      <c r="V62" s="933"/>
      <c r="W62" s="933"/>
      <c r="X62" s="933"/>
      <c r="Y62" s="933"/>
      <c r="Z62" s="933"/>
      <c r="AA62" s="933"/>
      <c r="AB62" s="933"/>
      <c r="AC62" s="933"/>
      <c r="AD62" s="933"/>
      <c r="AE62" s="933"/>
    </row>
    <row r="63" spans="1:31" ht="12.75">
      <c r="A63" s="933"/>
      <c r="B63" s="933"/>
      <c r="C63" s="933"/>
      <c r="D63" s="933"/>
      <c r="E63" s="933"/>
      <c r="F63" s="933"/>
      <c r="G63" s="933"/>
      <c r="H63" s="933"/>
      <c r="I63" s="933"/>
      <c r="J63" s="933"/>
      <c r="K63" s="933"/>
      <c r="L63" s="933"/>
      <c r="M63" s="933"/>
      <c r="N63" s="933"/>
      <c r="O63" s="933"/>
      <c r="P63" s="933"/>
      <c r="Q63" s="933"/>
      <c r="R63" s="933"/>
      <c r="S63" s="933"/>
      <c r="T63" s="933"/>
      <c r="U63" s="933"/>
      <c r="V63" s="933"/>
      <c r="W63" s="933"/>
      <c r="X63" s="933"/>
      <c r="Y63" s="933"/>
      <c r="Z63" s="933"/>
      <c r="AA63" s="933"/>
      <c r="AB63" s="933"/>
      <c r="AC63" s="933"/>
      <c r="AD63" s="933"/>
      <c r="AE63" s="933"/>
    </row>
    <row r="64" spans="1:31" ht="12.75">
      <c r="A64" s="933"/>
      <c r="B64" s="933"/>
      <c r="C64" s="933"/>
      <c r="D64" s="933"/>
      <c r="E64" s="933"/>
      <c r="F64" s="933"/>
      <c r="G64" s="933"/>
      <c r="H64" s="933"/>
      <c r="I64" s="933"/>
      <c r="J64" s="933"/>
      <c r="K64" s="933"/>
      <c r="L64" s="933"/>
      <c r="M64" s="933"/>
      <c r="N64" s="933"/>
      <c r="O64" s="933"/>
      <c r="P64" s="933"/>
      <c r="Q64" s="933"/>
      <c r="R64" s="933"/>
      <c r="S64" s="933"/>
      <c r="T64" s="933"/>
      <c r="U64" s="933"/>
      <c r="V64" s="933"/>
      <c r="W64" s="933"/>
      <c r="X64" s="933"/>
      <c r="Y64" s="933"/>
      <c r="Z64" s="933"/>
      <c r="AA64" s="933"/>
      <c r="AB64" s="933"/>
      <c r="AC64" s="933"/>
      <c r="AD64" s="933"/>
      <c r="AE64" s="933"/>
    </row>
    <row r="65" spans="1:31" ht="12.75">
      <c r="A65" s="933"/>
      <c r="B65" s="933"/>
      <c r="C65" s="933"/>
      <c r="D65" s="933"/>
      <c r="E65" s="933"/>
      <c r="F65" s="933"/>
      <c r="G65" s="933"/>
      <c r="H65" s="933"/>
      <c r="I65" s="933"/>
      <c r="J65" s="933"/>
      <c r="K65" s="933"/>
      <c r="L65" s="933"/>
      <c r="M65" s="933"/>
      <c r="N65" s="933"/>
      <c r="O65" s="933"/>
      <c r="P65" s="933"/>
      <c r="Q65" s="933"/>
      <c r="R65" s="933"/>
      <c r="S65" s="933"/>
      <c r="T65" s="933"/>
      <c r="U65" s="933"/>
      <c r="V65" s="933"/>
      <c r="W65" s="933"/>
      <c r="X65" s="933"/>
      <c r="Y65" s="933"/>
      <c r="Z65" s="933"/>
      <c r="AA65" s="933"/>
      <c r="AB65" s="933"/>
      <c r="AC65" s="933"/>
      <c r="AD65" s="933"/>
      <c r="AE65" s="933"/>
    </row>
    <row r="66" spans="1:31" ht="12.75">
      <c r="A66" s="933"/>
      <c r="B66" s="933"/>
      <c r="C66" s="933"/>
      <c r="D66" s="933"/>
      <c r="E66" s="933"/>
      <c r="F66" s="933"/>
      <c r="G66" s="933"/>
      <c r="H66" s="933"/>
      <c r="I66" s="933"/>
      <c r="J66" s="933"/>
      <c r="K66" s="933"/>
      <c r="L66" s="933"/>
      <c r="M66" s="933"/>
      <c r="N66" s="933"/>
      <c r="O66" s="933"/>
      <c r="P66" s="933"/>
      <c r="Q66" s="933"/>
      <c r="R66" s="933"/>
      <c r="S66" s="933"/>
      <c r="T66" s="933"/>
      <c r="U66" s="933"/>
      <c r="V66" s="933"/>
      <c r="W66" s="933"/>
      <c r="X66" s="933"/>
      <c r="Y66" s="933"/>
      <c r="Z66" s="933"/>
      <c r="AA66" s="933"/>
      <c r="AB66" s="933"/>
      <c r="AC66" s="933"/>
      <c r="AD66" s="933"/>
      <c r="AE66" s="933"/>
    </row>
    <row r="67" spans="1:31" ht="12.75">
      <c r="A67" s="933"/>
      <c r="B67" s="933"/>
      <c r="C67" s="933"/>
      <c r="D67" s="933"/>
      <c r="E67" s="933"/>
      <c r="F67" s="933"/>
      <c r="G67" s="933"/>
      <c r="H67" s="933"/>
      <c r="I67" s="933"/>
      <c r="J67" s="933"/>
      <c r="K67" s="933"/>
      <c r="L67" s="933"/>
      <c r="M67" s="933"/>
      <c r="N67" s="933"/>
      <c r="O67" s="933"/>
      <c r="P67" s="933"/>
      <c r="Q67" s="933"/>
      <c r="R67" s="933"/>
      <c r="S67" s="933"/>
      <c r="T67" s="933"/>
      <c r="U67" s="933"/>
      <c r="V67" s="933"/>
      <c r="W67" s="933"/>
      <c r="X67" s="933"/>
      <c r="Y67" s="933"/>
      <c r="Z67" s="933"/>
      <c r="AA67" s="933"/>
      <c r="AB67" s="933"/>
      <c r="AC67" s="933"/>
      <c r="AD67" s="933"/>
      <c r="AE67" s="933"/>
    </row>
    <row r="68" spans="1:31" ht="12.75">
      <c r="A68" s="933"/>
      <c r="B68" s="933"/>
      <c r="C68" s="933"/>
      <c r="D68" s="933"/>
      <c r="E68" s="933"/>
      <c r="F68" s="933"/>
      <c r="G68" s="933"/>
      <c r="H68" s="933"/>
      <c r="I68" s="933"/>
      <c r="J68" s="933"/>
      <c r="K68" s="933"/>
      <c r="L68" s="933"/>
      <c r="M68" s="933"/>
      <c r="N68" s="933"/>
      <c r="O68" s="933"/>
      <c r="P68" s="933"/>
      <c r="Q68" s="933"/>
      <c r="R68" s="933"/>
      <c r="S68" s="933"/>
      <c r="T68" s="933"/>
      <c r="U68" s="933"/>
      <c r="V68" s="933"/>
      <c r="W68" s="933"/>
      <c r="X68" s="933"/>
      <c r="Y68" s="933"/>
      <c r="Z68" s="933"/>
      <c r="AA68" s="933"/>
      <c r="AB68" s="933"/>
      <c r="AC68" s="933"/>
      <c r="AD68" s="933"/>
      <c r="AE68" s="933"/>
    </row>
    <row r="69" spans="1:31" ht="12.75">
      <c r="A69" s="933"/>
      <c r="B69" s="933"/>
      <c r="C69" s="933"/>
      <c r="D69" s="933"/>
      <c r="E69" s="933"/>
      <c r="F69" s="933"/>
      <c r="G69" s="933"/>
      <c r="H69" s="933"/>
      <c r="I69" s="933"/>
      <c r="J69" s="933"/>
      <c r="K69" s="933"/>
      <c r="L69" s="933"/>
      <c r="M69" s="933"/>
      <c r="N69" s="933"/>
      <c r="O69" s="933"/>
      <c r="P69" s="933"/>
      <c r="Q69" s="933"/>
      <c r="R69" s="933"/>
      <c r="S69" s="933"/>
      <c r="T69" s="933"/>
      <c r="U69" s="933"/>
      <c r="V69" s="933"/>
      <c r="W69" s="933"/>
      <c r="X69" s="933"/>
      <c r="Y69" s="933"/>
      <c r="Z69" s="933"/>
      <c r="AA69" s="933"/>
      <c r="AB69" s="933"/>
      <c r="AC69" s="933"/>
      <c r="AD69" s="933"/>
      <c r="AE69" s="933"/>
    </row>
    <row r="70" spans="1:31" ht="12.75">
      <c r="A70" s="933"/>
      <c r="B70" s="933"/>
      <c r="C70" s="933"/>
      <c r="D70" s="933"/>
      <c r="E70" s="933"/>
      <c r="F70" s="933"/>
      <c r="G70" s="933"/>
      <c r="H70" s="933"/>
      <c r="I70" s="933"/>
      <c r="J70" s="933"/>
      <c r="K70" s="933"/>
      <c r="L70" s="933"/>
      <c r="M70" s="933"/>
      <c r="N70" s="933"/>
      <c r="O70" s="933"/>
      <c r="P70" s="933"/>
      <c r="Q70" s="933"/>
      <c r="R70" s="933"/>
      <c r="S70" s="933"/>
      <c r="T70" s="933"/>
      <c r="U70" s="933"/>
      <c r="V70" s="933"/>
      <c r="W70" s="933"/>
      <c r="X70" s="933"/>
      <c r="Y70" s="933"/>
      <c r="Z70" s="933"/>
      <c r="AA70" s="933"/>
      <c r="AB70" s="933"/>
      <c r="AC70" s="933"/>
      <c r="AD70" s="933"/>
      <c r="AE70" s="933"/>
    </row>
    <row r="71" spans="1:31" ht="12.75">
      <c r="A71" s="933"/>
      <c r="B71" s="933"/>
      <c r="C71" s="933"/>
      <c r="D71" s="933"/>
      <c r="E71" s="933"/>
      <c r="F71" s="933"/>
      <c r="G71" s="933"/>
      <c r="H71" s="933"/>
      <c r="I71" s="933"/>
      <c r="J71" s="933"/>
      <c r="K71" s="933"/>
      <c r="L71" s="933"/>
      <c r="M71" s="933"/>
      <c r="N71" s="933"/>
      <c r="O71" s="933"/>
      <c r="P71" s="933"/>
      <c r="Q71" s="933"/>
      <c r="R71" s="933"/>
      <c r="S71" s="933"/>
      <c r="T71" s="933"/>
      <c r="U71" s="933"/>
      <c r="V71" s="933"/>
      <c r="W71" s="933"/>
      <c r="X71" s="933"/>
      <c r="Y71" s="933"/>
      <c r="Z71" s="933"/>
      <c r="AA71" s="933"/>
      <c r="AB71" s="933"/>
      <c r="AC71" s="933"/>
      <c r="AD71" s="933"/>
      <c r="AE71" s="933"/>
    </row>
    <row r="72" spans="1:31" ht="12.75">
      <c r="A72" s="933"/>
      <c r="B72" s="933"/>
      <c r="C72" s="933"/>
      <c r="D72" s="933"/>
      <c r="E72" s="933"/>
      <c r="F72" s="933"/>
      <c r="G72" s="933"/>
      <c r="H72" s="933"/>
      <c r="I72" s="933"/>
      <c r="J72" s="933"/>
      <c r="K72" s="933"/>
      <c r="L72" s="933"/>
      <c r="M72" s="933"/>
      <c r="N72" s="933"/>
      <c r="O72" s="933"/>
      <c r="P72" s="933"/>
      <c r="Q72" s="933"/>
      <c r="R72" s="933"/>
      <c r="S72" s="933"/>
      <c r="T72" s="933"/>
      <c r="U72" s="933"/>
      <c r="V72" s="933"/>
      <c r="W72" s="933"/>
      <c r="X72" s="933"/>
      <c r="Y72" s="933"/>
      <c r="Z72" s="933"/>
      <c r="AA72" s="933"/>
      <c r="AB72" s="933"/>
      <c r="AC72" s="933"/>
      <c r="AD72" s="933"/>
      <c r="AE72" s="933"/>
    </row>
    <row r="73" spans="1:31" ht="12.75">
      <c r="A73" s="933"/>
      <c r="B73" s="933"/>
      <c r="C73" s="933"/>
      <c r="D73" s="933"/>
      <c r="E73" s="933"/>
      <c r="F73" s="933"/>
      <c r="G73" s="933"/>
      <c r="H73" s="933"/>
      <c r="I73" s="933"/>
      <c r="J73" s="933"/>
      <c r="K73" s="933"/>
      <c r="L73" s="933"/>
      <c r="M73" s="933"/>
      <c r="N73" s="933"/>
      <c r="O73" s="933"/>
      <c r="P73" s="933"/>
      <c r="Q73" s="933"/>
      <c r="R73" s="933"/>
      <c r="S73" s="933"/>
      <c r="T73" s="933"/>
      <c r="U73" s="933"/>
      <c r="V73" s="933"/>
      <c r="W73" s="933"/>
      <c r="X73" s="933"/>
      <c r="Y73" s="933"/>
      <c r="Z73" s="933"/>
      <c r="AA73" s="933"/>
      <c r="AB73" s="933"/>
      <c r="AC73" s="933"/>
      <c r="AD73" s="933"/>
      <c r="AE73" s="933"/>
    </row>
    <row r="74" spans="1:31" ht="12.75">
      <c r="A74" s="933"/>
      <c r="B74" s="933"/>
      <c r="C74" s="933"/>
      <c r="D74" s="933"/>
      <c r="E74" s="933"/>
      <c r="F74" s="933"/>
      <c r="G74" s="933"/>
      <c r="H74" s="933"/>
      <c r="I74" s="933"/>
      <c r="J74" s="933"/>
      <c r="K74" s="933"/>
      <c r="L74" s="933"/>
      <c r="M74" s="933"/>
      <c r="N74" s="933"/>
      <c r="O74" s="933"/>
      <c r="P74" s="933"/>
      <c r="Q74" s="933"/>
      <c r="R74" s="933"/>
      <c r="S74" s="933"/>
      <c r="T74" s="933"/>
      <c r="U74" s="933"/>
      <c r="V74" s="933"/>
      <c r="W74" s="933"/>
      <c r="X74" s="933"/>
      <c r="Y74" s="933"/>
      <c r="Z74" s="933"/>
      <c r="AA74" s="933"/>
      <c r="AB74" s="933"/>
      <c r="AC74" s="933"/>
      <c r="AD74" s="933"/>
      <c r="AE74" s="933"/>
    </row>
    <row r="75" spans="1:31" ht="12.75">
      <c r="A75" s="933"/>
      <c r="B75" s="933"/>
      <c r="C75" s="933"/>
      <c r="D75" s="933"/>
      <c r="E75" s="933"/>
      <c r="F75" s="933"/>
      <c r="G75" s="933"/>
      <c r="H75" s="933"/>
      <c r="I75" s="933"/>
      <c r="J75" s="933"/>
      <c r="K75" s="933"/>
      <c r="L75" s="933"/>
      <c r="M75" s="933"/>
      <c r="N75" s="933"/>
      <c r="O75" s="933"/>
      <c r="P75" s="933"/>
      <c r="Q75" s="933"/>
      <c r="R75" s="933"/>
      <c r="S75" s="933"/>
      <c r="T75" s="933"/>
      <c r="U75" s="933"/>
      <c r="V75" s="933"/>
      <c r="W75" s="933"/>
      <c r="X75" s="933"/>
      <c r="Y75" s="933"/>
      <c r="Z75" s="933"/>
      <c r="AA75" s="933"/>
      <c r="AB75" s="933"/>
      <c r="AC75" s="933"/>
      <c r="AD75" s="933"/>
      <c r="AE75" s="933"/>
    </row>
    <row r="76" spans="1:31" ht="12.75">
      <c r="A76" s="933"/>
      <c r="B76" s="933"/>
      <c r="C76" s="933"/>
      <c r="D76" s="933"/>
      <c r="E76" s="933"/>
      <c r="F76" s="933"/>
      <c r="G76" s="933"/>
      <c r="H76" s="933"/>
      <c r="I76" s="933"/>
      <c r="J76" s="933"/>
      <c r="K76" s="933"/>
      <c r="L76" s="933"/>
      <c r="M76" s="933"/>
      <c r="N76" s="933"/>
      <c r="O76" s="933"/>
      <c r="P76" s="933"/>
      <c r="Q76" s="933"/>
      <c r="R76" s="933"/>
      <c r="S76" s="933"/>
      <c r="T76" s="933"/>
      <c r="U76" s="933"/>
      <c r="V76" s="933"/>
      <c r="W76" s="933"/>
      <c r="X76" s="933"/>
      <c r="Y76" s="933"/>
      <c r="Z76" s="933"/>
      <c r="AA76" s="933"/>
      <c r="AB76" s="933"/>
      <c r="AC76" s="933"/>
      <c r="AD76" s="933"/>
      <c r="AE76" s="933"/>
    </row>
    <row r="77" spans="1:31" ht="12.75">
      <c r="A77" s="933"/>
      <c r="B77" s="933"/>
      <c r="C77" s="933"/>
      <c r="D77" s="933"/>
      <c r="E77" s="933"/>
      <c r="F77" s="933"/>
      <c r="G77" s="933"/>
      <c r="H77" s="933"/>
      <c r="I77" s="933"/>
      <c r="J77" s="933"/>
      <c r="K77" s="933"/>
      <c r="L77" s="933"/>
      <c r="M77" s="933"/>
      <c r="N77" s="933"/>
      <c r="O77" s="933"/>
      <c r="P77" s="933"/>
      <c r="Q77" s="933"/>
      <c r="R77" s="933"/>
      <c r="S77" s="933"/>
      <c r="T77" s="933"/>
      <c r="U77" s="933"/>
      <c r="V77" s="933"/>
      <c r="W77" s="933"/>
      <c r="X77" s="933"/>
      <c r="Y77" s="933"/>
      <c r="Z77" s="933"/>
      <c r="AA77" s="933"/>
      <c r="AB77" s="933"/>
      <c r="AC77" s="933"/>
      <c r="AD77" s="933"/>
      <c r="AE77" s="933"/>
    </row>
    <row r="78" spans="1:31" ht="12.75">
      <c r="A78" s="933"/>
      <c r="B78" s="933"/>
      <c r="C78" s="933"/>
      <c r="D78" s="933"/>
      <c r="E78" s="933"/>
      <c r="F78" s="933"/>
      <c r="G78" s="933"/>
      <c r="H78" s="933"/>
      <c r="I78" s="933"/>
      <c r="J78" s="933"/>
      <c r="K78" s="933"/>
      <c r="L78" s="933"/>
      <c r="M78" s="933"/>
      <c r="N78" s="933"/>
      <c r="O78" s="933"/>
      <c r="P78" s="933"/>
      <c r="Q78" s="933"/>
      <c r="R78" s="933"/>
      <c r="S78" s="933"/>
      <c r="T78" s="933"/>
      <c r="U78" s="933"/>
      <c r="V78" s="933"/>
      <c r="W78" s="933"/>
      <c r="X78" s="933"/>
      <c r="Y78" s="933"/>
      <c r="Z78" s="933"/>
      <c r="AA78" s="933"/>
      <c r="AB78" s="933"/>
      <c r="AC78" s="933"/>
      <c r="AD78" s="933"/>
      <c r="AE78" s="933"/>
    </row>
    <row r="79" spans="1:31" ht="12.75">
      <c r="A79" s="933"/>
      <c r="B79" s="933"/>
      <c r="C79" s="933"/>
      <c r="D79" s="933"/>
      <c r="E79" s="933"/>
      <c r="F79" s="933"/>
      <c r="G79" s="933"/>
      <c r="H79" s="933"/>
      <c r="I79" s="933"/>
      <c r="J79" s="933"/>
      <c r="K79" s="933"/>
      <c r="L79" s="933"/>
      <c r="M79" s="933"/>
      <c r="N79" s="933"/>
      <c r="O79" s="933"/>
      <c r="P79" s="933"/>
      <c r="Q79" s="933"/>
      <c r="R79" s="933"/>
      <c r="S79" s="933"/>
      <c r="T79" s="933"/>
      <c r="U79" s="933"/>
      <c r="V79" s="933"/>
      <c r="W79" s="933"/>
      <c r="X79" s="933"/>
      <c r="Y79" s="933"/>
      <c r="Z79" s="933"/>
      <c r="AA79" s="933"/>
      <c r="AB79" s="933"/>
      <c r="AC79" s="933"/>
      <c r="AD79" s="933"/>
      <c r="AE79" s="933"/>
    </row>
    <row r="80" spans="1:31" ht="12.75">
      <c r="A80" s="933"/>
      <c r="B80" s="933"/>
      <c r="C80" s="933"/>
      <c r="D80" s="933"/>
      <c r="E80" s="933"/>
      <c r="F80" s="933"/>
      <c r="G80" s="933"/>
      <c r="H80" s="933"/>
      <c r="I80" s="933"/>
      <c r="J80" s="933"/>
      <c r="K80" s="933"/>
      <c r="L80" s="933"/>
      <c r="M80" s="933"/>
      <c r="N80" s="933"/>
      <c r="O80" s="933"/>
      <c r="P80" s="933"/>
      <c r="Q80" s="933"/>
      <c r="R80" s="933"/>
      <c r="S80" s="933"/>
      <c r="T80" s="933"/>
      <c r="U80" s="933"/>
      <c r="V80" s="933"/>
      <c r="W80" s="933"/>
      <c r="X80" s="933"/>
      <c r="Y80" s="933"/>
      <c r="Z80" s="933"/>
      <c r="AA80" s="933"/>
      <c r="AB80" s="933"/>
      <c r="AC80" s="933"/>
      <c r="AD80" s="933"/>
      <c r="AE80" s="933"/>
    </row>
    <row r="81" spans="1:31" ht="12.75">
      <c r="A81" s="933"/>
      <c r="B81" s="933"/>
      <c r="C81" s="933"/>
      <c r="D81" s="933"/>
      <c r="E81" s="933"/>
      <c r="F81" s="933"/>
      <c r="G81" s="933"/>
      <c r="H81" s="933"/>
      <c r="I81" s="933"/>
      <c r="J81" s="933"/>
      <c r="K81" s="933"/>
      <c r="L81" s="933"/>
      <c r="M81" s="933"/>
      <c r="N81" s="933"/>
      <c r="O81" s="933"/>
      <c r="P81" s="933"/>
      <c r="Q81" s="933"/>
      <c r="R81" s="933"/>
      <c r="S81" s="933"/>
      <c r="T81" s="933"/>
      <c r="U81" s="933"/>
      <c r="V81" s="933"/>
      <c r="W81" s="933"/>
      <c r="X81" s="933"/>
      <c r="Y81" s="933"/>
      <c r="Z81" s="933"/>
      <c r="AA81" s="933"/>
      <c r="AB81" s="933"/>
      <c r="AC81" s="933"/>
      <c r="AD81" s="933"/>
      <c r="AE81" s="933"/>
    </row>
    <row r="82" spans="1:31" ht="12.75">
      <c r="A82" s="933"/>
      <c r="B82" s="933"/>
      <c r="C82" s="933"/>
      <c r="D82" s="933"/>
      <c r="E82" s="933"/>
      <c r="F82" s="933"/>
      <c r="G82" s="933"/>
      <c r="H82" s="933"/>
      <c r="I82" s="933"/>
      <c r="J82" s="933"/>
      <c r="K82" s="933"/>
      <c r="L82" s="933"/>
      <c r="M82" s="933"/>
      <c r="N82" s="933"/>
      <c r="O82" s="933"/>
      <c r="P82" s="933"/>
      <c r="Q82" s="933"/>
      <c r="R82" s="933"/>
      <c r="S82" s="933"/>
      <c r="T82" s="933"/>
      <c r="U82" s="933"/>
      <c r="V82" s="933"/>
      <c r="W82" s="933"/>
      <c r="X82" s="933"/>
      <c r="Y82" s="933"/>
      <c r="Z82" s="933"/>
      <c r="AA82" s="933"/>
      <c r="AB82" s="933"/>
      <c r="AC82" s="933"/>
      <c r="AD82" s="933"/>
      <c r="AE82" s="933"/>
    </row>
    <row r="83" spans="1:31" ht="12.75">
      <c r="A83" s="933"/>
      <c r="B83" s="933"/>
      <c r="C83" s="933"/>
      <c r="D83" s="933"/>
      <c r="E83" s="933"/>
      <c r="F83" s="933"/>
      <c r="G83" s="933"/>
      <c r="H83" s="933"/>
      <c r="I83" s="933"/>
      <c r="J83" s="933"/>
      <c r="K83" s="933"/>
      <c r="L83" s="933"/>
      <c r="M83" s="933"/>
      <c r="N83" s="933"/>
      <c r="O83" s="933"/>
      <c r="P83" s="933"/>
      <c r="Q83" s="933"/>
      <c r="R83" s="933"/>
      <c r="S83" s="933"/>
      <c r="T83" s="933"/>
      <c r="U83" s="933"/>
      <c r="V83" s="933"/>
      <c r="W83" s="933"/>
      <c r="X83" s="933"/>
      <c r="Y83" s="933"/>
      <c r="Z83" s="933"/>
      <c r="AA83" s="933"/>
      <c r="AB83" s="933"/>
      <c r="AC83" s="933"/>
      <c r="AD83" s="933"/>
      <c r="AE83" s="933"/>
    </row>
    <row r="84" spans="1:31" ht="12.75">
      <c r="A84" s="933"/>
      <c r="B84" s="933"/>
      <c r="C84" s="933"/>
      <c r="D84" s="933"/>
      <c r="E84" s="933"/>
      <c r="F84" s="933"/>
      <c r="G84" s="933"/>
      <c r="H84" s="933"/>
      <c r="I84" s="933"/>
      <c r="J84" s="933"/>
      <c r="K84" s="933"/>
      <c r="L84" s="933"/>
      <c r="M84" s="933"/>
      <c r="N84" s="933"/>
      <c r="O84" s="933"/>
      <c r="P84" s="933"/>
      <c r="Q84" s="933"/>
      <c r="R84" s="933"/>
      <c r="S84" s="933"/>
      <c r="T84" s="933"/>
      <c r="U84" s="933"/>
      <c r="V84" s="933"/>
      <c r="W84" s="933"/>
      <c r="X84" s="933"/>
      <c r="Y84" s="933"/>
      <c r="Z84" s="933"/>
      <c r="AA84" s="933"/>
      <c r="AB84" s="933"/>
      <c r="AC84" s="933"/>
      <c r="AD84" s="933"/>
      <c r="AE84" s="933"/>
    </row>
    <row r="85" spans="1:31" ht="12.75">
      <c r="A85" s="933"/>
      <c r="B85" s="933"/>
      <c r="C85" s="933"/>
      <c r="D85" s="933"/>
      <c r="E85" s="933"/>
      <c r="F85" s="933"/>
      <c r="G85" s="933"/>
      <c r="H85" s="933"/>
      <c r="I85" s="933"/>
      <c r="J85" s="933"/>
      <c r="K85" s="933"/>
      <c r="L85" s="933"/>
      <c r="M85" s="933"/>
      <c r="N85" s="933"/>
      <c r="O85" s="933"/>
      <c r="P85" s="933"/>
      <c r="Q85" s="933"/>
      <c r="R85" s="933"/>
      <c r="S85" s="933"/>
      <c r="T85" s="933"/>
      <c r="U85" s="933"/>
      <c r="V85" s="933"/>
      <c r="W85" s="933"/>
      <c r="X85" s="933"/>
      <c r="Y85" s="933"/>
      <c r="Z85" s="933"/>
      <c r="AA85" s="933"/>
      <c r="AB85" s="933"/>
      <c r="AC85" s="933"/>
      <c r="AD85" s="933"/>
      <c r="AE85" s="933"/>
    </row>
    <row r="86" spans="1:31" ht="12.75">
      <c r="A86" s="933"/>
      <c r="B86" s="933"/>
      <c r="C86" s="933"/>
      <c r="D86" s="933"/>
      <c r="E86" s="933"/>
      <c r="F86" s="933"/>
      <c r="G86" s="933"/>
      <c r="H86" s="933"/>
      <c r="I86" s="933"/>
      <c r="J86" s="933"/>
      <c r="K86" s="933"/>
      <c r="L86" s="933"/>
      <c r="M86" s="933"/>
      <c r="N86" s="933"/>
      <c r="O86" s="933"/>
      <c r="P86" s="933"/>
      <c r="Q86" s="933"/>
      <c r="R86" s="933"/>
      <c r="S86" s="933"/>
      <c r="T86" s="933"/>
      <c r="U86" s="933"/>
      <c r="V86" s="933"/>
      <c r="W86" s="933"/>
      <c r="X86" s="933"/>
      <c r="Y86" s="933"/>
      <c r="Z86" s="933"/>
      <c r="AA86" s="933"/>
      <c r="AB86" s="933"/>
      <c r="AC86" s="933"/>
      <c r="AD86" s="933"/>
      <c r="AE86" s="933"/>
    </row>
    <row r="87" spans="1:31" ht="12.75">
      <c r="A87" s="933"/>
      <c r="B87" s="933"/>
      <c r="C87" s="933"/>
      <c r="D87" s="933"/>
      <c r="E87" s="933"/>
      <c r="F87" s="933"/>
      <c r="G87" s="933"/>
      <c r="H87" s="933"/>
      <c r="I87" s="933"/>
      <c r="J87" s="933"/>
      <c r="K87" s="933"/>
      <c r="L87" s="933"/>
      <c r="M87" s="933"/>
      <c r="N87" s="933"/>
      <c r="O87" s="933"/>
      <c r="P87" s="933"/>
      <c r="Q87" s="933"/>
      <c r="R87" s="933"/>
      <c r="S87" s="933"/>
      <c r="T87" s="933"/>
      <c r="U87" s="933"/>
      <c r="V87" s="933"/>
      <c r="W87" s="933"/>
      <c r="X87" s="933"/>
      <c r="Y87" s="933"/>
      <c r="Z87" s="933"/>
      <c r="AA87" s="933"/>
      <c r="AB87" s="933"/>
      <c r="AC87" s="933"/>
      <c r="AD87" s="933"/>
      <c r="AE87" s="933"/>
    </row>
    <row r="88" spans="1:31" ht="12.75">
      <c r="A88" s="933"/>
      <c r="B88" s="933"/>
      <c r="C88" s="933"/>
      <c r="D88" s="933"/>
      <c r="E88" s="933"/>
      <c r="F88" s="933"/>
      <c r="G88" s="933"/>
      <c r="H88" s="933"/>
      <c r="I88" s="933"/>
      <c r="J88" s="933"/>
      <c r="K88" s="933"/>
      <c r="L88" s="933"/>
      <c r="M88" s="933"/>
      <c r="N88" s="933"/>
      <c r="O88" s="933"/>
      <c r="P88" s="933"/>
      <c r="Q88" s="933"/>
      <c r="R88" s="933"/>
      <c r="S88" s="933"/>
      <c r="T88" s="933"/>
      <c r="U88" s="933"/>
      <c r="V88" s="933"/>
      <c r="W88" s="933"/>
      <c r="X88" s="933"/>
      <c r="Y88" s="933"/>
      <c r="Z88" s="933"/>
      <c r="AA88" s="933"/>
      <c r="AB88" s="933"/>
      <c r="AC88" s="933"/>
      <c r="AD88" s="933"/>
      <c r="AE88" s="933"/>
    </row>
    <row r="89" spans="1:31" ht="12.75">
      <c r="A89" s="933"/>
      <c r="B89" s="933"/>
      <c r="C89" s="933"/>
      <c r="D89" s="933"/>
      <c r="E89" s="933"/>
      <c r="F89" s="933"/>
      <c r="G89" s="933"/>
      <c r="H89" s="933"/>
      <c r="I89" s="933"/>
      <c r="J89" s="933"/>
      <c r="K89" s="933"/>
      <c r="L89" s="933"/>
      <c r="M89" s="933"/>
      <c r="N89" s="933"/>
      <c r="O89" s="933"/>
      <c r="P89" s="933"/>
      <c r="Q89" s="933"/>
      <c r="R89" s="933"/>
      <c r="S89" s="933"/>
      <c r="T89" s="933"/>
      <c r="U89" s="933"/>
      <c r="V89" s="933"/>
      <c r="W89" s="933"/>
      <c r="X89" s="933"/>
      <c r="Y89" s="933"/>
      <c r="Z89" s="933"/>
      <c r="AA89" s="933"/>
      <c r="AB89" s="933"/>
      <c r="AC89" s="933"/>
      <c r="AD89" s="933"/>
      <c r="AE89" s="933"/>
    </row>
    <row r="90" spans="1:31" ht="12.75">
      <c r="A90" s="933"/>
      <c r="B90" s="933"/>
      <c r="C90" s="933"/>
      <c r="D90" s="933"/>
      <c r="E90" s="933"/>
      <c r="F90" s="933"/>
      <c r="G90" s="933"/>
      <c r="H90" s="933"/>
      <c r="I90" s="933"/>
      <c r="J90" s="933"/>
      <c r="K90" s="933"/>
      <c r="L90" s="933"/>
      <c r="M90" s="933"/>
      <c r="N90" s="933"/>
      <c r="O90" s="933"/>
      <c r="P90" s="933"/>
      <c r="Q90" s="933"/>
      <c r="R90" s="933"/>
      <c r="S90" s="933"/>
      <c r="T90" s="933"/>
      <c r="U90" s="933"/>
      <c r="V90" s="933"/>
      <c r="W90" s="933"/>
      <c r="X90" s="933"/>
      <c r="Y90" s="933"/>
      <c r="Z90" s="933"/>
      <c r="AA90" s="933"/>
      <c r="AB90" s="933"/>
      <c r="AC90" s="933"/>
      <c r="AD90" s="933"/>
      <c r="AE90" s="933"/>
    </row>
    <row r="91" spans="1:31" ht="12.75">
      <c r="A91" s="933"/>
      <c r="B91" s="933"/>
      <c r="C91" s="933"/>
      <c r="D91" s="933"/>
      <c r="E91" s="933"/>
      <c r="F91" s="933"/>
      <c r="G91" s="933"/>
      <c r="H91" s="933"/>
      <c r="I91" s="933"/>
      <c r="J91" s="933"/>
      <c r="K91" s="933"/>
      <c r="L91" s="933"/>
      <c r="M91" s="933"/>
      <c r="N91" s="933"/>
      <c r="O91" s="933"/>
      <c r="P91" s="933"/>
      <c r="Q91" s="933"/>
      <c r="R91" s="933"/>
      <c r="S91" s="933"/>
      <c r="T91" s="933"/>
      <c r="U91" s="933"/>
      <c r="V91" s="933"/>
      <c r="W91" s="933"/>
      <c r="X91" s="933"/>
      <c r="Y91" s="933"/>
      <c r="Z91" s="933"/>
      <c r="AA91" s="933"/>
      <c r="AB91" s="933"/>
      <c r="AC91" s="933"/>
      <c r="AD91" s="933"/>
      <c r="AE91" s="933"/>
    </row>
    <row r="92" spans="1:31" ht="12.75">
      <c r="A92" s="933"/>
      <c r="B92" s="933"/>
      <c r="C92" s="933"/>
      <c r="D92" s="933"/>
      <c r="E92" s="933"/>
      <c r="F92" s="933"/>
      <c r="G92" s="933"/>
      <c r="H92" s="933"/>
      <c r="I92" s="933"/>
      <c r="J92" s="933"/>
      <c r="K92" s="933"/>
      <c r="L92" s="933"/>
      <c r="M92" s="933"/>
      <c r="N92" s="933"/>
      <c r="O92" s="933"/>
      <c r="P92" s="933"/>
      <c r="Q92" s="933"/>
      <c r="R92" s="933"/>
      <c r="S92" s="933"/>
      <c r="T92" s="933"/>
      <c r="U92" s="933"/>
      <c r="V92" s="933"/>
      <c r="W92" s="933"/>
      <c r="X92" s="933"/>
      <c r="Y92" s="933"/>
      <c r="Z92" s="933"/>
      <c r="AA92" s="933"/>
      <c r="AB92" s="933"/>
      <c r="AC92" s="933"/>
      <c r="AD92" s="933"/>
      <c r="AE92" s="933"/>
    </row>
    <row r="93" spans="1:31" ht="12.75">
      <c r="A93" s="933"/>
      <c r="B93" s="933"/>
      <c r="C93" s="933"/>
      <c r="D93" s="933"/>
      <c r="E93" s="933"/>
      <c r="F93" s="933"/>
      <c r="G93" s="933"/>
      <c r="H93" s="933"/>
      <c r="I93" s="933"/>
      <c r="J93" s="933"/>
      <c r="K93" s="933"/>
      <c r="L93" s="933"/>
      <c r="M93" s="933"/>
      <c r="N93" s="933"/>
      <c r="O93" s="933"/>
      <c r="P93" s="933"/>
      <c r="Q93" s="933"/>
      <c r="R93" s="933"/>
      <c r="S93" s="933"/>
      <c r="T93" s="933"/>
      <c r="U93" s="933"/>
      <c r="V93" s="933"/>
      <c r="W93" s="933"/>
      <c r="X93" s="933"/>
      <c r="Y93" s="933"/>
      <c r="Z93" s="933"/>
      <c r="AA93" s="933"/>
      <c r="AB93" s="933"/>
      <c r="AC93" s="933"/>
      <c r="AD93" s="933"/>
      <c r="AE93" s="933"/>
    </row>
    <row r="94" spans="1:31" ht="12.75">
      <c r="A94" s="933"/>
      <c r="B94" s="933"/>
      <c r="C94" s="933"/>
      <c r="D94" s="933"/>
      <c r="E94" s="933"/>
      <c r="F94" s="933"/>
      <c r="G94" s="933"/>
      <c r="H94" s="933"/>
      <c r="I94" s="933"/>
      <c r="J94" s="933"/>
      <c r="K94" s="933"/>
      <c r="L94" s="933"/>
      <c r="M94" s="933"/>
      <c r="N94" s="933"/>
      <c r="O94" s="933"/>
      <c r="P94" s="933"/>
      <c r="Q94" s="933"/>
      <c r="R94" s="933"/>
      <c r="S94" s="933"/>
      <c r="T94" s="933"/>
      <c r="U94" s="933"/>
      <c r="V94" s="933"/>
      <c r="W94" s="933"/>
      <c r="X94" s="933"/>
      <c r="Y94" s="933"/>
      <c r="Z94" s="933"/>
      <c r="AA94" s="933"/>
      <c r="AB94" s="933"/>
      <c r="AC94" s="933"/>
      <c r="AD94" s="933"/>
      <c r="AE94" s="933"/>
    </row>
    <row r="95" spans="1:31" ht="12.75">
      <c r="A95" s="933"/>
      <c r="B95" s="933"/>
      <c r="C95" s="933"/>
      <c r="D95" s="933"/>
      <c r="E95" s="933"/>
      <c r="F95" s="933"/>
      <c r="G95" s="933"/>
      <c r="H95" s="933"/>
      <c r="I95" s="933"/>
      <c r="J95" s="933"/>
      <c r="K95" s="933"/>
      <c r="L95" s="933"/>
      <c r="M95" s="933"/>
      <c r="N95" s="933"/>
      <c r="O95" s="933"/>
      <c r="P95" s="933"/>
      <c r="Q95" s="933"/>
      <c r="R95" s="933"/>
      <c r="S95" s="933"/>
      <c r="T95" s="933"/>
      <c r="U95" s="933"/>
      <c r="V95" s="933"/>
      <c r="W95" s="933"/>
      <c r="X95" s="933"/>
      <c r="Y95" s="933"/>
      <c r="Z95" s="933"/>
      <c r="AA95" s="933"/>
      <c r="AB95" s="933"/>
      <c r="AC95" s="933"/>
      <c r="AD95" s="933"/>
      <c r="AE95" s="933"/>
    </row>
    <row r="96" spans="1:31" ht="12.75">
      <c r="A96" s="933"/>
      <c r="B96" s="933"/>
      <c r="C96" s="933"/>
      <c r="D96" s="933"/>
      <c r="E96" s="933"/>
      <c r="F96" s="933"/>
      <c r="G96" s="933"/>
      <c r="H96" s="933"/>
      <c r="I96" s="933"/>
      <c r="J96" s="933"/>
      <c r="K96" s="933"/>
      <c r="L96" s="933"/>
      <c r="M96" s="933"/>
      <c r="N96" s="933"/>
      <c r="O96" s="933"/>
      <c r="P96" s="933"/>
      <c r="Q96" s="933"/>
      <c r="R96" s="933"/>
      <c r="S96" s="933"/>
      <c r="T96" s="933"/>
      <c r="U96" s="933"/>
      <c r="V96" s="933"/>
      <c r="W96" s="933"/>
      <c r="X96" s="933"/>
      <c r="Y96" s="933"/>
      <c r="Z96" s="933"/>
      <c r="AA96" s="933"/>
      <c r="AB96" s="933"/>
      <c r="AC96" s="933"/>
      <c r="AD96" s="933"/>
      <c r="AE96" s="933"/>
    </row>
    <row r="97" spans="1:31" ht="12.75">
      <c r="A97" s="933"/>
      <c r="B97" s="933"/>
      <c r="C97" s="933"/>
      <c r="D97" s="933"/>
      <c r="E97" s="933"/>
      <c r="F97" s="933"/>
      <c r="G97" s="933"/>
      <c r="H97" s="933"/>
      <c r="I97" s="933"/>
      <c r="J97" s="933"/>
      <c r="K97" s="933"/>
      <c r="L97" s="933"/>
      <c r="M97" s="933"/>
      <c r="N97" s="933"/>
      <c r="O97" s="933"/>
      <c r="P97" s="933"/>
      <c r="Q97" s="933"/>
      <c r="R97" s="933"/>
      <c r="S97" s="933"/>
      <c r="T97" s="933"/>
      <c r="U97" s="933"/>
      <c r="V97" s="933"/>
      <c r="W97" s="933"/>
      <c r="X97" s="933"/>
      <c r="Y97" s="933"/>
      <c r="Z97" s="933"/>
      <c r="AA97" s="933"/>
      <c r="AB97" s="933"/>
      <c r="AC97" s="933"/>
      <c r="AD97" s="933"/>
      <c r="AE97" s="933"/>
    </row>
    <row r="98" spans="1:31" ht="12.75">
      <c r="A98" s="933"/>
      <c r="B98" s="933"/>
      <c r="C98" s="933"/>
      <c r="D98" s="933"/>
      <c r="E98" s="933"/>
      <c r="F98" s="933"/>
      <c r="G98" s="933"/>
      <c r="H98" s="933"/>
      <c r="I98" s="933"/>
      <c r="J98" s="933"/>
      <c r="K98" s="933"/>
      <c r="L98" s="933"/>
      <c r="M98" s="933"/>
      <c r="N98" s="933"/>
      <c r="O98" s="933"/>
      <c r="P98" s="933"/>
      <c r="Q98" s="933"/>
      <c r="R98" s="933"/>
      <c r="S98" s="933"/>
      <c r="T98" s="933"/>
      <c r="U98" s="933"/>
      <c r="V98" s="933"/>
      <c r="W98" s="933"/>
      <c r="X98" s="933"/>
      <c r="Y98" s="933"/>
      <c r="Z98" s="933"/>
      <c r="AA98" s="933"/>
      <c r="AB98" s="933"/>
      <c r="AC98" s="933"/>
      <c r="AD98" s="933"/>
      <c r="AE98" s="933"/>
    </row>
    <row r="99" spans="1:31" ht="12.75">
      <c r="A99" s="933"/>
      <c r="B99" s="933"/>
      <c r="C99" s="933"/>
      <c r="D99" s="933"/>
      <c r="E99" s="933"/>
      <c r="F99" s="933"/>
      <c r="G99" s="933"/>
      <c r="H99" s="933"/>
      <c r="I99" s="933"/>
      <c r="J99" s="933"/>
      <c r="K99" s="933"/>
      <c r="L99" s="933"/>
      <c r="M99" s="933"/>
      <c r="N99" s="933"/>
      <c r="O99" s="933"/>
      <c r="P99" s="933"/>
      <c r="Q99" s="933"/>
      <c r="R99" s="933"/>
      <c r="S99" s="933"/>
      <c r="T99" s="933"/>
      <c r="U99" s="933"/>
      <c r="V99" s="933"/>
      <c r="W99" s="933"/>
      <c r="X99" s="933"/>
      <c r="Y99" s="933"/>
      <c r="Z99" s="933"/>
      <c r="AA99" s="933"/>
      <c r="AB99" s="933"/>
      <c r="AC99" s="933"/>
      <c r="AD99" s="933"/>
      <c r="AE99" s="933"/>
    </row>
    <row r="100" spans="1:31" ht="12.75">
      <c r="A100" s="933"/>
      <c r="B100" s="933"/>
      <c r="C100" s="933"/>
      <c r="D100" s="933"/>
      <c r="E100" s="933"/>
      <c r="F100" s="933"/>
      <c r="G100" s="933"/>
      <c r="H100" s="933"/>
      <c r="I100" s="933"/>
      <c r="J100" s="933"/>
      <c r="K100" s="933"/>
      <c r="L100" s="933"/>
      <c r="M100" s="933"/>
      <c r="N100" s="933"/>
      <c r="O100" s="933"/>
      <c r="P100" s="933"/>
      <c r="Q100" s="933"/>
      <c r="R100" s="933"/>
      <c r="S100" s="933"/>
      <c r="T100" s="933"/>
      <c r="U100" s="933"/>
      <c r="V100" s="933"/>
      <c r="W100" s="933"/>
      <c r="X100" s="933"/>
      <c r="Y100" s="933"/>
      <c r="Z100" s="933"/>
      <c r="AA100" s="933"/>
      <c r="AB100" s="933"/>
      <c r="AC100" s="933"/>
      <c r="AD100" s="933"/>
      <c r="AE100" s="933"/>
    </row>
    <row r="101" spans="1:31" ht="12.75">
      <c r="A101" s="933"/>
      <c r="B101" s="933"/>
      <c r="C101" s="933"/>
      <c r="D101" s="933"/>
      <c r="E101" s="933"/>
      <c r="F101" s="933"/>
      <c r="G101" s="933"/>
      <c r="H101" s="933"/>
      <c r="I101" s="933"/>
      <c r="J101" s="933"/>
      <c r="K101" s="933"/>
      <c r="L101" s="933"/>
      <c r="M101" s="933"/>
      <c r="N101" s="933"/>
      <c r="O101" s="933"/>
      <c r="P101" s="933"/>
      <c r="Q101" s="933"/>
      <c r="R101" s="933"/>
      <c r="S101" s="933"/>
      <c r="T101" s="933"/>
      <c r="U101" s="933"/>
      <c r="V101" s="933"/>
      <c r="W101" s="933"/>
      <c r="X101" s="933"/>
      <c r="Y101" s="933"/>
      <c r="Z101" s="933"/>
      <c r="AA101" s="933"/>
      <c r="AB101" s="933"/>
      <c r="AC101" s="933"/>
      <c r="AD101" s="933"/>
      <c r="AE101" s="933"/>
    </row>
    <row r="102" spans="1:31" ht="12.75">
      <c r="A102" s="933"/>
      <c r="B102" s="933"/>
      <c r="C102" s="933"/>
      <c r="D102" s="933"/>
      <c r="E102" s="933"/>
      <c r="F102" s="933"/>
      <c r="G102" s="933"/>
      <c r="H102" s="933"/>
      <c r="I102" s="933"/>
      <c r="J102" s="933"/>
      <c r="K102" s="933"/>
      <c r="L102" s="933"/>
      <c r="M102" s="933"/>
      <c r="N102" s="933"/>
      <c r="O102" s="933"/>
      <c r="P102" s="933"/>
      <c r="Q102" s="933"/>
      <c r="R102" s="933"/>
      <c r="S102" s="933"/>
      <c r="T102" s="933"/>
      <c r="U102" s="933"/>
      <c r="V102" s="933"/>
      <c r="W102" s="933"/>
      <c r="X102" s="933"/>
      <c r="Y102" s="933"/>
      <c r="Z102" s="933"/>
      <c r="AA102" s="933"/>
      <c r="AB102" s="933"/>
      <c r="AC102" s="933"/>
      <c r="AD102" s="933"/>
      <c r="AE102" s="933"/>
    </row>
    <row r="103" spans="1:31" ht="12.75">
      <c r="A103" s="933"/>
      <c r="B103" s="933"/>
      <c r="C103" s="933"/>
      <c r="D103" s="933"/>
      <c r="E103" s="933"/>
      <c r="F103" s="933"/>
      <c r="G103" s="933"/>
      <c r="H103" s="933"/>
      <c r="I103" s="933"/>
      <c r="J103" s="933"/>
      <c r="K103" s="933"/>
      <c r="L103" s="933"/>
      <c r="M103" s="933"/>
      <c r="N103" s="933"/>
      <c r="O103" s="933"/>
      <c r="P103" s="933"/>
      <c r="Q103" s="933"/>
      <c r="R103" s="933"/>
      <c r="S103" s="933"/>
      <c r="T103" s="933"/>
      <c r="U103" s="933"/>
      <c r="V103" s="933"/>
      <c r="W103" s="933"/>
      <c r="X103" s="933"/>
      <c r="Y103" s="933"/>
      <c r="Z103" s="933"/>
      <c r="AA103" s="933"/>
      <c r="AB103" s="933"/>
      <c r="AC103" s="933"/>
      <c r="AD103" s="933"/>
      <c r="AE103" s="933"/>
    </row>
    <row r="104" spans="1:31" ht="12.75">
      <c r="A104" s="933"/>
      <c r="B104" s="933"/>
      <c r="C104" s="933"/>
      <c r="D104" s="933"/>
      <c r="E104" s="933"/>
      <c r="F104" s="933"/>
      <c r="G104" s="933"/>
      <c r="H104" s="933"/>
      <c r="I104" s="933"/>
      <c r="J104" s="933"/>
      <c r="K104" s="933"/>
      <c r="L104" s="933"/>
      <c r="M104" s="933"/>
      <c r="N104" s="933"/>
      <c r="O104" s="933"/>
      <c r="P104" s="933"/>
      <c r="Q104" s="933"/>
      <c r="R104" s="933"/>
      <c r="S104" s="933"/>
      <c r="T104" s="933"/>
      <c r="U104" s="933"/>
      <c r="V104" s="933"/>
      <c r="W104" s="933"/>
      <c r="X104" s="933"/>
      <c r="Y104" s="933"/>
      <c r="Z104" s="933"/>
      <c r="AA104" s="933"/>
      <c r="AB104" s="933"/>
      <c r="AC104" s="933"/>
      <c r="AD104" s="933"/>
      <c r="AE104" s="933"/>
    </row>
    <row r="105" spans="1:31" ht="12.75">
      <c r="A105" s="933"/>
      <c r="B105" s="933"/>
      <c r="C105" s="933"/>
      <c r="D105" s="933"/>
      <c r="E105" s="933"/>
      <c r="F105" s="933"/>
      <c r="G105" s="933"/>
      <c r="H105" s="933"/>
      <c r="I105" s="933"/>
      <c r="J105" s="933"/>
      <c r="K105" s="933"/>
      <c r="L105" s="933"/>
      <c r="M105" s="933"/>
      <c r="N105" s="933"/>
      <c r="O105" s="933"/>
      <c r="P105" s="933"/>
      <c r="Q105" s="933"/>
      <c r="R105" s="933"/>
      <c r="S105" s="933"/>
      <c r="T105" s="933"/>
      <c r="U105" s="933"/>
      <c r="V105" s="933"/>
      <c r="W105" s="933"/>
      <c r="X105" s="933"/>
      <c r="Y105" s="933"/>
      <c r="Z105" s="933"/>
      <c r="AA105" s="933"/>
      <c r="AB105" s="933"/>
      <c r="AC105" s="933"/>
      <c r="AD105" s="933"/>
      <c r="AE105" s="933"/>
    </row>
    <row r="106" spans="1:31" ht="12.75">
      <c r="A106" s="933"/>
      <c r="B106" s="933"/>
      <c r="C106" s="933"/>
      <c r="D106" s="933"/>
      <c r="E106" s="933"/>
      <c r="F106" s="933"/>
      <c r="G106" s="933"/>
      <c r="H106" s="933"/>
      <c r="I106" s="933"/>
      <c r="J106" s="933"/>
      <c r="K106" s="933"/>
      <c r="L106" s="933"/>
      <c r="M106" s="933"/>
      <c r="N106" s="933"/>
      <c r="O106" s="933"/>
      <c r="P106" s="933"/>
      <c r="Q106" s="933"/>
      <c r="R106" s="933"/>
      <c r="S106" s="933"/>
      <c r="T106" s="933"/>
      <c r="U106" s="933"/>
      <c r="V106" s="933"/>
      <c r="W106" s="933"/>
      <c r="X106" s="933"/>
      <c r="Y106" s="933"/>
      <c r="Z106" s="933"/>
      <c r="AA106" s="933"/>
      <c r="AB106" s="933"/>
      <c r="AC106" s="933"/>
      <c r="AD106" s="933"/>
      <c r="AE106" s="933"/>
    </row>
    <row r="107" spans="1:31" ht="12.75">
      <c r="A107" s="933"/>
      <c r="B107" s="933"/>
      <c r="C107" s="933"/>
      <c r="D107" s="933"/>
      <c r="E107" s="933"/>
      <c r="F107" s="933"/>
      <c r="G107" s="933"/>
      <c r="H107" s="933"/>
      <c r="I107" s="933"/>
      <c r="J107" s="933"/>
      <c r="K107" s="933"/>
      <c r="L107" s="933"/>
      <c r="M107" s="933"/>
      <c r="N107" s="933"/>
      <c r="O107" s="933"/>
      <c r="P107" s="933"/>
      <c r="Q107" s="933"/>
      <c r="R107" s="933"/>
      <c r="S107" s="933"/>
      <c r="T107" s="933"/>
      <c r="U107" s="933"/>
      <c r="V107" s="933"/>
      <c r="W107" s="933"/>
      <c r="X107" s="933"/>
      <c r="Y107" s="933"/>
      <c r="Z107" s="933"/>
      <c r="AA107" s="933"/>
      <c r="AB107" s="933"/>
      <c r="AC107" s="933"/>
      <c r="AD107" s="933"/>
      <c r="AE107" s="933"/>
    </row>
    <row r="108" spans="1:31" ht="12.75">
      <c r="A108" s="933"/>
      <c r="B108" s="933"/>
      <c r="C108" s="933"/>
      <c r="D108" s="933"/>
      <c r="E108" s="933"/>
      <c r="F108" s="933"/>
      <c r="G108" s="933"/>
      <c r="H108" s="933"/>
      <c r="I108" s="933"/>
      <c r="J108" s="933"/>
      <c r="K108" s="933"/>
      <c r="L108" s="933"/>
      <c r="M108" s="933"/>
      <c r="N108" s="933"/>
      <c r="O108" s="933"/>
      <c r="P108" s="933"/>
      <c r="Q108" s="933"/>
      <c r="R108" s="933"/>
      <c r="S108" s="933"/>
      <c r="T108" s="933"/>
      <c r="U108" s="933"/>
      <c r="V108" s="933"/>
      <c r="W108" s="933"/>
      <c r="X108" s="933"/>
      <c r="Y108" s="933"/>
      <c r="Z108" s="933"/>
      <c r="AA108" s="933"/>
      <c r="AB108" s="933"/>
      <c r="AC108" s="933"/>
      <c r="AD108" s="933"/>
      <c r="AE108" s="933"/>
    </row>
    <row r="109" spans="1:31" ht="12.75">
      <c r="A109" s="933"/>
      <c r="B109" s="933"/>
      <c r="C109" s="933"/>
      <c r="D109" s="933"/>
      <c r="E109" s="933"/>
      <c r="F109" s="933"/>
      <c r="G109" s="933"/>
      <c r="H109" s="933"/>
      <c r="I109" s="933"/>
      <c r="J109" s="933"/>
      <c r="K109" s="933"/>
      <c r="L109" s="933"/>
      <c r="M109" s="933"/>
      <c r="N109" s="933"/>
      <c r="O109" s="933"/>
      <c r="P109" s="933"/>
      <c r="Q109" s="933"/>
      <c r="R109" s="933"/>
      <c r="S109" s="933"/>
      <c r="T109" s="933"/>
      <c r="U109" s="933"/>
      <c r="V109" s="933"/>
      <c r="W109" s="933"/>
      <c r="X109" s="933"/>
      <c r="Y109" s="933"/>
      <c r="Z109" s="933"/>
      <c r="AA109" s="933"/>
      <c r="AB109" s="933"/>
      <c r="AC109" s="933"/>
      <c r="AD109" s="933"/>
      <c r="AE109" s="933"/>
    </row>
    <row r="110" spans="1:31" ht="12.75">
      <c r="A110" s="933"/>
      <c r="B110" s="933"/>
      <c r="C110" s="933"/>
      <c r="D110" s="933"/>
      <c r="E110" s="933"/>
      <c r="F110" s="933"/>
      <c r="G110" s="933"/>
      <c r="H110" s="933"/>
      <c r="I110" s="933"/>
      <c r="J110" s="933"/>
      <c r="K110" s="933"/>
      <c r="L110" s="933"/>
      <c r="M110" s="933"/>
      <c r="N110" s="933"/>
      <c r="O110" s="933"/>
      <c r="P110" s="933"/>
      <c r="Q110" s="933"/>
      <c r="R110" s="933"/>
      <c r="S110" s="933"/>
      <c r="T110" s="933"/>
      <c r="U110" s="933"/>
      <c r="V110" s="933"/>
      <c r="W110" s="933"/>
      <c r="X110" s="933"/>
      <c r="Y110" s="933"/>
      <c r="Z110" s="933"/>
      <c r="AA110" s="933"/>
      <c r="AB110" s="933"/>
      <c r="AC110" s="933"/>
      <c r="AD110" s="933"/>
      <c r="AE110" s="933"/>
    </row>
    <row r="111" spans="1:31" ht="12.75">
      <c r="A111" s="933"/>
      <c r="B111" s="933"/>
      <c r="C111" s="933"/>
      <c r="D111" s="933"/>
      <c r="E111" s="933"/>
      <c r="F111" s="933"/>
      <c r="G111" s="933"/>
      <c r="H111" s="933"/>
      <c r="I111" s="933"/>
      <c r="J111" s="933"/>
      <c r="K111" s="933"/>
      <c r="L111" s="933"/>
      <c r="M111" s="933"/>
      <c r="N111" s="933"/>
      <c r="O111" s="933"/>
      <c r="P111" s="933"/>
      <c r="Q111" s="933"/>
      <c r="R111" s="933"/>
      <c r="S111" s="933"/>
      <c r="T111" s="933"/>
      <c r="U111" s="933"/>
      <c r="V111" s="933"/>
      <c r="W111" s="933"/>
      <c r="X111" s="933"/>
      <c r="Y111" s="933"/>
      <c r="Z111" s="933"/>
      <c r="AA111" s="933"/>
      <c r="AB111" s="933"/>
      <c r="AC111" s="933"/>
      <c r="AD111" s="933"/>
      <c r="AE111" s="933"/>
    </row>
    <row r="112" spans="1:31" ht="12.75">
      <c r="A112" s="933"/>
      <c r="B112" s="933"/>
      <c r="C112" s="933"/>
      <c r="D112" s="933"/>
      <c r="E112" s="933"/>
      <c r="F112" s="933"/>
      <c r="G112" s="933"/>
      <c r="H112" s="933"/>
      <c r="I112" s="933"/>
      <c r="J112" s="933"/>
      <c r="K112" s="933"/>
      <c r="L112" s="933"/>
      <c r="M112" s="933"/>
      <c r="N112" s="933"/>
      <c r="O112" s="933"/>
      <c r="P112" s="933"/>
      <c r="Q112" s="933"/>
      <c r="R112" s="933"/>
      <c r="S112" s="933"/>
      <c r="T112" s="933"/>
      <c r="U112" s="933"/>
      <c r="V112" s="933"/>
      <c r="W112" s="933"/>
      <c r="X112" s="933"/>
      <c r="Y112" s="933"/>
      <c r="Z112" s="933"/>
      <c r="AA112" s="933"/>
      <c r="AB112" s="933"/>
      <c r="AC112" s="933"/>
      <c r="AD112" s="933"/>
      <c r="AE112" s="933"/>
    </row>
    <row r="113" spans="1:31" ht="12.75">
      <c r="A113" s="933"/>
      <c r="B113" s="933"/>
      <c r="C113" s="933"/>
      <c r="D113" s="933"/>
      <c r="E113" s="933"/>
      <c r="F113" s="933"/>
      <c r="G113" s="933"/>
      <c r="H113" s="933"/>
      <c r="I113" s="933"/>
      <c r="J113" s="933"/>
      <c r="K113" s="933"/>
      <c r="L113" s="933"/>
      <c r="M113" s="933"/>
      <c r="N113" s="933"/>
      <c r="O113" s="933"/>
      <c r="P113" s="933"/>
      <c r="Q113" s="933"/>
      <c r="R113" s="933"/>
      <c r="S113" s="933"/>
      <c r="T113" s="933"/>
      <c r="U113" s="933"/>
      <c r="V113" s="933"/>
      <c r="W113" s="933"/>
      <c r="X113" s="933"/>
      <c r="Y113" s="933"/>
      <c r="Z113" s="933"/>
      <c r="AA113" s="933"/>
      <c r="AB113" s="933"/>
      <c r="AC113" s="933"/>
      <c r="AD113" s="933"/>
      <c r="AE113" s="933"/>
    </row>
    <row r="114" spans="1:31" ht="12.75">
      <c r="A114" s="933"/>
      <c r="B114" s="933"/>
      <c r="C114" s="933"/>
      <c r="D114" s="933"/>
      <c r="E114" s="933"/>
      <c r="F114" s="933"/>
      <c r="G114" s="933"/>
      <c r="H114" s="933"/>
      <c r="I114" s="933"/>
      <c r="J114" s="933"/>
      <c r="K114" s="933"/>
      <c r="L114" s="933"/>
      <c r="M114" s="933"/>
      <c r="N114" s="933"/>
      <c r="O114" s="933"/>
      <c r="P114" s="933"/>
      <c r="Q114" s="933"/>
      <c r="R114" s="933"/>
      <c r="S114" s="933"/>
      <c r="T114" s="933"/>
      <c r="U114" s="933"/>
      <c r="V114" s="933"/>
      <c r="W114" s="933"/>
      <c r="X114" s="933"/>
      <c r="Y114" s="933"/>
      <c r="Z114" s="933"/>
      <c r="AA114" s="933"/>
      <c r="AB114" s="933"/>
      <c r="AC114" s="933"/>
      <c r="AD114" s="933"/>
      <c r="AE114" s="933"/>
    </row>
    <row r="115" spans="1:31" ht="12.75">
      <c r="A115" s="933"/>
      <c r="B115" s="933"/>
      <c r="C115" s="933"/>
      <c r="D115" s="933"/>
      <c r="E115" s="933"/>
      <c r="F115" s="933"/>
      <c r="G115" s="933"/>
      <c r="H115" s="933"/>
      <c r="I115" s="933"/>
      <c r="J115" s="933"/>
      <c r="K115" s="933"/>
      <c r="L115" s="933"/>
      <c r="M115" s="933"/>
      <c r="N115" s="933"/>
      <c r="O115" s="933"/>
      <c r="P115" s="933"/>
      <c r="Q115" s="933"/>
      <c r="R115" s="933"/>
      <c r="S115" s="933"/>
      <c r="T115" s="933"/>
      <c r="U115" s="933"/>
      <c r="V115" s="933"/>
      <c r="W115" s="933"/>
      <c r="X115" s="933"/>
      <c r="Y115" s="933"/>
      <c r="Z115" s="933"/>
      <c r="AA115" s="933"/>
      <c r="AB115" s="933"/>
      <c r="AC115" s="933"/>
      <c r="AD115" s="933"/>
      <c r="AE115" s="933"/>
    </row>
    <row r="116" spans="1:31" ht="12.75">
      <c r="A116" s="933"/>
      <c r="B116" s="933"/>
      <c r="C116" s="933"/>
      <c r="D116" s="933"/>
      <c r="E116" s="933"/>
      <c r="F116" s="933"/>
      <c r="G116" s="933"/>
      <c r="H116" s="933"/>
      <c r="I116" s="933"/>
      <c r="J116" s="933"/>
      <c r="K116" s="933"/>
      <c r="L116" s="933"/>
      <c r="M116" s="933"/>
      <c r="N116" s="933"/>
      <c r="O116" s="933"/>
      <c r="P116" s="933"/>
      <c r="Q116" s="933"/>
      <c r="R116" s="933"/>
      <c r="S116" s="933"/>
      <c r="T116" s="933"/>
      <c r="U116" s="933"/>
      <c r="V116" s="933"/>
      <c r="W116" s="933"/>
      <c r="X116" s="933"/>
      <c r="Y116" s="933"/>
      <c r="Z116" s="933"/>
      <c r="AA116" s="933"/>
      <c r="AB116" s="933"/>
      <c r="AC116" s="933"/>
      <c r="AD116" s="933"/>
      <c r="AE116" s="933"/>
    </row>
    <row r="117" spans="1:31" ht="12.75">
      <c r="A117" s="933"/>
      <c r="B117" s="933"/>
      <c r="C117" s="933"/>
      <c r="D117" s="933"/>
      <c r="E117" s="933"/>
      <c r="F117" s="933"/>
      <c r="G117" s="933"/>
      <c r="H117" s="933"/>
      <c r="I117" s="933"/>
      <c r="J117" s="933"/>
      <c r="K117" s="933"/>
      <c r="L117" s="933"/>
      <c r="M117" s="933"/>
      <c r="N117" s="933"/>
      <c r="O117" s="933"/>
      <c r="P117" s="933"/>
      <c r="Q117" s="933"/>
      <c r="R117" s="933"/>
      <c r="S117" s="933"/>
      <c r="T117" s="933"/>
      <c r="U117" s="933"/>
      <c r="V117" s="933"/>
      <c r="W117" s="933"/>
      <c r="X117" s="933"/>
      <c r="Y117" s="933"/>
      <c r="Z117" s="933"/>
      <c r="AA117" s="933"/>
      <c r="AB117" s="933"/>
      <c r="AC117" s="933"/>
      <c r="AD117" s="933"/>
      <c r="AE117" s="933"/>
    </row>
    <row r="118" spans="1:31" ht="12.75">
      <c r="A118" s="933"/>
      <c r="B118" s="933"/>
      <c r="C118" s="933"/>
      <c r="D118" s="933"/>
      <c r="E118" s="933"/>
      <c r="F118" s="933"/>
      <c r="G118" s="933"/>
      <c r="H118" s="933"/>
      <c r="I118" s="933"/>
      <c r="J118" s="933"/>
      <c r="K118" s="933"/>
      <c r="L118" s="933"/>
      <c r="M118" s="933"/>
      <c r="N118" s="933"/>
      <c r="O118" s="933"/>
      <c r="P118" s="933"/>
      <c r="Q118" s="933"/>
      <c r="R118" s="933"/>
      <c r="S118" s="933"/>
      <c r="T118" s="933"/>
      <c r="U118" s="933"/>
      <c r="V118" s="933"/>
      <c r="W118" s="933"/>
      <c r="X118" s="933"/>
      <c r="Y118" s="933"/>
      <c r="Z118" s="933"/>
      <c r="AA118" s="933"/>
      <c r="AB118" s="933"/>
      <c r="AC118" s="933"/>
      <c r="AD118" s="933"/>
      <c r="AE118" s="933"/>
    </row>
    <row r="119" spans="1:31" ht="12.75">
      <c r="A119" s="933"/>
      <c r="B119" s="933"/>
      <c r="C119" s="933"/>
      <c r="D119" s="933"/>
      <c r="E119" s="933"/>
      <c r="F119" s="933"/>
      <c r="G119" s="933"/>
      <c r="H119" s="933"/>
      <c r="I119" s="933"/>
      <c r="J119" s="933"/>
      <c r="K119" s="933"/>
      <c r="L119" s="933"/>
      <c r="M119" s="933"/>
      <c r="N119" s="933"/>
      <c r="O119" s="933"/>
      <c r="P119" s="933"/>
      <c r="Q119" s="933"/>
      <c r="R119" s="933"/>
      <c r="S119" s="933"/>
      <c r="T119" s="933"/>
      <c r="U119" s="933"/>
      <c r="V119" s="933"/>
      <c r="W119" s="933"/>
      <c r="X119" s="933"/>
      <c r="Y119" s="933"/>
      <c r="Z119" s="933"/>
      <c r="AA119" s="933"/>
      <c r="AB119" s="933"/>
      <c r="AC119" s="933"/>
      <c r="AD119" s="933"/>
      <c r="AE119" s="933"/>
    </row>
    <row r="120" spans="1:31" ht="12.75">
      <c r="A120" s="933"/>
      <c r="B120" s="933"/>
      <c r="C120" s="933"/>
      <c r="D120" s="933"/>
      <c r="E120" s="933"/>
      <c r="F120" s="933"/>
      <c r="G120" s="933"/>
      <c r="H120" s="933"/>
      <c r="I120" s="933"/>
      <c r="J120" s="933"/>
      <c r="K120" s="933"/>
      <c r="L120" s="933"/>
      <c r="M120" s="933"/>
      <c r="N120" s="933"/>
      <c r="O120" s="933"/>
      <c r="P120" s="933"/>
      <c r="Q120" s="933"/>
      <c r="R120" s="933"/>
      <c r="S120" s="933"/>
      <c r="T120" s="933"/>
      <c r="U120" s="933"/>
      <c r="V120" s="933"/>
      <c r="W120" s="933"/>
      <c r="X120" s="933"/>
      <c r="Y120" s="933"/>
      <c r="Z120" s="933"/>
      <c r="AA120" s="933"/>
      <c r="AB120" s="933"/>
      <c r="AC120" s="933"/>
      <c r="AD120" s="933"/>
      <c r="AE120" s="933"/>
    </row>
    <row r="121" spans="1:31" ht="12.75">
      <c r="A121" s="933"/>
      <c r="B121" s="933"/>
      <c r="C121" s="933"/>
      <c r="D121" s="933"/>
      <c r="E121" s="933"/>
      <c r="F121" s="933"/>
      <c r="G121" s="933"/>
      <c r="H121" s="933"/>
      <c r="I121" s="933"/>
      <c r="J121" s="933"/>
      <c r="K121" s="933"/>
      <c r="L121" s="933"/>
      <c r="M121" s="933"/>
      <c r="N121" s="933"/>
      <c r="O121" s="933"/>
      <c r="P121" s="933"/>
      <c r="Q121" s="933"/>
      <c r="R121" s="933"/>
      <c r="S121" s="933"/>
      <c r="T121" s="933"/>
      <c r="U121" s="933"/>
      <c r="V121" s="933"/>
      <c r="W121" s="933"/>
      <c r="X121" s="933"/>
      <c r="Y121" s="933"/>
      <c r="Z121" s="933"/>
      <c r="AA121" s="933"/>
      <c r="AB121" s="933"/>
      <c r="AC121" s="933"/>
      <c r="AD121" s="933"/>
      <c r="AE121" s="933"/>
    </row>
    <row r="122" spans="1:31" ht="12.75">
      <c r="A122" s="933"/>
      <c r="B122" s="933"/>
      <c r="C122" s="933"/>
      <c r="D122" s="933"/>
      <c r="E122" s="933"/>
      <c r="F122" s="933"/>
      <c r="G122" s="933"/>
      <c r="H122" s="933"/>
      <c r="I122" s="933"/>
      <c r="J122" s="933"/>
      <c r="K122" s="933"/>
      <c r="L122" s="933"/>
      <c r="M122" s="933"/>
      <c r="N122" s="933"/>
      <c r="O122" s="933"/>
      <c r="P122" s="933"/>
      <c r="Q122" s="933"/>
      <c r="R122" s="933"/>
      <c r="S122" s="933"/>
      <c r="T122" s="933"/>
      <c r="U122" s="933"/>
      <c r="V122" s="933"/>
      <c r="W122" s="933"/>
      <c r="X122" s="933"/>
      <c r="Y122" s="933"/>
      <c r="Z122" s="933"/>
      <c r="AA122" s="933"/>
      <c r="AB122" s="933"/>
      <c r="AC122" s="933"/>
      <c r="AD122" s="933"/>
      <c r="AE122" s="933"/>
    </row>
    <row r="123" spans="1:31" ht="12.75">
      <c r="A123" s="933"/>
      <c r="B123" s="933"/>
      <c r="C123" s="933"/>
      <c r="D123" s="933"/>
      <c r="E123" s="933"/>
      <c r="F123" s="933"/>
      <c r="G123" s="933"/>
      <c r="H123" s="933"/>
      <c r="I123" s="933"/>
      <c r="J123" s="933"/>
      <c r="K123" s="933"/>
      <c r="L123" s="933"/>
      <c r="M123" s="933"/>
      <c r="N123" s="933"/>
      <c r="O123" s="933"/>
      <c r="P123" s="933"/>
      <c r="Q123" s="933"/>
      <c r="R123" s="933"/>
      <c r="S123" s="933"/>
      <c r="T123" s="933"/>
      <c r="U123" s="933"/>
      <c r="V123" s="933"/>
      <c r="W123" s="933"/>
      <c r="X123" s="933"/>
      <c r="Y123" s="933"/>
      <c r="Z123" s="933"/>
      <c r="AA123" s="933"/>
      <c r="AB123" s="933"/>
      <c r="AC123" s="933"/>
      <c r="AD123" s="933"/>
      <c r="AE123" s="933"/>
    </row>
    <row r="124" spans="1:31" ht="12.75">
      <c r="A124" s="933"/>
      <c r="B124" s="933"/>
      <c r="C124" s="933"/>
      <c r="D124" s="933"/>
      <c r="E124" s="933"/>
      <c r="F124" s="933"/>
      <c r="G124" s="933"/>
      <c r="H124" s="933"/>
      <c r="I124" s="933"/>
      <c r="J124" s="933"/>
      <c r="K124" s="933"/>
      <c r="L124" s="933"/>
      <c r="M124" s="933"/>
      <c r="N124" s="933"/>
      <c r="O124" s="933"/>
      <c r="P124" s="933"/>
      <c r="Q124" s="933"/>
      <c r="R124" s="933"/>
      <c r="S124" s="933"/>
      <c r="T124" s="933"/>
      <c r="U124" s="933"/>
      <c r="V124" s="933"/>
      <c r="W124" s="933"/>
      <c r="X124" s="933"/>
      <c r="Y124" s="933"/>
      <c r="Z124" s="933"/>
      <c r="AA124" s="933"/>
      <c r="AB124" s="933"/>
      <c r="AC124" s="933"/>
      <c r="AD124" s="933"/>
      <c r="AE124" s="933"/>
    </row>
    <row r="125" spans="1:31" ht="12.75">
      <c r="A125" s="933"/>
      <c r="B125" s="933"/>
      <c r="C125" s="933"/>
      <c r="D125" s="933"/>
      <c r="E125" s="933"/>
      <c r="F125" s="933"/>
      <c r="G125" s="933"/>
      <c r="H125" s="933"/>
      <c r="I125" s="933"/>
      <c r="J125" s="933"/>
      <c r="K125" s="933"/>
      <c r="L125" s="933"/>
      <c r="M125" s="933"/>
      <c r="N125" s="933"/>
      <c r="O125" s="933"/>
      <c r="P125" s="933"/>
      <c r="Q125" s="933"/>
      <c r="R125" s="933"/>
      <c r="S125" s="933"/>
      <c r="T125" s="933"/>
      <c r="U125" s="933"/>
      <c r="V125" s="933"/>
      <c r="W125" s="933"/>
      <c r="X125" s="933"/>
      <c r="Y125" s="933"/>
      <c r="Z125" s="933"/>
      <c r="AA125" s="933"/>
      <c r="AB125" s="933"/>
      <c r="AC125" s="933"/>
      <c r="AD125" s="933"/>
      <c r="AE125" s="933"/>
    </row>
    <row r="126" spans="1:31" ht="12.75">
      <c r="A126" s="933"/>
      <c r="B126" s="933"/>
      <c r="C126" s="933"/>
      <c r="D126" s="933"/>
      <c r="E126" s="933"/>
      <c r="F126" s="933"/>
      <c r="G126" s="933"/>
      <c r="H126" s="933"/>
      <c r="I126" s="933"/>
      <c r="J126" s="933"/>
      <c r="K126" s="933"/>
      <c r="L126" s="933"/>
      <c r="M126" s="933"/>
      <c r="N126" s="933"/>
      <c r="O126" s="933"/>
      <c r="P126" s="933"/>
      <c r="Q126" s="933"/>
      <c r="R126" s="933"/>
      <c r="S126" s="933"/>
      <c r="T126" s="933"/>
      <c r="U126" s="933"/>
      <c r="V126" s="933"/>
      <c r="W126" s="933"/>
      <c r="X126" s="933"/>
      <c r="Y126" s="933"/>
      <c r="Z126" s="933"/>
      <c r="AA126" s="933"/>
      <c r="AB126" s="933"/>
      <c r="AC126" s="933"/>
      <c r="AD126" s="933"/>
      <c r="AE126" s="933"/>
    </row>
    <row r="127" spans="1:31" ht="12.75">
      <c r="A127" s="933"/>
      <c r="B127" s="933"/>
      <c r="C127" s="933"/>
      <c r="D127" s="933"/>
      <c r="E127" s="933"/>
      <c r="F127" s="933"/>
      <c r="G127" s="933"/>
      <c r="H127" s="933"/>
      <c r="I127" s="933"/>
      <c r="J127" s="933"/>
      <c r="K127" s="933"/>
      <c r="L127" s="933"/>
      <c r="M127" s="933"/>
      <c r="N127" s="933"/>
      <c r="O127" s="933"/>
      <c r="P127" s="933"/>
      <c r="Q127" s="933"/>
      <c r="R127" s="933"/>
      <c r="S127" s="933"/>
      <c r="T127" s="933"/>
      <c r="U127" s="933"/>
      <c r="V127" s="933"/>
      <c r="W127" s="933"/>
      <c r="X127" s="933"/>
      <c r="Y127" s="933"/>
      <c r="Z127" s="933"/>
      <c r="AA127" s="933"/>
      <c r="AB127" s="933"/>
      <c r="AC127" s="933"/>
      <c r="AD127" s="933"/>
      <c r="AE127" s="933"/>
    </row>
    <row r="128" spans="1:31" ht="12.75">
      <c r="A128" s="933"/>
      <c r="B128" s="933"/>
      <c r="C128" s="933"/>
      <c r="D128" s="933"/>
      <c r="E128" s="933"/>
      <c r="F128" s="933"/>
      <c r="G128" s="933"/>
      <c r="H128" s="933"/>
      <c r="I128" s="933"/>
      <c r="J128" s="933"/>
      <c r="K128" s="933"/>
      <c r="L128" s="933"/>
      <c r="M128" s="933"/>
      <c r="N128" s="933"/>
      <c r="O128" s="933"/>
      <c r="P128" s="933"/>
      <c r="Q128" s="933"/>
      <c r="R128" s="933"/>
      <c r="S128" s="933"/>
      <c r="T128" s="933"/>
      <c r="U128" s="933"/>
      <c r="V128" s="933"/>
      <c r="W128" s="933"/>
      <c r="X128" s="933"/>
      <c r="Y128" s="933"/>
      <c r="Z128" s="933"/>
      <c r="AA128" s="933"/>
      <c r="AB128" s="933"/>
      <c r="AC128" s="933"/>
      <c r="AD128" s="933"/>
      <c r="AE128" s="933"/>
    </row>
    <row r="129" spans="1:31" ht="12.75">
      <c r="A129" s="933"/>
      <c r="B129" s="933"/>
      <c r="C129" s="933"/>
      <c r="D129" s="933"/>
      <c r="E129" s="933"/>
      <c r="F129" s="933"/>
      <c r="G129" s="933"/>
      <c r="H129" s="933"/>
      <c r="I129" s="933"/>
      <c r="J129" s="933"/>
      <c r="K129" s="933"/>
      <c r="L129" s="933"/>
      <c r="M129" s="933"/>
      <c r="N129" s="933"/>
      <c r="O129" s="933"/>
      <c r="P129" s="933"/>
      <c r="Q129" s="933"/>
      <c r="R129" s="933"/>
      <c r="S129" s="933"/>
      <c r="T129" s="933"/>
      <c r="U129" s="933"/>
      <c r="V129" s="933"/>
      <c r="W129" s="933"/>
      <c r="X129" s="933"/>
      <c r="Y129" s="933"/>
      <c r="Z129" s="933"/>
      <c r="AA129" s="933"/>
      <c r="AB129" s="933"/>
      <c r="AC129" s="933"/>
      <c r="AD129" s="933"/>
      <c r="AE129" s="933"/>
    </row>
    <row r="130" spans="1:31" ht="12.75">
      <c r="A130" s="933"/>
      <c r="B130" s="933"/>
      <c r="C130" s="933"/>
      <c r="D130" s="933"/>
      <c r="E130" s="933"/>
      <c r="F130" s="933"/>
      <c r="G130" s="933"/>
      <c r="H130" s="933"/>
      <c r="I130" s="933"/>
      <c r="J130" s="933"/>
      <c r="K130" s="933"/>
      <c r="L130" s="933"/>
      <c r="M130" s="933"/>
      <c r="N130" s="933"/>
      <c r="O130" s="933"/>
      <c r="P130" s="933"/>
      <c r="Q130" s="933"/>
      <c r="R130" s="933"/>
      <c r="S130" s="933"/>
      <c r="T130" s="933"/>
      <c r="U130" s="933"/>
      <c r="V130" s="933"/>
      <c r="W130" s="933"/>
      <c r="X130" s="933"/>
      <c r="Y130" s="933"/>
      <c r="Z130" s="933"/>
      <c r="AA130" s="933"/>
      <c r="AB130" s="933"/>
      <c r="AC130" s="933"/>
      <c r="AD130" s="933"/>
      <c r="AE130" s="933"/>
    </row>
    <row r="131" spans="1:31" ht="12.75">
      <c r="A131" s="933"/>
      <c r="B131" s="933"/>
      <c r="C131" s="933"/>
      <c r="D131" s="933"/>
      <c r="E131" s="933"/>
      <c r="F131" s="933"/>
      <c r="G131" s="933"/>
      <c r="H131" s="933"/>
      <c r="I131" s="933"/>
      <c r="J131" s="933"/>
      <c r="K131" s="933"/>
      <c r="L131" s="933"/>
      <c r="M131" s="933"/>
      <c r="N131" s="933"/>
      <c r="O131" s="933"/>
      <c r="P131" s="933"/>
      <c r="Q131" s="933"/>
      <c r="R131" s="933"/>
      <c r="S131" s="933"/>
      <c r="T131" s="933"/>
      <c r="U131" s="933"/>
      <c r="V131" s="933"/>
      <c r="W131" s="933"/>
      <c r="X131" s="933"/>
      <c r="Y131" s="933"/>
      <c r="Z131" s="933"/>
      <c r="AA131" s="933"/>
      <c r="AB131" s="933"/>
      <c r="AC131" s="933"/>
      <c r="AD131" s="933"/>
      <c r="AE131" s="933"/>
    </row>
    <row r="132" spans="1:31" ht="12.75">
      <c r="A132" s="933"/>
      <c r="B132" s="933"/>
      <c r="C132" s="933"/>
      <c r="D132" s="933"/>
      <c r="E132" s="933"/>
      <c r="F132" s="933"/>
      <c r="G132" s="933"/>
      <c r="H132" s="933"/>
      <c r="I132" s="933"/>
      <c r="J132" s="933"/>
      <c r="K132" s="933"/>
      <c r="L132" s="933"/>
      <c r="M132" s="933"/>
      <c r="N132" s="933"/>
      <c r="O132" s="933"/>
      <c r="P132" s="933"/>
      <c r="Q132" s="933"/>
      <c r="R132" s="933"/>
      <c r="S132" s="933"/>
      <c r="T132" s="933"/>
      <c r="U132" s="933"/>
      <c r="V132" s="933"/>
      <c r="W132" s="933"/>
      <c r="X132" s="933"/>
      <c r="Y132" s="933"/>
      <c r="Z132" s="933"/>
      <c r="AA132" s="933"/>
      <c r="AB132" s="933"/>
      <c r="AC132" s="933"/>
      <c r="AD132" s="933"/>
      <c r="AE132" s="933"/>
    </row>
    <row r="133" spans="1:31" ht="12.75">
      <c r="A133" s="933"/>
      <c r="B133" s="933"/>
      <c r="C133" s="933"/>
      <c r="D133" s="933"/>
      <c r="E133" s="933"/>
      <c r="F133" s="933"/>
      <c r="G133" s="933"/>
      <c r="H133" s="933"/>
      <c r="I133" s="933"/>
      <c r="J133" s="933"/>
      <c r="K133" s="933"/>
      <c r="L133" s="933"/>
      <c r="M133" s="933"/>
      <c r="N133" s="933"/>
      <c r="O133" s="933"/>
      <c r="P133" s="933"/>
      <c r="Q133" s="933"/>
      <c r="R133" s="933"/>
      <c r="S133" s="933"/>
      <c r="T133" s="933"/>
      <c r="U133" s="933"/>
      <c r="V133" s="933"/>
      <c r="W133" s="933"/>
      <c r="X133" s="933"/>
      <c r="Y133" s="933"/>
      <c r="Z133" s="933"/>
      <c r="AA133" s="933"/>
      <c r="AB133" s="933"/>
      <c r="AC133" s="933"/>
      <c r="AD133" s="933"/>
      <c r="AE133" s="933"/>
    </row>
    <row r="134" spans="1:31" ht="12.75">
      <c r="A134" s="933"/>
      <c r="B134" s="933"/>
      <c r="C134" s="933"/>
      <c r="D134" s="933"/>
      <c r="E134" s="933"/>
      <c r="F134" s="933"/>
      <c r="G134" s="933"/>
      <c r="H134" s="933"/>
      <c r="I134" s="933"/>
      <c r="J134" s="933"/>
      <c r="K134" s="933"/>
      <c r="L134" s="933"/>
      <c r="M134" s="933"/>
      <c r="N134" s="933"/>
      <c r="O134" s="933"/>
      <c r="P134" s="933"/>
      <c r="Q134" s="933"/>
      <c r="R134" s="933"/>
      <c r="S134" s="933"/>
      <c r="T134" s="933"/>
      <c r="U134" s="933"/>
      <c r="V134" s="933"/>
      <c r="W134" s="933"/>
      <c r="X134" s="933"/>
      <c r="Y134" s="933"/>
      <c r="Z134" s="933"/>
      <c r="AA134" s="933"/>
      <c r="AB134" s="933"/>
      <c r="AC134" s="933"/>
      <c r="AD134" s="933"/>
      <c r="AE134" s="933"/>
    </row>
    <row r="135" spans="1:31" ht="12.75">
      <c r="A135" s="933"/>
      <c r="B135" s="933"/>
      <c r="C135" s="933"/>
      <c r="D135" s="933"/>
      <c r="E135" s="933"/>
      <c r="F135" s="933"/>
      <c r="G135" s="933"/>
      <c r="H135" s="933"/>
      <c r="I135" s="933"/>
      <c r="J135" s="933"/>
      <c r="K135" s="933"/>
      <c r="L135" s="933"/>
      <c r="M135" s="933"/>
      <c r="N135" s="933"/>
      <c r="O135" s="933"/>
      <c r="P135" s="933"/>
      <c r="Q135" s="933"/>
      <c r="R135" s="933"/>
      <c r="S135" s="933"/>
      <c r="T135" s="933"/>
      <c r="U135" s="933"/>
      <c r="V135" s="933"/>
      <c r="W135" s="933"/>
      <c r="X135" s="933"/>
      <c r="Y135" s="933"/>
      <c r="Z135" s="933"/>
      <c r="AA135" s="933"/>
      <c r="AB135" s="933"/>
      <c r="AC135" s="933"/>
      <c r="AD135" s="933"/>
      <c r="AE135" s="933"/>
    </row>
    <row r="136" spans="1:31" ht="12.75">
      <c r="A136" s="933"/>
      <c r="B136" s="933"/>
      <c r="C136" s="933"/>
      <c r="D136" s="933"/>
      <c r="E136" s="933"/>
      <c r="F136" s="933"/>
      <c r="G136" s="933"/>
      <c r="H136" s="933"/>
      <c r="I136" s="933"/>
      <c r="J136" s="933"/>
      <c r="K136" s="933"/>
      <c r="L136" s="933"/>
      <c r="M136" s="933"/>
      <c r="N136" s="933"/>
      <c r="O136" s="933"/>
      <c r="P136" s="933"/>
      <c r="Q136" s="933"/>
      <c r="R136" s="933"/>
      <c r="S136" s="933"/>
      <c r="T136" s="933"/>
      <c r="U136" s="933"/>
      <c r="V136" s="933"/>
      <c r="W136" s="933"/>
      <c r="X136" s="933"/>
      <c r="Y136" s="933"/>
      <c r="Z136" s="933"/>
      <c r="AA136" s="933"/>
      <c r="AB136" s="933"/>
      <c r="AC136" s="933"/>
      <c r="AD136" s="933"/>
      <c r="AE136" s="933"/>
    </row>
    <row r="137" spans="1:31" ht="12.75">
      <c r="A137" s="933"/>
      <c r="B137" s="933"/>
      <c r="C137" s="933"/>
      <c r="D137" s="933"/>
      <c r="E137" s="933"/>
      <c r="F137" s="933"/>
      <c r="G137" s="933"/>
      <c r="H137" s="933"/>
      <c r="I137" s="933"/>
      <c r="J137" s="933"/>
      <c r="K137" s="933"/>
      <c r="L137" s="933"/>
      <c r="M137" s="933"/>
      <c r="N137" s="933"/>
      <c r="O137" s="933"/>
      <c r="P137" s="933"/>
      <c r="Q137" s="933"/>
      <c r="R137" s="933"/>
      <c r="S137" s="933"/>
      <c r="T137" s="933"/>
      <c r="U137" s="933"/>
      <c r="V137" s="933"/>
      <c r="W137" s="933"/>
      <c r="X137" s="933"/>
      <c r="Y137" s="933"/>
      <c r="Z137" s="933"/>
      <c r="AA137" s="933"/>
      <c r="AB137" s="933"/>
      <c r="AC137" s="933"/>
      <c r="AD137" s="933"/>
      <c r="AE137" s="933"/>
    </row>
    <row r="138" spans="1:31" ht="12.75">
      <c r="A138" s="933"/>
      <c r="B138" s="933"/>
      <c r="C138" s="933"/>
      <c r="D138" s="933"/>
      <c r="E138" s="933"/>
      <c r="F138" s="933"/>
      <c r="G138" s="933"/>
      <c r="H138" s="933"/>
      <c r="I138" s="933"/>
      <c r="J138" s="933"/>
      <c r="K138" s="933"/>
      <c r="L138" s="933"/>
      <c r="M138" s="933"/>
      <c r="N138" s="933"/>
      <c r="O138" s="933"/>
      <c r="P138" s="933"/>
      <c r="Q138" s="933"/>
      <c r="R138" s="933"/>
      <c r="S138" s="933"/>
      <c r="T138" s="933"/>
      <c r="U138" s="933"/>
      <c r="V138" s="933"/>
      <c r="W138" s="933"/>
      <c r="X138" s="933"/>
      <c r="Y138" s="933"/>
      <c r="Z138" s="933"/>
      <c r="AA138" s="933"/>
      <c r="AB138" s="933"/>
      <c r="AC138" s="933"/>
      <c r="AD138" s="933"/>
      <c r="AE138" s="933"/>
    </row>
    <row r="139" spans="1:31" ht="12.75">
      <c r="A139" s="933"/>
      <c r="B139" s="933"/>
      <c r="C139" s="933"/>
      <c r="D139" s="933"/>
      <c r="E139" s="933"/>
      <c r="F139" s="933"/>
      <c r="G139" s="933"/>
      <c r="H139" s="933"/>
      <c r="I139" s="933"/>
      <c r="J139" s="933"/>
      <c r="K139" s="933"/>
      <c r="L139" s="933"/>
      <c r="M139" s="933"/>
      <c r="N139" s="933"/>
      <c r="O139" s="933"/>
      <c r="P139" s="933"/>
      <c r="Q139" s="933"/>
      <c r="R139" s="933"/>
      <c r="S139" s="933"/>
      <c r="T139" s="933"/>
      <c r="U139" s="933"/>
      <c r="V139" s="933"/>
      <c r="W139" s="933"/>
      <c r="X139" s="933"/>
      <c r="Y139" s="933"/>
      <c r="Z139" s="933"/>
      <c r="AA139" s="933"/>
      <c r="AB139" s="933"/>
      <c r="AC139" s="933"/>
      <c r="AD139" s="933"/>
      <c r="AE139" s="933"/>
    </row>
    <row r="140" spans="1:31" ht="12.75">
      <c r="A140" s="933"/>
      <c r="B140" s="933"/>
      <c r="C140" s="933"/>
      <c r="D140" s="933"/>
      <c r="E140" s="933"/>
      <c r="F140" s="933"/>
      <c r="G140" s="933"/>
      <c r="H140" s="933"/>
      <c r="I140" s="933"/>
      <c r="J140" s="933"/>
      <c r="K140" s="933"/>
      <c r="L140" s="933"/>
      <c r="M140" s="933"/>
      <c r="N140" s="933"/>
      <c r="O140" s="933"/>
      <c r="P140" s="933"/>
      <c r="Q140" s="933"/>
      <c r="R140" s="933"/>
      <c r="S140" s="933"/>
      <c r="T140" s="933"/>
      <c r="U140" s="933"/>
      <c r="V140" s="933"/>
      <c r="W140" s="933"/>
      <c r="X140" s="933"/>
      <c r="Y140" s="933"/>
      <c r="Z140" s="933"/>
      <c r="AA140" s="933"/>
      <c r="AB140" s="933"/>
      <c r="AC140" s="933"/>
      <c r="AD140" s="933"/>
      <c r="AE140" s="933"/>
    </row>
    <row r="141" spans="1:31" ht="12.75">
      <c r="A141" s="933"/>
      <c r="B141" s="933"/>
      <c r="C141" s="933"/>
      <c r="D141" s="933"/>
      <c r="E141" s="933"/>
      <c r="F141" s="933"/>
      <c r="G141" s="933"/>
      <c r="H141" s="933"/>
      <c r="I141" s="933"/>
      <c r="J141" s="933"/>
      <c r="K141" s="933"/>
      <c r="L141" s="933"/>
      <c r="M141" s="933"/>
      <c r="N141" s="933"/>
      <c r="O141" s="933"/>
      <c r="P141" s="933"/>
      <c r="Q141" s="933"/>
      <c r="R141" s="933"/>
      <c r="S141" s="933"/>
      <c r="T141" s="933"/>
      <c r="U141" s="933"/>
      <c r="V141" s="933"/>
      <c r="W141" s="933"/>
      <c r="X141" s="933"/>
      <c r="Y141" s="933"/>
      <c r="Z141" s="933"/>
      <c r="AA141" s="933"/>
      <c r="AB141" s="933"/>
      <c r="AC141" s="933"/>
      <c r="AD141" s="933"/>
      <c r="AE141" s="933"/>
    </row>
    <row r="142" spans="1:31" ht="12.75">
      <c r="A142" s="933"/>
      <c r="B142" s="933"/>
      <c r="C142" s="933"/>
      <c r="D142" s="933"/>
      <c r="E142" s="933"/>
      <c r="F142" s="933"/>
      <c r="G142" s="933"/>
      <c r="H142" s="933"/>
      <c r="I142" s="933"/>
      <c r="J142" s="933"/>
      <c r="K142" s="933"/>
      <c r="L142" s="933"/>
      <c r="M142" s="933"/>
      <c r="N142" s="933"/>
      <c r="O142" s="933"/>
      <c r="P142" s="933"/>
      <c r="Q142" s="933"/>
      <c r="R142" s="933"/>
      <c r="S142" s="933"/>
      <c r="T142" s="933"/>
      <c r="U142" s="933"/>
      <c r="V142" s="933"/>
      <c r="W142" s="933"/>
      <c r="X142" s="933"/>
      <c r="Y142" s="933"/>
      <c r="Z142" s="933"/>
      <c r="AA142" s="933"/>
      <c r="AB142" s="933"/>
      <c r="AC142" s="933"/>
      <c r="AD142" s="933"/>
      <c r="AE142" s="933"/>
    </row>
    <row r="143" spans="1:31" ht="12.75">
      <c r="A143" s="933"/>
      <c r="B143" s="933"/>
      <c r="C143" s="933"/>
      <c r="D143" s="933"/>
      <c r="E143" s="933"/>
      <c r="F143" s="933"/>
      <c r="G143" s="933"/>
      <c r="H143" s="933"/>
      <c r="I143" s="933"/>
      <c r="J143" s="933"/>
      <c r="K143" s="933"/>
      <c r="L143" s="933"/>
      <c r="M143" s="933"/>
      <c r="N143" s="933"/>
      <c r="O143" s="933"/>
      <c r="P143" s="933"/>
      <c r="Q143" s="933"/>
      <c r="R143" s="933"/>
      <c r="S143" s="933"/>
      <c r="T143" s="933"/>
      <c r="U143" s="933"/>
      <c r="V143" s="933"/>
      <c r="W143" s="933"/>
      <c r="X143" s="933"/>
      <c r="Y143" s="933"/>
      <c r="Z143" s="933"/>
      <c r="AA143" s="933"/>
      <c r="AB143" s="933"/>
      <c r="AC143" s="933"/>
      <c r="AD143" s="933"/>
      <c r="AE143" s="933"/>
    </row>
    <row r="144" spans="1:31" ht="12.75">
      <c r="A144" s="933"/>
      <c r="B144" s="933"/>
      <c r="C144" s="933"/>
      <c r="D144" s="933"/>
      <c r="E144" s="933"/>
      <c r="F144" s="933"/>
      <c r="G144" s="933"/>
      <c r="H144" s="933"/>
      <c r="I144" s="933"/>
      <c r="J144" s="933"/>
      <c r="K144" s="933"/>
      <c r="L144" s="933"/>
      <c r="M144" s="933"/>
      <c r="N144" s="933"/>
      <c r="O144" s="933"/>
      <c r="P144" s="933"/>
      <c r="Q144" s="933"/>
      <c r="R144" s="933"/>
      <c r="S144" s="933"/>
      <c r="T144" s="933"/>
      <c r="U144" s="933"/>
      <c r="V144" s="933"/>
      <c r="W144" s="933"/>
      <c r="X144" s="933"/>
      <c r="Y144" s="933"/>
      <c r="Z144" s="933"/>
      <c r="AA144" s="933"/>
      <c r="AB144" s="933"/>
      <c r="AC144" s="933"/>
      <c r="AD144" s="933"/>
      <c r="AE144" s="933"/>
    </row>
    <row r="145" spans="1:31" ht="12.75">
      <c r="A145" s="933"/>
      <c r="B145" s="933"/>
      <c r="C145" s="933"/>
      <c r="D145" s="933"/>
      <c r="E145" s="933"/>
      <c r="F145" s="933"/>
      <c r="G145" s="933"/>
      <c r="H145" s="933"/>
      <c r="I145" s="933"/>
      <c r="J145" s="933"/>
      <c r="K145" s="933"/>
      <c r="L145" s="933"/>
      <c r="M145" s="933"/>
      <c r="N145" s="933"/>
      <c r="O145" s="933"/>
      <c r="P145" s="933"/>
      <c r="Q145" s="933"/>
      <c r="R145" s="933"/>
      <c r="S145" s="933"/>
      <c r="T145" s="933"/>
      <c r="U145" s="933"/>
      <c r="V145" s="933"/>
      <c r="W145" s="933"/>
      <c r="X145" s="933"/>
      <c r="Y145" s="933"/>
      <c r="Z145" s="933"/>
      <c r="AA145" s="933"/>
      <c r="AB145" s="933"/>
      <c r="AC145" s="933"/>
      <c r="AD145" s="933"/>
      <c r="AE145" s="933"/>
    </row>
    <row r="146" spans="1:31" ht="12.75">
      <c r="A146" s="933"/>
      <c r="B146" s="933"/>
      <c r="C146" s="933"/>
      <c r="D146" s="933"/>
      <c r="E146" s="933"/>
      <c r="F146" s="933"/>
      <c r="G146" s="933"/>
      <c r="H146" s="933"/>
      <c r="I146" s="933"/>
      <c r="J146" s="933"/>
      <c r="K146" s="933"/>
      <c r="L146" s="933"/>
      <c r="M146" s="933"/>
      <c r="N146" s="933"/>
      <c r="O146" s="933"/>
      <c r="P146" s="933"/>
      <c r="Q146" s="933"/>
      <c r="R146" s="933"/>
      <c r="S146" s="933"/>
      <c r="T146" s="933"/>
      <c r="U146" s="933"/>
      <c r="V146" s="933"/>
      <c r="W146" s="933"/>
      <c r="X146" s="933"/>
      <c r="Y146" s="933"/>
      <c r="Z146" s="933"/>
      <c r="AA146" s="933"/>
      <c r="AB146" s="933"/>
      <c r="AC146" s="933"/>
      <c r="AD146" s="933"/>
      <c r="AE146" s="933"/>
    </row>
    <row r="147" spans="1:31" ht="12.75">
      <c r="A147" s="933"/>
      <c r="B147" s="933"/>
      <c r="C147" s="933"/>
      <c r="D147" s="933"/>
      <c r="E147" s="933"/>
      <c r="F147" s="933"/>
      <c r="G147" s="933"/>
      <c r="H147" s="933"/>
      <c r="I147" s="933"/>
      <c r="J147" s="933"/>
      <c r="K147" s="933"/>
      <c r="L147" s="933"/>
      <c r="M147" s="933"/>
      <c r="N147" s="933"/>
      <c r="O147" s="933"/>
      <c r="P147" s="933"/>
      <c r="Q147" s="933"/>
      <c r="R147" s="933"/>
      <c r="S147" s="933"/>
      <c r="T147" s="933"/>
      <c r="U147" s="933"/>
      <c r="V147" s="933"/>
      <c r="W147" s="933"/>
      <c r="X147" s="933"/>
      <c r="Y147" s="933"/>
      <c r="Z147" s="933"/>
      <c r="AA147" s="933"/>
      <c r="AB147" s="933"/>
      <c r="AC147" s="933"/>
      <c r="AD147" s="933"/>
      <c r="AE147" s="933"/>
    </row>
    <row r="148" spans="1:31" ht="12.75">
      <c r="A148" s="933"/>
      <c r="B148" s="933"/>
      <c r="C148" s="933"/>
      <c r="D148" s="933"/>
      <c r="E148" s="933"/>
      <c r="F148" s="933"/>
      <c r="G148" s="933"/>
      <c r="H148" s="933"/>
      <c r="I148" s="933"/>
      <c r="J148" s="933"/>
      <c r="K148" s="933"/>
      <c r="L148" s="933"/>
      <c r="M148" s="933"/>
      <c r="N148" s="933"/>
      <c r="O148" s="933"/>
      <c r="P148" s="933"/>
      <c r="Q148" s="933"/>
      <c r="R148" s="933"/>
      <c r="S148" s="933"/>
      <c r="T148" s="933"/>
      <c r="U148" s="933"/>
      <c r="V148" s="933"/>
      <c r="W148" s="933"/>
      <c r="X148" s="933"/>
      <c r="Y148" s="933"/>
      <c r="Z148" s="933"/>
      <c r="AA148" s="933"/>
      <c r="AB148" s="933"/>
      <c r="AC148" s="933"/>
      <c r="AD148" s="933"/>
      <c r="AE148" s="933"/>
    </row>
    <row r="149" spans="1:31" ht="12.75">
      <c r="A149" s="933"/>
      <c r="B149" s="933"/>
      <c r="C149" s="933"/>
      <c r="D149" s="933"/>
      <c r="E149" s="933"/>
      <c r="F149" s="933"/>
      <c r="G149" s="933"/>
      <c r="H149" s="933"/>
      <c r="I149" s="933"/>
      <c r="J149" s="933"/>
      <c r="K149" s="933"/>
      <c r="L149" s="933"/>
      <c r="M149" s="933"/>
      <c r="N149" s="933"/>
      <c r="O149" s="933"/>
      <c r="P149" s="933"/>
      <c r="Q149" s="933"/>
      <c r="R149" s="933"/>
      <c r="S149" s="933"/>
      <c r="T149" s="933"/>
      <c r="U149" s="933"/>
      <c r="V149" s="933"/>
      <c r="W149" s="933"/>
      <c r="X149" s="933"/>
      <c r="Y149" s="933"/>
      <c r="Z149" s="933"/>
      <c r="AA149" s="933"/>
      <c r="AB149" s="933"/>
      <c r="AC149" s="933"/>
      <c r="AD149" s="933"/>
      <c r="AE149" s="933"/>
    </row>
    <row r="150" spans="1:31" ht="12.75">
      <c r="A150" s="933"/>
      <c r="B150" s="933"/>
      <c r="C150" s="933"/>
      <c r="D150" s="933"/>
      <c r="E150" s="933"/>
      <c r="F150" s="933"/>
      <c r="G150" s="933"/>
      <c r="H150" s="933"/>
      <c r="I150" s="933"/>
      <c r="J150" s="933"/>
      <c r="K150" s="933"/>
      <c r="L150" s="933"/>
      <c r="M150" s="933"/>
      <c r="N150" s="933"/>
      <c r="O150" s="933"/>
      <c r="P150" s="933"/>
      <c r="Q150" s="933"/>
      <c r="R150" s="933"/>
      <c r="S150" s="933"/>
      <c r="T150" s="933"/>
      <c r="U150" s="933"/>
      <c r="V150" s="933"/>
      <c r="W150" s="933"/>
      <c r="X150" s="933"/>
      <c r="Y150" s="933"/>
      <c r="Z150" s="933"/>
      <c r="AA150" s="933"/>
      <c r="AB150" s="933"/>
      <c r="AC150" s="933"/>
      <c r="AD150" s="933"/>
      <c r="AE150" s="933"/>
    </row>
    <row r="151" spans="1:31" ht="12.75">
      <c r="A151" s="933"/>
      <c r="B151" s="933"/>
      <c r="C151" s="933"/>
      <c r="D151" s="933"/>
      <c r="E151" s="933"/>
      <c r="F151" s="933"/>
      <c r="G151" s="933"/>
      <c r="H151" s="933"/>
      <c r="I151" s="933"/>
      <c r="J151" s="933"/>
      <c r="K151" s="933"/>
      <c r="L151" s="933"/>
      <c r="M151" s="933"/>
      <c r="N151" s="933"/>
      <c r="O151" s="933"/>
      <c r="P151" s="933"/>
      <c r="Q151" s="933"/>
      <c r="R151" s="933"/>
      <c r="S151" s="933"/>
      <c r="T151" s="933"/>
      <c r="U151" s="933"/>
      <c r="V151" s="933"/>
      <c r="W151" s="933"/>
      <c r="X151" s="933"/>
      <c r="Y151" s="933"/>
      <c r="Z151" s="933"/>
      <c r="AA151" s="933"/>
      <c r="AB151" s="933"/>
      <c r="AC151" s="933"/>
      <c r="AD151" s="933"/>
      <c r="AE151" s="933"/>
    </row>
    <row r="152" spans="1:31" ht="12.75">
      <c r="A152" s="933"/>
      <c r="B152" s="933"/>
      <c r="C152" s="933"/>
      <c r="D152" s="933"/>
      <c r="E152" s="933"/>
      <c r="F152" s="933"/>
      <c r="G152" s="933"/>
      <c r="H152" s="933"/>
      <c r="I152" s="933"/>
      <c r="J152" s="933"/>
      <c r="K152" s="933"/>
      <c r="L152" s="933"/>
      <c r="M152" s="933"/>
      <c r="N152" s="933"/>
      <c r="O152" s="933"/>
      <c r="P152" s="933"/>
      <c r="Q152" s="933"/>
      <c r="R152" s="933"/>
      <c r="S152" s="933"/>
      <c r="T152" s="933"/>
      <c r="U152" s="933"/>
      <c r="V152" s="933"/>
      <c r="W152" s="933"/>
      <c r="X152" s="933"/>
      <c r="Y152" s="933"/>
      <c r="Z152" s="933"/>
      <c r="AA152" s="933"/>
      <c r="AB152" s="933"/>
      <c r="AC152" s="933"/>
      <c r="AD152" s="933"/>
      <c r="AE152" s="933"/>
    </row>
    <row r="153" spans="1:31" ht="12.75">
      <c r="A153" s="933"/>
      <c r="B153" s="933"/>
      <c r="C153" s="933"/>
      <c r="D153" s="933"/>
      <c r="E153" s="933"/>
      <c r="F153" s="933"/>
      <c r="G153" s="933"/>
      <c r="H153" s="933"/>
      <c r="I153" s="933"/>
      <c r="J153" s="933"/>
      <c r="K153" s="933"/>
      <c r="L153" s="933"/>
      <c r="M153" s="933"/>
      <c r="N153" s="933"/>
      <c r="O153" s="933"/>
      <c r="P153" s="933"/>
      <c r="Q153" s="933"/>
      <c r="R153" s="933"/>
      <c r="S153" s="933"/>
      <c r="T153" s="933"/>
      <c r="U153" s="933"/>
      <c r="V153" s="933"/>
      <c r="W153" s="933"/>
      <c r="X153" s="933"/>
      <c r="Y153" s="933"/>
      <c r="Z153" s="933"/>
      <c r="AA153" s="933"/>
      <c r="AB153" s="933"/>
      <c r="AC153" s="933"/>
      <c r="AD153" s="933"/>
      <c r="AE153" s="933"/>
    </row>
    <row r="154" spans="1:31" ht="12.75">
      <c r="A154" s="933"/>
      <c r="B154" s="933"/>
      <c r="C154" s="933"/>
      <c r="D154" s="933"/>
      <c r="E154" s="933"/>
      <c r="F154" s="933"/>
      <c r="G154" s="933"/>
      <c r="H154" s="933"/>
      <c r="I154" s="933"/>
      <c r="J154" s="933"/>
      <c r="K154" s="933"/>
      <c r="L154" s="933"/>
      <c r="M154" s="933"/>
      <c r="N154" s="933"/>
      <c r="O154" s="933"/>
      <c r="P154" s="933"/>
      <c r="Q154" s="933"/>
      <c r="R154" s="933"/>
      <c r="S154" s="933"/>
      <c r="T154" s="933"/>
      <c r="U154" s="933"/>
      <c r="V154" s="933"/>
      <c r="W154" s="933"/>
      <c r="X154" s="933"/>
      <c r="Y154" s="933"/>
      <c r="Z154" s="933"/>
      <c r="AA154" s="933"/>
      <c r="AB154" s="933"/>
      <c r="AC154" s="933"/>
      <c r="AD154" s="933"/>
      <c r="AE154" s="933"/>
    </row>
    <row r="155" spans="1:31" ht="12.75">
      <c r="A155" s="933"/>
      <c r="B155" s="933"/>
      <c r="C155" s="933"/>
      <c r="D155" s="933"/>
      <c r="E155" s="933"/>
      <c r="F155" s="933"/>
      <c r="G155" s="933"/>
      <c r="H155" s="933"/>
      <c r="I155" s="933"/>
      <c r="J155" s="933"/>
      <c r="K155" s="933"/>
      <c r="L155" s="933"/>
      <c r="M155" s="933"/>
      <c r="N155" s="933"/>
      <c r="O155" s="933"/>
      <c r="P155" s="933"/>
      <c r="Q155" s="933"/>
      <c r="R155" s="933"/>
      <c r="S155" s="933"/>
      <c r="T155" s="933"/>
      <c r="U155" s="933"/>
      <c r="V155" s="933"/>
      <c r="W155" s="933"/>
      <c r="X155" s="933"/>
      <c r="Y155" s="933"/>
      <c r="Z155" s="933"/>
      <c r="AA155" s="933"/>
      <c r="AB155" s="933"/>
      <c r="AC155" s="933"/>
      <c r="AD155" s="933"/>
      <c r="AE155" s="933"/>
    </row>
    <row r="156" spans="1:31" ht="12.75">
      <c r="A156" s="933"/>
      <c r="B156" s="933"/>
      <c r="C156" s="933"/>
      <c r="D156" s="933"/>
      <c r="E156" s="933"/>
      <c r="F156" s="933"/>
      <c r="G156" s="933"/>
      <c r="H156" s="933"/>
      <c r="I156" s="933"/>
      <c r="J156" s="933"/>
      <c r="K156" s="933"/>
      <c r="L156" s="933"/>
      <c r="M156" s="933"/>
      <c r="N156" s="933"/>
      <c r="O156" s="933"/>
      <c r="P156" s="933"/>
      <c r="Q156" s="933"/>
      <c r="R156" s="933"/>
      <c r="S156" s="933"/>
      <c r="T156" s="933"/>
      <c r="U156" s="933"/>
      <c r="V156" s="933"/>
      <c r="W156" s="933"/>
      <c r="X156" s="933"/>
      <c r="Y156" s="933"/>
      <c r="Z156" s="933"/>
      <c r="AA156" s="933"/>
      <c r="AB156" s="933"/>
      <c r="AC156" s="933"/>
      <c r="AD156" s="933"/>
      <c r="AE156" s="933"/>
    </row>
    <row r="157" spans="1:31" ht="12.75">
      <c r="A157" s="933"/>
      <c r="B157" s="933"/>
      <c r="C157" s="933"/>
      <c r="D157" s="933"/>
      <c r="E157" s="933"/>
      <c r="F157" s="933"/>
      <c r="G157" s="933"/>
      <c r="H157" s="933"/>
      <c r="I157" s="933"/>
      <c r="J157" s="933"/>
      <c r="K157" s="933"/>
      <c r="L157" s="933"/>
      <c r="M157" s="933"/>
      <c r="N157" s="933"/>
      <c r="O157" s="933"/>
      <c r="P157" s="933"/>
      <c r="Q157" s="933"/>
      <c r="R157" s="933"/>
      <c r="S157" s="933"/>
      <c r="T157" s="933"/>
      <c r="U157" s="933"/>
      <c r="V157" s="933"/>
      <c r="W157" s="933"/>
      <c r="X157" s="933"/>
      <c r="Y157" s="933"/>
      <c r="Z157" s="933"/>
      <c r="AA157" s="933"/>
      <c r="AB157" s="933"/>
      <c r="AC157" s="933"/>
      <c r="AD157" s="933"/>
      <c r="AE157" s="933"/>
    </row>
    <row r="158" spans="1:31" ht="12.75">
      <c r="A158" s="933"/>
      <c r="B158" s="933"/>
      <c r="C158" s="933"/>
      <c r="D158" s="933"/>
      <c r="E158" s="933"/>
      <c r="F158" s="933"/>
      <c r="G158" s="933"/>
      <c r="H158" s="933"/>
      <c r="I158" s="933"/>
      <c r="J158" s="933"/>
      <c r="K158" s="933"/>
      <c r="L158" s="933"/>
      <c r="M158" s="933"/>
      <c r="N158" s="933"/>
      <c r="O158" s="933"/>
      <c r="P158" s="933"/>
      <c r="Q158" s="933"/>
      <c r="R158" s="933"/>
      <c r="S158" s="933"/>
      <c r="T158" s="933"/>
      <c r="U158" s="933"/>
      <c r="V158" s="933"/>
      <c r="W158" s="933"/>
      <c r="X158" s="933"/>
      <c r="Y158" s="933"/>
      <c r="Z158" s="933"/>
      <c r="AA158" s="933"/>
      <c r="AB158" s="933"/>
      <c r="AC158" s="933"/>
      <c r="AD158" s="933"/>
      <c r="AE158" s="933"/>
    </row>
    <row r="159" spans="1:31" ht="12.75">
      <c r="A159" s="933"/>
      <c r="B159" s="933"/>
      <c r="C159" s="933"/>
      <c r="D159" s="933"/>
      <c r="E159" s="933"/>
      <c r="F159" s="933"/>
      <c r="G159" s="933"/>
      <c r="H159" s="933"/>
      <c r="I159" s="933"/>
      <c r="J159" s="933"/>
      <c r="K159" s="933"/>
      <c r="L159" s="933"/>
      <c r="M159" s="933"/>
      <c r="N159" s="933"/>
      <c r="O159" s="933"/>
      <c r="P159" s="933"/>
      <c r="Q159" s="933"/>
      <c r="R159" s="933"/>
      <c r="S159" s="933"/>
      <c r="T159" s="933"/>
      <c r="U159" s="933"/>
      <c r="V159" s="933"/>
      <c r="W159" s="933"/>
      <c r="X159" s="933"/>
      <c r="Y159" s="933"/>
      <c r="Z159" s="933"/>
      <c r="AA159" s="933"/>
      <c r="AB159" s="933"/>
      <c r="AC159" s="933"/>
      <c r="AD159" s="933"/>
      <c r="AE159" s="933"/>
    </row>
    <row r="160" spans="1:31" ht="12.75">
      <c r="A160" s="933"/>
      <c r="B160" s="933"/>
      <c r="C160" s="933"/>
      <c r="D160" s="933"/>
      <c r="E160" s="933"/>
      <c r="F160" s="933"/>
      <c r="G160" s="933"/>
      <c r="H160" s="933"/>
      <c r="I160" s="933"/>
      <c r="J160" s="933"/>
      <c r="K160" s="933"/>
      <c r="L160" s="933"/>
      <c r="M160" s="933"/>
      <c r="N160" s="933"/>
      <c r="O160" s="933"/>
      <c r="P160" s="933"/>
      <c r="Q160" s="933"/>
      <c r="R160" s="933"/>
      <c r="S160" s="933"/>
      <c r="T160" s="933"/>
      <c r="U160" s="933"/>
      <c r="V160" s="933"/>
      <c r="W160" s="933"/>
      <c r="X160" s="933"/>
      <c r="Y160" s="933"/>
      <c r="Z160" s="933"/>
      <c r="AA160" s="933"/>
      <c r="AB160" s="933"/>
      <c r="AC160" s="933"/>
      <c r="AD160" s="933"/>
      <c r="AE160" s="933"/>
    </row>
    <row r="161" spans="1:31" ht="12.75">
      <c r="A161" s="933"/>
      <c r="B161" s="933"/>
      <c r="C161" s="933"/>
      <c r="D161" s="933"/>
      <c r="E161" s="933"/>
      <c r="F161" s="933"/>
      <c r="G161" s="933"/>
      <c r="H161" s="933"/>
      <c r="I161" s="933"/>
      <c r="J161" s="933"/>
      <c r="K161" s="933"/>
      <c r="L161" s="933"/>
      <c r="M161" s="933"/>
      <c r="N161" s="933"/>
      <c r="O161" s="933"/>
      <c r="P161" s="933"/>
      <c r="Q161" s="933"/>
      <c r="R161" s="933"/>
      <c r="S161" s="933"/>
      <c r="T161" s="933"/>
      <c r="U161" s="933"/>
      <c r="V161" s="933"/>
      <c r="W161" s="933"/>
      <c r="X161" s="933"/>
      <c r="Y161" s="933"/>
      <c r="Z161" s="933"/>
      <c r="AA161" s="933"/>
      <c r="AB161" s="933"/>
      <c r="AC161" s="933"/>
      <c r="AD161" s="933"/>
      <c r="AE161" s="933"/>
    </row>
    <row r="162" spans="1:31" ht="12.75">
      <c r="A162" s="933"/>
      <c r="B162" s="933"/>
      <c r="C162" s="933"/>
      <c r="D162" s="933"/>
      <c r="E162" s="933"/>
      <c r="F162" s="933"/>
      <c r="G162" s="933"/>
      <c r="H162" s="933"/>
      <c r="I162" s="933"/>
      <c r="J162" s="933"/>
      <c r="K162" s="933"/>
      <c r="L162" s="933"/>
      <c r="M162" s="933"/>
      <c r="N162" s="933"/>
      <c r="O162" s="933"/>
      <c r="P162" s="933"/>
      <c r="Q162" s="933"/>
      <c r="R162" s="933"/>
      <c r="S162" s="933"/>
      <c r="T162" s="933"/>
      <c r="U162" s="933"/>
      <c r="V162" s="933"/>
      <c r="W162" s="933"/>
      <c r="X162" s="933"/>
      <c r="Y162" s="933"/>
      <c r="Z162" s="933"/>
      <c r="AA162" s="933"/>
      <c r="AB162" s="933"/>
      <c r="AC162" s="933"/>
      <c r="AD162" s="933"/>
      <c r="AE162" s="933"/>
    </row>
    <row r="163" spans="1:31" ht="12.75">
      <c r="A163" s="933"/>
      <c r="B163" s="933"/>
      <c r="C163" s="933"/>
      <c r="D163" s="933"/>
      <c r="E163" s="933"/>
      <c r="F163" s="933"/>
      <c r="G163" s="933"/>
      <c r="H163" s="933"/>
      <c r="I163" s="933"/>
      <c r="J163" s="933"/>
      <c r="K163" s="933"/>
      <c r="L163" s="933"/>
      <c r="M163" s="933"/>
      <c r="N163" s="933"/>
      <c r="O163" s="933"/>
      <c r="P163" s="933"/>
      <c r="Q163" s="933"/>
      <c r="R163" s="933"/>
      <c r="S163" s="933"/>
      <c r="T163" s="933"/>
      <c r="U163" s="933"/>
      <c r="V163" s="933"/>
      <c r="W163" s="933"/>
      <c r="X163" s="933"/>
      <c r="Y163" s="933"/>
      <c r="Z163" s="933"/>
      <c r="AA163" s="933"/>
      <c r="AB163" s="933"/>
      <c r="AC163" s="933"/>
      <c r="AD163" s="933"/>
      <c r="AE163" s="933"/>
    </row>
    <row r="164" spans="1:31" ht="12.75">
      <c r="A164" s="933"/>
      <c r="B164" s="933"/>
      <c r="C164" s="933"/>
      <c r="D164" s="933"/>
      <c r="E164" s="933"/>
      <c r="F164" s="933"/>
      <c r="G164" s="933"/>
      <c r="H164" s="933"/>
      <c r="I164" s="933"/>
      <c r="J164" s="933"/>
      <c r="K164" s="933"/>
      <c r="L164" s="933"/>
      <c r="M164" s="933"/>
      <c r="N164" s="933"/>
      <c r="O164" s="933"/>
      <c r="P164" s="933"/>
      <c r="Q164" s="933"/>
      <c r="R164" s="933"/>
      <c r="S164" s="933"/>
      <c r="T164" s="933"/>
      <c r="U164" s="933"/>
      <c r="V164" s="933"/>
      <c r="W164" s="933"/>
      <c r="X164" s="933"/>
      <c r="Y164" s="933"/>
      <c r="Z164" s="933"/>
      <c r="AA164" s="933"/>
      <c r="AB164" s="933"/>
      <c r="AC164" s="933"/>
      <c r="AD164" s="933"/>
      <c r="AE164" s="933"/>
    </row>
    <row r="165" spans="1:31" ht="12.75">
      <c r="A165" s="933"/>
      <c r="B165" s="933"/>
      <c r="C165" s="933"/>
      <c r="D165" s="933"/>
      <c r="E165" s="933"/>
      <c r="F165" s="933"/>
      <c r="G165" s="933"/>
      <c r="H165" s="933"/>
      <c r="I165" s="933"/>
      <c r="J165" s="933"/>
      <c r="K165" s="933"/>
      <c r="L165" s="933"/>
      <c r="M165" s="933"/>
      <c r="N165" s="933"/>
      <c r="O165" s="933"/>
      <c r="P165" s="933"/>
      <c r="Q165" s="933"/>
      <c r="R165" s="933"/>
      <c r="S165" s="933"/>
      <c r="T165" s="933"/>
      <c r="U165" s="933"/>
      <c r="V165" s="933"/>
      <c r="W165" s="933"/>
      <c r="X165" s="933"/>
      <c r="Y165" s="933"/>
      <c r="Z165" s="933"/>
      <c r="AA165" s="933"/>
      <c r="AB165" s="933"/>
      <c r="AC165" s="933"/>
      <c r="AD165" s="933"/>
      <c r="AE165" s="933"/>
    </row>
    <row r="166" spans="1:31" ht="12.75">
      <c r="A166" s="933"/>
      <c r="B166" s="933"/>
      <c r="C166" s="933"/>
      <c r="D166" s="933"/>
      <c r="E166" s="933"/>
      <c r="F166" s="933"/>
      <c r="G166" s="933"/>
      <c r="H166" s="933"/>
      <c r="I166" s="933"/>
      <c r="J166" s="933"/>
      <c r="K166" s="933"/>
      <c r="L166" s="933"/>
      <c r="M166" s="933"/>
      <c r="N166" s="933"/>
      <c r="O166" s="933"/>
      <c r="P166" s="933"/>
      <c r="Q166" s="933"/>
      <c r="R166" s="933"/>
      <c r="S166" s="933"/>
      <c r="T166" s="933"/>
      <c r="U166" s="933"/>
      <c r="V166" s="933"/>
      <c r="W166" s="933"/>
      <c r="X166" s="933"/>
      <c r="Y166" s="933"/>
      <c r="Z166" s="933"/>
      <c r="AA166" s="933"/>
      <c r="AB166" s="933"/>
      <c r="AC166" s="933"/>
      <c r="AD166" s="933"/>
      <c r="AE166" s="933"/>
    </row>
    <row r="167" spans="1:31" ht="12.75">
      <c r="A167" s="933"/>
      <c r="B167" s="933"/>
      <c r="C167" s="933"/>
      <c r="D167" s="933"/>
      <c r="E167" s="933"/>
      <c r="F167" s="933"/>
      <c r="G167" s="933"/>
      <c r="H167" s="933"/>
      <c r="I167" s="933"/>
      <c r="J167" s="933"/>
      <c r="K167" s="933"/>
      <c r="L167" s="933"/>
      <c r="M167" s="933"/>
      <c r="N167" s="933"/>
      <c r="O167" s="933"/>
      <c r="P167" s="933"/>
      <c r="Q167" s="933"/>
      <c r="R167" s="933"/>
      <c r="S167" s="933"/>
      <c r="T167" s="933"/>
      <c r="U167" s="933"/>
      <c r="V167" s="933"/>
      <c r="W167" s="933"/>
      <c r="X167" s="933"/>
      <c r="Y167" s="933"/>
      <c r="Z167" s="933"/>
      <c r="AA167" s="933"/>
      <c r="AB167" s="933"/>
      <c r="AC167" s="933"/>
      <c r="AD167" s="933"/>
      <c r="AE167" s="933"/>
    </row>
    <row r="168" spans="1:31" ht="12.75">
      <c r="A168" s="933"/>
      <c r="B168" s="933"/>
      <c r="C168" s="933"/>
      <c r="D168" s="933"/>
      <c r="E168" s="933"/>
      <c r="F168" s="933"/>
      <c r="G168" s="933"/>
      <c r="H168" s="933"/>
      <c r="I168" s="933"/>
      <c r="J168" s="933"/>
      <c r="K168" s="933"/>
      <c r="L168" s="933"/>
      <c r="M168" s="933"/>
      <c r="N168" s="933"/>
      <c r="O168" s="933"/>
      <c r="P168" s="933"/>
      <c r="Q168" s="933"/>
      <c r="R168" s="933"/>
      <c r="S168" s="933"/>
      <c r="T168" s="933"/>
      <c r="U168" s="933"/>
      <c r="V168" s="933"/>
      <c r="W168" s="933"/>
      <c r="X168" s="933"/>
      <c r="Y168" s="933"/>
      <c r="Z168" s="933"/>
      <c r="AA168" s="933"/>
      <c r="AB168" s="933"/>
      <c r="AC168" s="933"/>
      <c r="AD168" s="933"/>
      <c r="AE168" s="933"/>
    </row>
    <row r="169" spans="1:31" ht="12.75">
      <c r="A169" s="933"/>
      <c r="B169" s="933"/>
      <c r="C169" s="933"/>
      <c r="D169" s="933"/>
      <c r="E169" s="933"/>
      <c r="F169" s="933"/>
      <c r="G169" s="933"/>
      <c r="H169" s="933"/>
      <c r="I169" s="933"/>
      <c r="J169" s="933"/>
      <c r="K169" s="933"/>
      <c r="L169" s="933"/>
      <c r="M169" s="933"/>
      <c r="N169" s="933"/>
      <c r="O169" s="933"/>
      <c r="P169" s="933"/>
      <c r="Q169" s="933"/>
      <c r="R169" s="933"/>
      <c r="S169" s="933"/>
      <c r="T169" s="933"/>
      <c r="U169" s="933"/>
      <c r="V169" s="933"/>
      <c r="W169" s="933"/>
      <c r="X169" s="933"/>
      <c r="Y169" s="933"/>
      <c r="Z169" s="933"/>
      <c r="AA169" s="933"/>
      <c r="AB169" s="933"/>
      <c r="AC169" s="933"/>
      <c r="AD169" s="933"/>
      <c r="AE169" s="933"/>
    </row>
    <row r="170" spans="1:31" ht="12.75">
      <c r="A170" s="933"/>
      <c r="B170" s="933"/>
      <c r="C170" s="933"/>
      <c r="D170" s="933"/>
      <c r="E170" s="933"/>
      <c r="F170" s="933"/>
      <c r="G170" s="933"/>
      <c r="H170" s="933"/>
      <c r="I170" s="933"/>
      <c r="J170" s="933"/>
      <c r="K170" s="933"/>
      <c r="L170" s="933"/>
      <c r="M170" s="933"/>
      <c r="N170" s="933"/>
      <c r="O170" s="933"/>
      <c r="P170" s="933"/>
      <c r="Q170" s="933"/>
      <c r="R170" s="933"/>
      <c r="S170" s="933"/>
      <c r="T170" s="933"/>
      <c r="U170" s="933"/>
      <c r="V170" s="933"/>
      <c r="W170" s="933"/>
      <c r="X170" s="933"/>
      <c r="Y170" s="933"/>
      <c r="Z170" s="933"/>
      <c r="AA170" s="933"/>
      <c r="AB170" s="933"/>
      <c r="AC170" s="933"/>
      <c r="AD170" s="933"/>
      <c r="AE170" s="933"/>
    </row>
    <row r="171" spans="1:31" ht="12.75">
      <c r="A171" s="933"/>
      <c r="B171" s="933"/>
      <c r="C171" s="933"/>
      <c r="D171" s="933"/>
      <c r="E171" s="933"/>
      <c r="F171" s="933"/>
      <c r="G171" s="933"/>
      <c r="H171" s="933"/>
      <c r="I171" s="933"/>
      <c r="J171" s="933"/>
      <c r="K171" s="933"/>
      <c r="L171" s="933"/>
      <c r="M171" s="933"/>
      <c r="N171" s="933"/>
      <c r="O171" s="933"/>
      <c r="P171" s="933"/>
      <c r="Q171" s="933"/>
      <c r="R171" s="933"/>
      <c r="S171" s="933"/>
      <c r="T171" s="933"/>
      <c r="U171" s="933"/>
      <c r="V171" s="933"/>
      <c r="W171" s="933"/>
      <c r="X171" s="933"/>
      <c r="Y171" s="933"/>
      <c r="Z171" s="933"/>
      <c r="AA171" s="933"/>
      <c r="AB171" s="933"/>
      <c r="AC171" s="933"/>
      <c r="AD171" s="933"/>
      <c r="AE171" s="933"/>
    </row>
    <row r="172" spans="1:31" ht="12.75">
      <c r="A172" s="933"/>
      <c r="B172" s="933"/>
      <c r="C172" s="933"/>
      <c r="D172" s="933"/>
      <c r="E172" s="933"/>
      <c r="F172" s="933"/>
      <c r="G172" s="933"/>
      <c r="H172" s="933"/>
      <c r="I172" s="933"/>
      <c r="J172" s="933"/>
      <c r="K172" s="933"/>
      <c r="L172" s="933"/>
      <c r="M172" s="933"/>
      <c r="N172" s="933"/>
      <c r="O172" s="933"/>
      <c r="P172" s="933"/>
      <c r="Q172" s="933"/>
      <c r="R172" s="933"/>
      <c r="S172" s="933"/>
      <c r="T172" s="933"/>
      <c r="U172" s="933"/>
      <c r="V172" s="933"/>
      <c r="W172" s="933"/>
      <c r="X172" s="933"/>
      <c r="Y172" s="933"/>
      <c r="Z172" s="933"/>
      <c r="AA172" s="933"/>
      <c r="AB172" s="933"/>
      <c r="AC172" s="933"/>
      <c r="AD172" s="933"/>
      <c r="AE172" s="933"/>
    </row>
    <row r="173" spans="1:31" ht="12.75">
      <c r="A173" s="933"/>
      <c r="B173" s="933"/>
      <c r="C173" s="933"/>
      <c r="D173" s="933"/>
      <c r="E173" s="933"/>
      <c r="F173" s="933"/>
      <c r="G173" s="933"/>
      <c r="H173" s="933"/>
      <c r="I173" s="933"/>
      <c r="J173" s="933"/>
      <c r="K173" s="933"/>
      <c r="L173" s="933"/>
      <c r="M173" s="933"/>
      <c r="N173" s="933"/>
      <c r="O173" s="933"/>
      <c r="P173" s="933"/>
      <c r="Q173" s="933"/>
      <c r="R173" s="933"/>
      <c r="S173" s="933"/>
      <c r="T173" s="933"/>
      <c r="U173" s="933"/>
      <c r="V173" s="933"/>
      <c r="W173" s="933"/>
      <c r="X173" s="933"/>
      <c r="Y173" s="933"/>
      <c r="Z173" s="933"/>
      <c r="AA173" s="933"/>
      <c r="AB173" s="933"/>
      <c r="AC173" s="933"/>
      <c r="AD173" s="933"/>
      <c r="AE173" s="933"/>
    </row>
    <row r="174" spans="1:31" ht="12.75">
      <c r="A174" s="933"/>
      <c r="B174" s="933"/>
      <c r="C174" s="933"/>
      <c r="D174" s="933"/>
      <c r="E174" s="933"/>
      <c r="F174" s="933"/>
      <c r="G174" s="933"/>
      <c r="H174" s="933"/>
      <c r="I174" s="933"/>
      <c r="J174" s="933"/>
      <c r="K174" s="933"/>
      <c r="L174" s="933"/>
      <c r="M174" s="933"/>
      <c r="N174" s="933"/>
      <c r="O174" s="933"/>
      <c r="P174" s="933"/>
      <c r="Q174" s="933"/>
      <c r="R174" s="933"/>
      <c r="S174" s="933"/>
      <c r="T174" s="933"/>
      <c r="U174" s="933"/>
      <c r="V174" s="933"/>
      <c r="W174" s="933"/>
      <c r="X174" s="933"/>
      <c r="Y174" s="933"/>
      <c r="Z174" s="933"/>
      <c r="AA174" s="933"/>
      <c r="AB174" s="933"/>
      <c r="AC174" s="933"/>
      <c r="AD174" s="933"/>
      <c r="AE174" s="933"/>
    </row>
    <row r="175" spans="1:31" ht="12.75">
      <c r="A175" s="933"/>
      <c r="B175" s="933"/>
      <c r="C175" s="933"/>
      <c r="D175" s="933"/>
      <c r="E175" s="933"/>
      <c r="F175" s="933"/>
      <c r="G175" s="933"/>
      <c r="H175" s="933"/>
      <c r="I175" s="933"/>
      <c r="J175" s="933"/>
      <c r="K175" s="933"/>
      <c r="L175" s="933"/>
      <c r="M175" s="933"/>
      <c r="N175" s="933"/>
      <c r="O175" s="933"/>
      <c r="P175" s="933"/>
      <c r="Q175" s="933"/>
      <c r="R175" s="933"/>
      <c r="S175" s="933"/>
      <c r="T175" s="933"/>
      <c r="U175" s="933"/>
      <c r="V175" s="933"/>
      <c r="W175" s="933"/>
      <c r="X175" s="933"/>
      <c r="Y175" s="933"/>
      <c r="Z175" s="933"/>
      <c r="AA175" s="933"/>
      <c r="AB175" s="933"/>
      <c r="AC175" s="933"/>
      <c r="AD175" s="933"/>
      <c r="AE175" s="933"/>
    </row>
    <row r="176" spans="1:31" ht="12.75">
      <c r="A176" s="933"/>
      <c r="B176" s="933"/>
      <c r="C176" s="933"/>
      <c r="D176" s="933"/>
      <c r="E176" s="933"/>
      <c r="F176" s="933"/>
      <c r="G176" s="933"/>
      <c r="H176" s="933"/>
      <c r="I176" s="933"/>
      <c r="J176" s="933"/>
      <c r="K176" s="933"/>
      <c r="L176" s="933"/>
      <c r="M176" s="933"/>
      <c r="N176" s="933"/>
      <c r="O176" s="933"/>
      <c r="P176" s="933"/>
      <c r="Q176" s="933"/>
      <c r="R176" s="933"/>
      <c r="S176" s="933"/>
      <c r="T176" s="933"/>
      <c r="U176" s="933"/>
      <c r="V176" s="933"/>
      <c r="W176" s="933"/>
      <c r="X176" s="933"/>
      <c r="Y176" s="933"/>
      <c r="Z176" s="933"/>
      <c r="AA176" s="933"/>
      <c r="AB176" s="933"/>
      <c r="AC176" s="933"/>
      <c r="AD176" s="933"/>
      <c r="AE176" s="933"/>
    </row>
    <row r="177" spans="1:31" ht="12.75">
      <c r="A177" s="933"/>
      <c r="B177" s="933"/>
      <c r="C177" s="933"/>
      <c r="D177" s="933"/>
      <c r="E177" s="933"/>
      <c r="F177" s="933"/>
      <c r="G177" s="933"/>
      <c r="H177" s="933"/>
      <c r="I177" s="933"/>
      <c r="J177" s="933"/>
      <c r="K177" s="933"/>
      <c r="L177" s="933"/>
      <c r="M177" s="933"/>
      <c r="N177" s="933"/>
      <c r="O177" s="933"/>
      <c r="P177" s="933"/>
      <c r="Q177" s="933"/>
      <c r="R177" s="933"/>
      <c r="S177" s="933"/>
      <c r="T177" s="933"/>
      <c r="U177" s="933"/>
      <c r="V177" s="933"/>
      <c r="W177" s="933"/>
      <c r="X177" s="933"/>
      <c r="Y177" s="933"/>
      <c r="Z177" s="933"/>
      <c r="AA177" s="933"/>
      <c r="AB177" s="933"/>
      <c r="AC177" s="933"/>
      <c r="AD177" s="933"/>
      <c r="AE177" s="933"/>
    </row>
    <row r="178" spans="1:31" ht="12.75">
      <c r="A178" s="933"/>
      <c r="B178" s="933"/>
      <c r="C178" s="933"/>
      <c r="D178" s="933"/>
      <c r="E178" s="933"/>
      <c r="F178" s="933"/>
      <c r="G178" s="933"/>
      <c r="H178" s="933"/>
      <c r="I178" s="933"/>
      <c r="J178" s="933"/>
      <c r="K178" s="933"/>
      <c r="L178" s="933"/>
      <c r="M178" s="933"/>
      <c r="N178" s="933"/>
      <c r="O178" s="933"/>
      <c r="P178" s="933"/>
      <c r="Q178" s="933"/>
      <c r="R178" s="933"/>
      <c r="S178" s="933"/>
      <c r="T178" s="933"/>
      <c r="U178" s="933"/>
      <c r="V178" s="933"/>
      <c r="W178" s="933"/>
      <c r="X178" s="933"/>
      <c r="Y178" s="933"/>
      <c r="Z178" s="933"/>
      <c r="AA178" s="933"/>
      <c r="AB178" s="933"/>
      <c r="AC178" s="933"/>
      <c r="AD178" s="933"/>
      <c r="AE178" s="933"/>
    </row>
    <row r="179" spans="1:31" ht="12.75">
      <c r="A179" s="933"/>
      <c r="B179" s="933"/>
      <c r="C179" s="933"/>
      <c r="D179" s="933"/>
      <c r="E179" s="933"/>
      <c r="F179" s="933"/>
      <c r="G179" s="933"/>
      <c r="H179" s="933"/>
      <c r="I179" s="933"/>
      <c r="J179" s="933"/>
      <c r="K179" s="933"/>
      <c r="L179" s="933"/>
      <c r="M179" s="933"/>
      <c r="N179" s="933"/>
      <c r="O179" s="933"/>
      <c r="P179" s="933"/>
      <c r="Q179" s="933"/>
      <c r="R179" s="933"/>
      <c r="S179" s="933"/>
      <c r="T179" s="933"/>
      <c r="U179" s="933"/>
      <c r="V179" s="933"/>
      <c r="W179" s="933"/>
      <c r="X179" s="933"/>
      <c r="Y179" s="933"/>
      <c r="Z179" s="933"/>
      <c r="AA179" s="933"/>
      <c r="AB179" s="933"/>
      <c r="AC179" s="933"/>
      <c r="AD179" s="933"/>
      <c r="AE179" s="933"/>
    </row>
    <row r="180" spans="1:31" ht="12.75">
      <c r="A180" s="933"/>
      <c r="B180" s="933"/>
      <c r="C180" s="933"/>
      <c r="D180" s="933"/>
      <c r="E180" s="933"/>
      <c r="F180" s="933"/>
      <c r="G180" s="933"/>
      <c r="H180" s="933"/>
      <c r="I180" s="933"/>
      <c r="J180" s="933"/>
      <c r="K180" s="933"/>
      <c r="L180" s="933"/>
      <c r="M180" s="933"/>
      <c r="N180" s="933"/>
      <c r="O180" s="933"/>
      <c r="P180" s="933"/>
      <c r="Q180" s="933"/>
      <c r="R180" s="933"/>
      <c r="S180" s="933"/>
      <c r="T180" s="933"/>
      <c r="U180" s="933"/>
      <c r="V180" s="933"/>
      <c r="W180" s="933"/>
      <c r="X180" s="933"/>
      <c r="Y180" s="933"/>
      <c r="Z180" s="933"/>
      <c r="AA180" s="933"/>
      <c r="AB180" s="933"/>
      <c r="AC180" s="933"/>
      <c r="AD180" s="933"/>
      <c r="AE180" s="933"/>
    </row>
    <row r="181" spans="1:31" ht="12.75">
      <c r="A181" s="933"/>
      <c r="B181" s="933"/>
      <c r="C181" s="933"/>
      <c r="D181" s="933"/>
      <c r="E181" s="933"/>
      <c r="F181" s="933"/>
      <c r="G181" s="933"/>
      <c r="H181" s="933"/>
      <c r="I181" s="933"/>
      <c r="J181" s="933"/>
      <c r="K181" s="933"/>
      <c r="L181" s="933"/>
      <c r="M181" s="933"/>
      <c r="N181" s="933"/>
      <c r="O181" s="933"/>
      <c r="P181" s="933"/>
      <c r="Q181" s="933"/>
      <c r="R181" s="933"/>
      <c r="S181" s="933"/>
      <c r="T181" s="933"/>
      <c r="U181" s="933"/>
      <c r="V181" s="933"/>
      <c r="W181" s="933"/>
      <c r="X181" s="933"/>
      <c r="Y181" s="933"/>
      <c r="Z181" s="933"/>
      <c r="AA181" s="933"/>
      <c r="AB181" s="933"/>
      <c r="AC181" s="933"/>
      <c r="AD181" s="933"/>
      <c r="AE181" s="933"/>
    </row>
    <row r="182" spans="1:31" ht="12.75">
      <c r="A182" s="933"/>
      <c r="B182" s="933"/>
      <c r="C182" s="933"/>
      <c r="D182" s="933"/>
      <c r="E182" s="933"/>
      <c r="F182" s="933"/>
      <c r="G182" s="933"/>
      <c r="H182" s="933"/>
      <c r="I182" s="933"/>
      <c r="J182" s="933"/>
      <c r="K182" s="933"/>
      <c r="L182" s="933"/>
      <c r="M182" s="933"/>
      <c r="N182" s="933"/>
      <c r="O182" s="933"/>
      <c r="P182" s="933"/>
      <c r="Q182" s="933"/>
      <c r="R182" s="933"/>
      <c r="S182" s="933"/>
      <c r="T182" s="933"/>
      <c r="U182" s="933"/>
      <c r="V182" s="933"/>
      <c r="W182" s="933"/>
      <c r="X182" s="933"/>
      <c r="Y182" s="933"/>
      <c r="Z182" s="933"/>
      <c r="AA182" s="933"/>
      <c r="AB182" s="933"/>
      <c r="AC182" s="933"/>
      <c r="AD182" s="933"/>
      <c r="AE182" s="933"/>
    </row>
    <row r="183" spans="1:31" ht="12.75">
      <c r="A183" s="933"/>
      <c r="B183" s="933"/>
      <c r="C183" s="933"/>
      <c r="D183" s="933"/>
      <c r="E183" s="933"/>
      <c r="F183" s="933"/>
      <c r="G183" s="933"/>
      <c r="H183" s="933"/>
      <c r="I183" s="933"/>
      <c r="J183" s="933"/>
      <c r="K183" s="933"/>
      <c r="L183" s="933"/>
      <c r="M183" s="933"/>
      <c r="N183" s="933"/>
      <c r="O183" s="933"/>
      <c r="P183" s="933"/>
      <c r="Q183" s="933"/>
      <c r="R183" s="933"/>
      <c r="S183" s="933"/>
      <c r="T183" s="933"/>
      <c r="U183" s="933"/>
      <c r="V183" s="933"/>
      <c r="W183" s="933"/>
      <c r="X183" s="933"/>
      <c r="Y183" s="933"/>
      <c r="Z183" s="933"/>
      <c r="AA183" s="933"/>
      <c r="AB183" s="933"/>
      <c r="AC183" s="933"/>
      <c r="AD183" s="933"/>
      <c r="AE183" s="933"/>
    </row>
    <row r="184" spans="1:31" ht="12.75">
      <c r="A184" s="933"/>
      <c r="B184" s="933"/>
      <c r="C184" s="933"/>
      <c r="D184" s="933"/>
      <c r="E184" s="933"/>
      <c r="F184" s="933"/>
      <c r="G184" s="933"/>
      <c r="H184" s="933"/>
      <c r="I184" s="933"/>
      <c r="J184" s="933"/>
      <c r="K184" s="933"/>
      <c r="L184" s="933"/>
      <c r="M184" s="933"/>
      <c r="N184" s="933"/>
      <c r="O184" s="933"/>
      <c r="P184" s="933"/>
      <c r="Q184" s="933"/>
      <c r="R184" s="933"/>
      <c r="S184" s="933"/>
      <c r="T184" s="933"/>
      <c r="U184" s="933"/>
      <c r="V184" s="933"/>
      <c r="W184" s="933"/>
      <c r="X184" s="933"/>
      <c r="Y184" s="933"/>
      <c r="Z184" s="933"/>
      <c r="AA184" s="933"/>
      <c r="AB184" s="933"/>
      <c r="AC184" s="933"/>
      <c r="AD184" s="933"/>
      <c r="AE184" s="933"/>
    </row>
    <row r="185" spans="1:31" ht="12.75">
      <c r="A185" s="933"/>
      <c r="B185" s="933"/>
      <c r="C185" s="933"/>
      <c r="D185" s="933"/>
      <c r="E185" s="933"/>
      <c r="F185" s="933"/>
      <c r="G185" s="933"/>
      <c r="H185" s="933"/>
      <c r="I185" s="933"/>
      <c r="J185" s="933"/>
      <c r="K185" s="933"/>
      <c r="L185" s="933"/>
      <c r="M185" s="933"/>
      <c r="N185" s="933"/>
      <c r="O185" s="933"/>
      <c r="P185" s="933"/>
      <c r="Q185" s="933"/>
      <c r="R185" s="933"/>
      <c r="S185" s="933"/>
      <c r="T185" s="933"/>
      <c r="U185" s="933"/>
      <c r="V185" s="933"/>
      <c r="W185" s="933"/>
      <c r="X185" s="933"/>
      <c r="Y185" s="933"/>
      <c r="Z185" s="933"/>
      <c r="AA185" s="933"/>
      <c r="AB185" s="933"/>
      <c r="AC185" s="933"/>
      <c r="AD185" s="933"/>
      <c r="AE185" s="933"/>
    </row>
    <row r="186" spans="1:31" ht="12.75">
      <c r="A186" s="933"/>
      <c r="B186" s="933"/>
      <c r="C186" s="933"/>
      <c r="D186" s="933"/>
      <c r="E186" s="933"/>
      <c r="F186" s="933"/>
      <c r="G186" s="933"/>
      <c r="H186" s="933"/>
      <c r="I186" s="933"/>
      <c r="J186" s="933"/>
      <c r="K186" s="933"/>
      <c r="L186" s="933"/>
      <c r="M186" s="933"/>
      <c r="N186" s="933"/>
      <c r="O186" s="933"/>
      <c r="P186" s="933"/>
      <c r="Q186" s="933"/>
      <c r="R186" s="933"/>
      <c r="S186" s="933"/>
      <c r="T186" s="933"/>
      <c r="U186" s="933"/>
      <c r="V186" s="933"/>
      <c r="W186" s="933"/>
      <c r="X186" s="933"/>
      <c r="Y186" s="933"/>
      <c r="Z186" s="933"/>
      <c r="AA186" s="933"/>
      <c r="AB186" s="933"/>
      <c r="AC186" s="933"/>
      <c r="AD186" s="933"/>
      <c r="AE186" s="933"/>
    </row>
    <row r="187" spans="1:31" ht="12.75">
      <c r="A187" s="933"/>
      <c r="B187" s="933"/>
      <c r="C187" s="933"/>
      <c r="D187" s="933"/>
      <c r="E187" s="933"/>
      <c r="F187" s="933"/>
      <c r="G187" s="933"/>
      <c r="H187" s="933"/>
      <c r="I187" s="933"/>
      <c r="J187" s="933"/>
      <c r="K187" s="933"/>
      <c r="L187" s="933"/>
      <c r="M187" s="933"/>
      <c r="N187" s="933"/>
      <c r="O187" s="933"/>
      <c r="P187" s="933"/>
      <c r="Q187" s="933"/>
      <c r="R187" s="933"/>
      <c r="S187" s="933"/>
      <c r="T187" s="933"/>
      <c r="U187" s="933"/>
      <c r="V187" s="933"/>
      <c r="W187" s="933"/>
      <c r="X187" s="933"/>
      <c r="Y187" s="933"/>
      <c r="Z187" s="933"/>
      <c r="AA187" s="933"/>
      <c r="AB187" s="933"/>
      <c r="AC187" s="933"/>
      <c r="AD187" s="933"/>
      <c r="AE187" s="933"/>
    </row>
    <row r="188" spans="1:31" ht="12.75">
      <c r="A188" s="933"/>
      <c r="B188" s="933"/>
      <c r="C188" s="933"/>
      <c r="D188" s="933"/>
      <c r="E188" s="933"/>
      <c r="F188" s="933"/>
      <c r="G188" s="933"/>
      <c r="H188" s="933"/>
      <c r="I188" s="933"/>
      <c r="J188" s="933"/>
      <c r="K188" s="933"/>
      <c r="L188" s="933"/>
      <c r="M188" s="933"/>
      <c r="N188" s="933"/>
      <c r="O188" s="933"/>
      <c r="P188" s="933"/>
      <c r="Q188" s="933"/>
      <c r="R188" s="933"/>
      <c r="S188" s="933"/>
      <c r="T188" s="933"/>
      <c r="U188" s="933"/>
      <c r="V188" s="933"/>
      <c r="W188" s="933"/>
      <c r="X188" s="933"/>
      <c r="Y188" s="933"/>
      <c r="Z188" s="933"/>
      <c r="AA188" s="933"/>
      <c r="AB188" s="933"/>
      <c r="AC188" s="933"/>
      <c r="AD188" s="933"/>
      <c r="AE188" s="933"/>
    </row>
    <row r="189" spans="1:31" ht="12.75">
      <c r="A189" s="933"/>
      <c r="B189" s="933"/>
      <c r="C189" s="933"/>
      <c r="D189" s="933"/>
      <c r="E189" s="933"/>
      <c r="F189" s="933"/>
      <c r="G189" s="933"/>
      <c r="H189" s="933"/>
      <c r="I189" s="933"/>
      <c r="J189" s="933"/>
      <c r="K189" s="933"/>
      <c r="L189" s="933"/>
      <c r="M189" s="933"/>
      <c r="N189" s="933"/>
      <c r="O189" s="933"/>
      <c r="P189" s="933"/>
      <c r="Q189" s="933"/>
      <c r="R189" s="933"/>
      <c r="S189" s="933"/>
      <c r="T189" s="933"/>
      <c r="U189" s="933"/>
      <c r="V189" s="933"/>
      <c r="W189" s="933"/>
      <c r="X189" s="933"/>
      <c r="Y189" s="933"/>
      <c r="Z189" s="933"/>
      <c r="AA189" s="933"/>
      <c r="AB189" s="933"/>
      <c r="AC189" s="933"/>
      <c r="AD189" s="933"/>
      <c r="AE189" s="933"/>
    </row>
    <row r="190" spans="1:31" ht="12.75">
      <c r="A190" s="933"/>
      <c r="B190" s="933"/>
      <c r="C190" s="933"/>
      <c r="D190" s="933"/>
      <c r="E190" s="933"/>
      <c r="F190" s="933"/>
      <c r="G190" s="933"/>
      <c r="H190" s="933"/>
      <c r="I190" s="933"/>
      <c r="J190" s="933"/>
      <c r="K190" s="933"/>
      <c r="L190" s="933"/>
      <c r="M190" s="933"/>
      <c r="N190" s="933"/>
      <c r="O190" s="933"/>
      <c r="P190" s="933"/>
      <c r="Q190" s="933"/>
      <c r="R190" s="933"/>
      <c r="S190" s="933"/>
      <c r="T190" s="933"/>
      <c r="U190" s="933"/>
      <c r="V190" s="933"/>
      <c r="W190" s="933"/>
      <c r="X190" s="933"/>
      <c r="Y190" s="933"/>
      <c r="Z190" s="933"/>
      <c r="AA190" s="933"/>
      <c r="AB190" s="933"/>
      <c r="AC190" s="933"/>
      <c r="AD190" s="933"/>
      <c r="AE190" s="933"/>
    </row>
    <row r="191" spans="1:31" ht="12.75">
      <c r="A191" s="933"/>
      <c r="B191" s="933"/>
      <c r="C191" s="933"/>
      <c r="D191" s="933"/>
      <c r="E191" s="933"/>
      <c r="F191" s="933"/>
      <c r="G191" s="933"/>
      <c r="H191" s="933"/>
      <c r="I191" s="933"/>
      <c r="J191" s="933"/>
      <c r="K191" s="933"/>
      <c r="L191" s="933"/>
      <c r="M191" s="933"/>
      <c r="N191" s="933"/>
      <c r="O191" s="933"/>
      <c r="P191" s="933"/>
      <c r="Q191" s="933"/>
      <c r="R191" s="933"/>
      <c r="S191" s="933"/>
      <c r="T191" s="933"/>
      <c r="U191" s="933"/>
      <c r="V191" s="933"/>
      <c r="W191" s="933"/>
      <c r="X191" s="933"/>
      <c r="Y191" s="933"/>
      <c r="Z191" s="933"/>
      <c r="AA191" s="933"/>
      <c r="AB191" s="933"/>
      <c r="AC191" s="933"/>
      <c r="AD191" s="933"/>
      <c r="AE191" s="933"/>
    </row>
    <row r="192" spans="1:31" ht="12.75">
      <c r="A192" s="933"/>
      <c r="B192" s="933"/>
      <c r="C192" s="933"/>
      <c r="D192" s="933"/>
      <c r="E192" s="933"/>
      <c r="F192" s="933"/>
      <c r="G192" s="933"/>
      <c r="H192" s="933"/>
      <c r="I192" s="933"/>
      <c r="J192" s="933"/>
      <c r="K192" s="933"/>
      <c r="L192" s="933"/>
      <c r="M192" s="933"/>
      <c r="N192" s="933"/>
      <c r="O192" s="933"/>
      <c r="P192" s="933"/>
      <c r="Q192" s="933"/>
      <c r="R192" s="933"/>
      <c r="S192" s="933"/>
      <c r="T192" s="933"/>
      <c r="U192" s="933"/>
      <c r="V192" s="933"/>
      <c r="W192" s="933"/>
      <c r="X192" s="933"/>
      <c r="Y192" s="933"/>
      <c r="Z192" s="933"/>
      <c r="AA192" s="933"/>
      <c r="AB192" s="933"/>
      <c r="AC192" s="933"/>
      <c r="AD192" s="933"/>
      <c r="AE192" s="933"/>
    </row>
    <row r="193" spans="1:31" ht="12.75">
      <c r="A193" s="933"/>
      <c r="B193" s="933"/>
      <c r="C193" s="933"/>
      <c r="D193" s="933"/>
      <c r="E193" s="933"/>
      <c r="F193" s="933"/>
      <c r="G193" s="933"/>
      <c r="H193" s="933"/>
      <c r="I193" s="933"/>
      <c r="J193" s="933"/>
      <c r="K193" s="933"/>
      <c r="L193" s="933"/>
      <c r="M193" s="933"/>
      <c r="N193" s="933"/>
      <c r="O193" s="933"/>
      <c r="P193" s="933"/>
      <c r="Q193" s="933"/>
      <c r="R193" s="933"/>
      <c r="S193" s="933"/>
      <c r="T193" s="933"/>
      <c r="U193" s="933"/>
      <c r="V193" s="933"/>
      <c r="W193" s="933"/>
      <c r="X193" s="933"/>
      <c r="Y193" s="933"/>
      <c r="Z193" s="933"/>
      <c r="AA193" s="933"/>
      <c r="AB193" s="933"/>
      <c r="AC193" s="933"/>
      <c r="AD193" s="933"/>
      <c r="AE193" s="933"/>
    </row>
    <row r="194" spans="1:31" ht="12.75">
      <c r="A194" s="933"/>
      <c r="B194" s="933"/>
      <c r="C194" s="933"/>
      <c r="D194" s="933"/>
      <c r="E194" s="933"/>
      <c r="F194" s="933"/>
      <c r="G194" s="933"/>
      <c r="H194" s="933"/>
      <c r="I194" s="933"/>
      <c r="J194" s="933"/>
      <c r="K194" s="933"/>
      <c r="L194" s="933"/>
      <c r="M194" s="933"/>
      <c r="N194" s="933"/>
      <c r="O194" s="933"/>
      <c r="P194" s="933"/>
      <c r="Q194" s="933"/>
      <c r="R194" s="933"/>
      <c r="S194" s="933"/>
      <c r="T194" s="933"/>
      <c r="U194" s="933"/>
      <c r="V194" s="933"/>
      <c r="W194" s="933"/>
      <c r="X194" s="933"/>
      <c r="Y194" s="933"/>
      <c r="Z194" s="933"/>
      <c r="AA194" s="933"/>
      <c r="AB194" s="933"/>
      <c r="AC194" s="933"/>
      <c r="AD194" s="933"/>
      <c r="AE194" s="933"/>
    </row>
    <row r="195" spans="1:31" ht="12.75">
      <c r="A195" s="933"/>
      <c r="B195" s="933"/>
      <c r="C195" s="933"/>
      <c r="D195" s="933"/>
      <c r="E195" s="933"/>
      <c r="F195" s="933"/>
      <c r="G195" s="933"/>
      <c r="H195" s="933"/>
      <c r="I195" s="933"/>
      <c r="J195" s="933"/>
      <c r="K195" s="933"/>
      <c r="L195" s="933"/>
      <c r="M195" s="933"/>
      <c r="N195" s="933"/>
      <c r="O195" s="933"/>
      <c r="P195" s="933"/>
      <c r="Q195" s="933"/>
      <c r="R195" s="933"/>
      <c r="S195" s="933"/>
      <c r="T195" s="933"/>
      <c r="U195" s="933"/>
      <c r="V195" s="933"/>
      <c r="W195" s="933"/>
      <c r="X195" s="933"/>
      <c r="Y195" s="933"/>
      <c r="Z195" s="933"/>
      <c r="AA195" s="933"/>
      <c r="AB195" s="933"/>
      <c r="AC195" s="933"/>
      <c r="AD195" s="933"/>
      <c r="AE195" s="933"/>
    </row>
    <row r="196" spans="1:31" ht="12.75">
      <c r="A196" s="933"/>
      <c r="B196" s="933"/>
      <c r="C196" s="933"/>
      <c r="D196" s="933"/>
      <c r="E196" s="933"/>
      <c r="F196" s="933"/>
      <c r="G196" s="933"/>
      <c r="H196" s="933"/>
      <c r="I196" s="933"/>
      <c r="J196" s="933"/>
      <c r="K196" s="933"/>
      <c r="L196" s="933"/>
      <c r="M196" s="933"/>
      <c r="N196" s="933"/>
      <c r="O196" s="933"/>
      <c r="P196" s="933"/>
      <c r="Q196" s="933"/>
      <c r="R196" s="933"/>
      <c r="S196" s="933"/>
      <c r="T196" s="933"/>
      <c r="U196" s="933"/>
      <c r="V196" s="933"/>
      <c r="W196" s="933"/>
      <c r="X196" s="933"/>
      <c r="Y196" s="933"/>
      <c r="Z196" s="933"/>
      <c r="AA196" s="933"/>
      <c r="AB196" s="933"/>
      <c r="AC196" s="933"/>
      <c r="AD196" s="933"/>
      <c r="AE196" s="933"/>
    </row>
    <row r="197" spans="1:31" ht="12.75">
      <c r="A197" s="933"/>
      <c r="B197" s="933"/>
      <c r="C197" s="933"/>
      <c r="D197" s="933"/>
      <c r="E197" s="933"/>
      <c r="F197" s="933"/>
      <c r="G197" s="933"/>
      <c r="H197" s="933"/>
      <c r="I197" s="933"/>
      <c r="J197" s="933"/>
      <c r="K197" s="933"/>
      <c r="L197" s="933"/>
      <c r="M197" s="933"/>
      <c r="N197" s="933"/>
      <c r="O197" s="933"/>
      <c r="P197" s="933"/>
      <c r="Q197" s="933"/>
      <c r="R197" s="933"/>
      <c r="S197" s="933"/>
      <c r="T197" s="933"/>
      <c r="U197" s="933"/>
      <c r="V197" s="933"/>
      <c r="W197" s="933"/>
      <c r="X197" s="933"/>
      <c r="Y197" s="933"/>
      <c r="Z197" s="933"/>
      <c r="AA197" s="933"/>
      <c r="AB197" s="933"/>
      <c r="AC197" s="933"/>
      <c r="AD197" s="933"/>
      <c r="AE197" s="933"/>
    </row>
    <row r="198" spans="1:31" ht="12.75">
      <c r="A198" s="933"/>
      <c r="B198" s="933"/>
      <c r="C198" s="933"/>
      <c r="D198" s="933"/>
      <c r="E198" s="933"/>
      <c r="F198" s="933"/>
      <c r="G198" s="933"/>
      <c r="H198" s="933"/>
      <c r="I198" s="933"/>
      <c r="J198" s="933"/>
      <c r="K198" s="933"/>
      <c r="L198" s="933"/>
      <c r="M198" s="933"/>
      <c r="N198" s="933"/>
      <c r="O198" s="933"/>
      <c r="P198" s="933"/>
      <c r="Q198" s="933"/>
      <c r="R198" s="933"/>
      <c r="S198" s="933"/>
      <c r="T198" s="933"/>
      <c r="U198" s="933"/>
      <c r="V198" s="933"/>
      <c r="W198" s="933"/>
      <c r="X198" s="933"/>
      <c r="Y198" s="933"/>
      <c r="Z198" s="933"/>
      <c r="AA198" s="933"/>
      <c r="AB198" s="933"/>
      <c r="AC198" s="933"/>
      <c r="AD198" s="933"/>
      <c r="AE198" s="933"/>
    </row>
    <row r="199" spans="1:31" ht="12.75">
      <c r="A199" s="933"/>
      <c r="B199" s="933"/>
      <c r="C199" s="933"/>
      <c r="D199" s="933"/>
      <c r="E199" s="933"/>
      <c r="F199" s="933"/>
      <c r="G199" s="933"/>
      <c r="H199" s="933"/>
      <c r="I199" s="933"/>
      <c r="J199" s="933"/>
      <c r="K199" s="933"/>
      <c r="L199" s="933"/>
      <c r="M199" s="933"/>
      <c r="N199" s="933"/>
      <c r="O199" s="933"/>
      <c r="P199" s="933"/>
      <c r="Q199" s="933"/>
      <c r="R199" s="933"/>
      <c r="S199" s="933"/>
      <c r="T199" s="933"/>
      <c r="U199" s="933"/>
      <c r="V199" s="933"/>
      <c r="W199" s="933"/>
      <c r="X199" s="933"/>
      <c r="Y199" s="933"/>
      <c r="Z199" s="933"/>
      <c r="AA199" s="933"/>
      <c r="AB199" s="933"/>
      <c r="AC199" s="933"/>
      <c r="AD199" s="933"/>
      <c r="AE199" s="933"/>
    </row>
    <row r="200" spans="1:31" ht="12.75">
      <c r="A200" s="933"/>
      <c r="B200" s="933"/>
      <c r="C200" s="933"/>
      <c r="D200" s="933"/>
      <c r="E200" s="933"/>
      <c r="F200" s="933"/>
      <c r="G200" s="933"/>
      <c r="H200" s="933"/>
      <c r="I200" s="933"/>
      <c r="J200" s="933"/>
      <c r="K200" s="933"/>
      <c r="L200" s="933"/>
      <c r="M200" s="933"/>
      <c r="N200" s="933"/>
      <c r="O200" s="933"/>
      <c r="P200" s="933"/>
      <c r="Q200" s="933"/>
      <c r="R200" s="933"/>
      <c r="S200" s="933"/>
      <c r="T200" s="933"/>
      <c r="U200" s="933"/>
      <c r="V200" s="933"/>
      <c r="W200" s="933"/>
      <c r="X200" s="933"/>
      <c r="Y200" s="933"/>
      <c r="Z200" s="933"/>
      <c r="AA200" s="933"/>
      <c r="AB200" s="933"/>
      <c r="AC200" s="933"/>
      <c r="AD200" s="933"/>
      <c r="AE200" s="933"/>
    </row>
    <row r="201" spans="1:31" ht="12.75">
      <c r="A201" s="933"/>
      <c r="B201" s="933"/>
      <c r="C201" s="933"/>
      <c r="D201" s="933"/>
      <c r="E201" s="933"/>
      <c r="F201" s="933"/>
      <c r="G201" s="933"/>
      <c r="H201" s="933"/>
      <c r="I201" s="933"/>
      <c r="J201" s="933"/>
      <c r="K201" s="933"/>
      <c r="L201" s="933"/>
      <c r="M201" s="933"/>
      <c r="N201" s="933"/>
      <c r="O201" s="933"/>
      <c r="P201" s="933"/>
      <c r="Q201" s="933"/>
      <c r="R201" s="933"/>
      <c r="S201" s="933"/>
      <c r="T201" s="933"/>
      <c r="U201" s="933"/>
      <c r="V201" s="933"/>
      <c r="W201" s="933"/>
      <c r="X201" s="933"/>
      <c r="Y201" s="933"/>
      <c r="Z201" s="933"/>
      <c r="AA201" s="933"/>
      <c r="AB201" s="933"/>
      <c r="AC201" s="933"/>
      <c r="AD201" s="933"/>
      <c r="AE201" s="933"/>
    </row>
    <row r="202" spans="1:31" ht="12.75">
      <c r="A202" s="933"/>
      <c r="B202" s="933"/>
      <c r="C202" s="933"/>
      <c r="D202" s="933"/>
      <c r="E202" s="933"/>
      <c r="F202" s="933"/>
      <c r="G202" s="933"/>
      <c r="H202" s="933"/>
      <c r="I202" s="933"/>
      <c r="J202" s="933"/>
      <c r="K202" s="933"/>
      <c r="L202" s="933"/>
      <c r="M202" s="933"/>
      <c r="N202" s="933"/>
      <c r="O202" s="933"/>
      <c r="P202" s="933"/>
      <c r="Q202" s="933"/>
      <c r="R202" s="933"/>
      <c r="S202" s="933"/>
      <c r="T202" s="933"/>
      <c r="U202" s="933"/>
      <c r="V202" s="933"/>
      <c r="W202" s="933"/>
      <c r="X202" s="933"/>
      <c r="Y202" s="933"/>
      <c r="Z202" s="933"/>
      <c r="AA202" s="933"/>
      <c r="AB202" s="933"/>
      <c r="AC202" s="933"/>
      <c r="AD202" s="933"/>
      <c r="AE202" s="933"/>
    </row>
    <row r="203" spans="1:31" ht="12.75">
      <c r="A203" s="933"/>
      <c r="B203" s="933"/>
      <c r="C203" s="933"/>
      <c r="D203" s="933"/>
      <c r="E203" s="933"/>
      <c r="F203" s="933"/>
      <c r="G203" s="933"/>
      <c r="H203" s="933"/>
      <c r="I203" s="933"/>
      <c r="J203" s="933"/>
      <c r="K203" s="933"/>
      <c r="L203" s="933"/>
      <c r="M203" s="933"/>
      <c r="N203" s="933"/>
      <c r="O203" s="933"/>
      <c r="P203" s="933"/>
      <c r="Q203" s="933"/>
      <c r="R203" s="933"/>
      <c r="S203" s="933"/>
      <c r="T203" s="933"/>
      <c r="U203" s="933"/>
      <c r="V203" s="933"/>
      <c r="W203" s="933"/>
      <c r="X203" s="933"/>
      <c r="Y203" s="933"/>
      <c r="Z203" s="933"/>
      <c r="AA203" s="933"/>
      <c r="AB203" s="933"/>
      <c r="AC203" s="933"/>
      <c r="AD203" s="933"/>
      <c r="AE203" s="933"/>
    </row>
    <row r="204" spans="1:31" ht="12.75">
      <c r="A204" s="933"/>
      <c r="B204" s="933"/>
      <c r="C204" s="933"/>
      <c r="D204" s="933"/>
      <c r="E204" s="933"/>
      <c r="F204" s="933"/>
      <c r="G204" s="933"/>
      <c r="H204" s="933"/>
      <c r="I204" s="933"/>
      <c r="J204" s="933"/>
      <c r="K204" s="933"/>
      <c r="L204" s="933"/>
      <c r="M204" s="933"/>
      <c r="N204" s="933"/>
      <c r="O204" s="933"/>
      <c r="P204" s="933"/>
      <c r="Q204" s="933"/>
      <c r="R204" s="933"/>
      <c r="S204" s="933"/>
      <c r="T204" s="933"/>
      <c r="U204" s="933"/>
      <c r="V204" s="933"/>
      <c r="W204" s="933"/>
      <c r="X204" s="933"/>
      <c r="Y204" s="933"/>
      <c r="Z204" s="933"/>
      <c r="AA204" s="933"/>
      <c r="AB204" s="933"/>
      <c r="AC204" s="933"/>
      <c r="AD204" s="933"/>
      <c r="AE204" s="933"/>
    </row>
    <row r="205" spans="1:31" ht="12.75">
      <c r="A205" s="933"/>
      <c r="B205" s="933"/>
      <c r="C205" s="933"/>
      <c r="D205" s="933"/>
      <c r="E205" s="933"/>
      <c r="F205" s="933"/>
      <c r="G205" s="933"/>
      <c r="H205" s="933"/>
      <c r="I205" s="933"/>
      <c r="J205" s="933"/>
      <c r="K205" s="933"/>
      <c r="L205" s="933"/>
      <c r="M205" s="933"/>
      <c r="N205" s="933"/>
      <c r="O205" s="933"/>
      <c r="P205" s="933"/>
      <c r="Q205" s="933"/>
      <c r="R205" s="933"/>
      <c r="S205" s="933"/>
      <c r="T205" s="933"/>
      <c r="U205" s="933"/>
      <c r="V205" s="933"/>
      <c r="W205" s="933"/>
      <c r="X205" s="933"/>
      <c r="Y205" s="933"/>
      <c r="Z205" s="933"/>
      <c r="AA205" s="933"/>
      <c r="AB205" s="933"/>
      <c r="AC205" s="933"/>
      <c r="AD205" s="933"/>
      <c r="AE205" s="933"/>
    </row>
    <row r="206" spans="1:31" ht="12.75">
      <c r="A206" s="933"/>
      <c r="B206" s="933"/>
      <c r="C206" s="933"/>
      <c r="D206" s="933"/>
      <c r="E206" s="933"/>
      <c r="F206" s="933"/>
      <c r="G206" s="933"/>
      <c r="H206" s="933"/>
      <c r="I206" s="933"/>
      <c r="J206" s="933"/>
      <c r="K206" s="933"/>
      <c r="L206" s="933"/>
      <c r="M206" s="933"/>
      <c r="N206" s="933"/>
      <c r="O206" s="933"/>
      <c r="P206" s="933"/>
      <c r="Q206" s="933"/>
      <c r="R206" s="933"/>
      <c r="S206" s="933"/>
      <c r="T206" s="933"/>
      <c r="U206" s="933"/>
      <c r="V206" s="933"/>
      <c r="W206" s="933"/>
      <c r="X206" s="933"/>
      <c r="Y206" s="933"/>
      <c r="Z206" s="933"/>
      <c r="AA206" s="933"/>
      <c r="AB206" s="933"/>
      <c r="AC206" s="933"/>
      <c r="AD206" s="933"/>
      <c r="AE206" s="933"/>
    </row>
    <row r="207" spans="1:31" ht="12.75">
      <c r="A207" s="933"/>
      <c r="B207" s="933"/>
      <c r="C207" s="933"/>
      <c r="D207" s="933"/>
      <c r="E207" s="933"/>
      <c r="F207" s="933"/>
      <c r="G207" s="933"/>
      <c r="H207" s="933"/>
      <c r="I207" s="933"/>
      <c r="J207" s="933"/>
      <c r="K207" s="933"/>
      <c r="L207" s="933"/>
      <c r="M207" s="933"/>
      <c r="N207" s="933"/>
      <c r="O207" s="933"/>
      <c r="P207" s="933"/>
      <c r="Q207" s="933"/>
      <c r="R207" s="933"/>
      <c r="S207" s="933"/>
      <c r="T207" s="933"/>
      <c r="U207" s="933"/>
      <c r="V207" s="933"/>
      <c r="W207" s="933"/>
      <c r="X207" s="933"/>
      <c r="Y207" s="933"/>
      <c r="Z207" s="933"/>
      <c r="AA207" s="933"/>
      <c r="AB207" s="933"/>
      <c r="AC207" s="933"/>
      <c r="AD207" s="933"/>
      <c r="AE207" s="933"/>
    </row>
    <row r="208" spans="1:31" ht="12.75">
      <c r="A208" s="933"/>
      <c r="B208" s="933"/>
      <c r="C208" s="933"/>
      <c r="D208" s="933"/>
      <c r="E208" s="933"/>
      <c r="F208" s="933"/>
      <c r="G208" s="933"/>
      <c r="H208" s="933"/>
      <c r="I208" s="933"/>
      <c r="J208" s="933"/>
      <c r="K208" s="933"/>
      <c r="L208" s="933"/>
      <c r="M208" s="933"/>
      <c r="N208" s="933"/>
      <c r="O208" s="933"/>
      <c r="P208" s="933"/>
      <c r="Q208" s="933"/>
      <c r="R208" s="933"/>
      <c r="S208" s="933"/>
      <c r="T208" s="933"/>
      <c r="U208" s="933"/>
      <c r="V208" s="933"/>
      <c r="W208" s="933"/>
      <c r="X208" s="933"/>
      <c r="Y208" s="933"/>
      <c r="Z208" s="933"/>
      <c r="AA208" s="933"/>
      <c r="AB208" s="933"/>
      <c r="AC208" s="933"/>
      <c r="AD208" s="933"/>
      <c r="AE208" s="933"/>
    </row>
    <row r="209" spans="1:31" ht="12.75">
      <c r="A209" s="933"/>
      <c r="B209" s="933"/>
      <c r="C209" s="933"/>
      <c r="D209" s="933"/>
      <c r="E209" s="933"/>
      <c r="F209" s="933"/>
      <c r="G209" s="933"/>
      <c r="H209" s="933"/>
      <c r="I209" s="933"/>
      <c r="J209" s="933"/>
      <c r="K209" s="933"/>
      <c r="L209" s="933"/>
      <c r="M209" s="933"/>
      <c r="N209" s="933"/>
      <c r="O209" s="933"/>
      <c r="P209" s="933"/>
      <c r="Q209" s="933"/>
      <c r="R209" s="933"/>
      <c r="S209" s="933"/>
      <c r="T209" s="933"/>
      <c r="U209" s="933"/>
      <c r="V209" s="933"/>
      <c r="W209" s="933"/>
      <c r="X209" s="933"/>
      <c r="Y209" s="933"/>
      <c r="Z209" s="933"/>
      <c r="AA209" s="933"/>
      <c r="AB209" s="933"/>
      <c r="AC209" s="933"/>
      <c r="AD209" s="933"/>
      <c r="AE209" s="933"/>
    </row>
    <row r="210" spans="1:31" ht="12.75">
      <c r="A210" s="933"/>
      <c r="B210" s="933"/>
      <c r="C210" s="933"/>
      <c r="D210" s="933"/>
      <c r="E210" s="933"/>
      <c r="F210" s="933"/>
      <c r="G210" s="933"/>
      <c r="H210" s="933"/>
      <c r="I210" s="933"/>
      <c r="J210" s="933"/>
      <c r="K210" s="933"/>
      <c r="L210" s="933"/>
      <c r="M210" s="933"/>
      <c r="N210" s="933"/>
      <c r="O210" s="933"/>
      <c r="P210" s="933"/>
      <c r="Q210" s="933"/>
      <c r="R210" s="933"/>
      <c r="S210" s="933"/>
      <c r="T210" s="933"/>
      <c r="U210" s="933"/>
      <c r="V210" s="933"/>
      <c r="W210" s="933"/>
      <c r="X210" s="933"/>
      <c r="Y210" s="933"/>
      <c r="Z210" s="933"/>
      <c r="AA210" s="933"/>
      <c r="AB210" s="933"/>
      <c r="AC210" s="933"/>
      <c r="AD210" s="933"/>
      <c r="AE210" s="933"/>
    </row>
    <row r="211" spans="1:31" ht="12.75">
      <c r="A211" s="933"/>
      <c r="B211" s="933"/>
      <c r="C211" s="933"/>
      <c r="D211" s="933"/>
      <c r="E211" s="933"/>
      <c r="F211" s="933"/>
      <c r="G211" s="933"/>
      <c r="H211" s="933"/>
      <c r="I211" s="933"/>
      <c r="J211" s="933"/>
      <c r="K211" s="933"/>
      <c r="L211" s="933"/>
      <c r="M211" s="933"/>
      <c r="N211" s="933"/>
      <c r="O211" s="933"/>
      <c r="P211" s="933"/>
      <c r="Q211" s="933"/>
      <c r="R211" s="933"/>
      <c r="S211" s="933"/>
      <c r="T211" s="933"/>
      <c r="U211" s="933"/>
      <c r="V211" s="933"/>
      <c r="W211" s="933"/>
      <c r="X211" s="933"/>
      <c r="Y211" s="933"/>
      <c r="Z211" s="933"/>
      <c r="AA211" s="933"/>
      <c r="AB211" s="933"/>
      <c r="AC211" s="933"/>
      <c r="AD211" s="933"/>
      <c r="AE211" s="933"/>
    </row>
    <row r="212" spans="1:31" ht="12.75">
      <c r="A212" s="933"/>
      <c r="B212" s="933"/>
      <c r="C212" s="933"/>
      <c r="D212" s="933"/>
      <c r="E212" s="933"/>
      <c r="F212" s="933"/>
      <c r="G212" s="933"/>
      <c r="H212" s="933"/>
      <c r="I212" s="933"/>
      <c r="J212" s="933"/>
      <c r="K212" s="933"/>
      <c r="L212" s="933"/>
      <c r="M212" s="933"/>
      <c r="N212" s="933"/>
      <c r="O212" s="933"/>
      <c r="P212" s="933"/>
      <c r="Q212" s="933"/>
      <c r="R212" s="933"/>
      <c r="S212" s="933"/>
      <c r="T212" s="933"/>
      <c r="U212" s="933"/>
      <c r="V212" s="933"/>
      <c r="W212" s="933"/>
      <c r="X212" s="933"/>
      <c r="Y212" s="933"/>
      <c r="Z212" s="933"/>
      <c r="AA212" s="933"/>
      <c r="AB212" s="933"/>
      <c r="AC212" s="933"/>
      <c r="AD212" s="933"/>
      <c r="AE212" s="933"/>
    </row>
    <row r="213" spans="1:31" ht="12.75">
      <c r="A213" s="933"/>
      <c r="B213" s="933"/>
      <c r="C213" s="933"/>
      <c r="D213" s="933"/>
      <c r="E213" s="933"/>
      <c r="F213" s="933"/>
      <c r="G213" s="933"/>
      <c r="H213" s="933"/>
      <c r="I213" s="933"/>
      <c r="J213" s="933"/>
      <c r="K213" s="933"/>
      <c r="L213" s="933"/>
      <c r="M213" s="933"/>
      <c r="N213" s="933"/>
      <c r="O213" s="933"/>
      <c r="P213" s="933"/>
      <c r="Q213" s="933"/>
      <c r="R213" s="933"/>
      <c r="S213" s="933"/>
      <c r="T213" s="933"/>
      <c r="U213" s="933"/>
      <c r="V213" s="933"/>
      <c r="W213" s="933"/>
      <c r="X213" s="933"/>
      <c r="Y213" s="933"/>
      <c r="Z213" s="933"/>
      <c r="AA213" s="933"/>
      <c r="AB213" s="933"/>
      <c r="AC213" s="933"/>
      <c r="AD213" s="933"/>
      <c r="AE213" s="933"/>
    </row>
    <row r="214" spans="1:31" ht="12.75">
      <c r="A214" s="933"/>
      <c r="B214" s="933"/>
      <c r="C214" s="933"/>
      <c r="D214" s="933"/>
      <c r="E214" s="933"/>
      <c r="F214" s="933"/>
      <c r="G214" s="933"/>
      <c r="H214" s="933"/>
      <c r="I214" s="933"/>
      <c r="J214" s="933"/>
      <c r="K214" s="933"/>
      <c r="L214" s="933"/>
      <c r="M214" s="933"/>
      <c r="N214" s="933"/>
      <c r="O214" s="933"/>
      <c r="P214" s="933"/>
      <c r="Q214" s="933"/>
      <c r="R214" s="933"/>
      <c r="S214" s="933"/>
      <c r="T214" s="933"/>
      <c r="U214" s="933"/>
      <c r="V214" s="933"/>
      <c r="W214" s="933"/>
      <c r="X214" s="933"/>
      <c r="Y214" s="933"/>
      <c r="Z214" s="933"/>
      <c r="AA214" s="933"/>
      <c r="AB214" s="933"/>
      <c r="AC214" s="933"/>
      <c r="AD214" s="933"/>
      <c r="AE214" s="933"/>
    </row>
    <row r="215" spans="1:31" ht="12.75">
      <c r="A215" s="933"/>
      <c r="B215" s="933"/>
      <c r="C215" s="933"/>
      <c r="D215" s="933"/>
      <c r="E215" s="933"/>
      <c r="F215" s="933"/>
      <c r="G215" s="933"/>
      <c r="H215" s="933"/>
      <c r="I215" s="933"/>
      <c r="J215" s="933"/>
      <c r="K215" s="933"/>
      <c r="L215" s="933"/>
      <c r="M215" s="933"/>
      <c r="N215" s="933"/>
      <c r="O215" s="933"/>
      <c r="P215" s="933"/>
      <c r="Q215" s="933"/>
      <c r="R215" s="933"/>
      <c r="S215" s="933"/>
      <c r="T215" s="933"/>
      <c r="U215" s="933"/>
      <c r="V215" s="933"/>
      <c r="W215" s="933"/>
      <c r="X215" s="933"/>
      <c r="Y215" s="933"/>
      <c r="Z215" s="933"/>
      <c r="AA215" s="933"/>
      <c r="AB215" s="933"/>
      <c r="AC215" s="933"/>
      <c r="AD215" s="933"/>
      <c r="AE215" s="933"/>
    </row>
    <row r="216" spans="1:31" ht="12.75">
      <c r="A216" s="933"/>
      <c r="B216" s="933"/>
      <c r="C216" s="933"/>
      <c r="D216" s="933"/>
      <c r="E216" s="933"/>
      <c r="F216" s="933"/>
      <c r="G216" s="933"/>
      <c r="H216" s="933"/>
      <c r="I216" s="933"/>
      <c r="J216" s="933"/>
      <c r="K216" s="933"/>
      <c r="L216" s="933"/>
      <c r="M216" s="933"/>
      <c r="N216" s="933"/>
      <c r="O216" s="933"/>
      <c r="P216" s="933"/>
      <c r="Q216" s="933"/>
      <c r="R216" s="933"/>
      <c r="S216" s="933"/>
      <c r="T216" s="933"/>
      <c r="U216" s="933"/>
      <c r="V216" s="933"/>
      <c r="W216" s="933"/>
      <c r="X216" s="933"/>
      <c r="Y216" s="933"/>
      <c r="Z216" s="933"/>
      <c r="AA216" s="933"/>
      <c r="AB216" s="933"/>
      <c r="AC216" s="933"/>
      <c r="AD216" s="933"/>
      <c r="AE216" s="933"/>
    </row>
    <row r="217" spans="1:31" ht="12.75">
      <c r="A217" s="933"/>
      <c r="B217" s="933"/>
      <c r="C217" s="933"/>
      <c r="D217" s="933"/>
      <c r="E217" s="933"/>
      <c r="F217" s="933"/>
      <c r="G217" s="933"/>
      <c r="H217" s="933"/>
      <c r="I217" s="933"/>
      <c r="J217" s="933"/>
      <c r="K217" s="933"/>
      <c r="L217" s="933"/>
      <c r="M217" s="933"/>
      <c r="N217" s="933"/>
      <c r="O217" s="933"/>
      <c r="P217" s="933"/>
      <c r="Q217" s="933"/>
      <c r="R217" s="933"/>
      <c r="S217" s="933"/>
      <c r="T217" s="933"/>
      <c r="U217" s="933"/>
      <c r="V217" s="933"/>
      <c r="W217" s="933"/>
      <c r="X217" s="933"/>
      <c r="Y217" s="933"/>
      <c r="Z217" s="933"/>
      <c r="AA217" s="933"/>
      <c r="AB217" s="933"/>
      <c r="AC217" s="933"/>
      <c r="AD217" s="933"/>
      <c r="AE217" s="933"/>
    </row>
    <row r="218" spans="1:31" ht="12.75">
      <c r="A218" s="933"/>
      <c r="B218" s="933"/>
      <c r="C218" s="933"/>
      <c r="D218" s="933"/>
      <c r="E218" s="933"/>
      <c r="F218" s="933"/>
      <c r="G218" s="933"/>
      <c r="H218" s="933"/>
      <c r="I218" s="933"/>
      <c r="J218" s="933"/>
      <c r="K218" s="933"/>
      <c r="L218" s="933"/>
      <c r="M218" s="933"/>
      <c r="N218" s="933"/>
      <c r="O218" s="933"/>
      <c r="P218" s="933"/>
      <c r="Q218" s="933"/>
      <c r="R218" s="933"/>
      <c r="S218" s="933"/>
      <c r="T218" s="933"/>
      <c r="U218" s="933"/>
      <c r="V218" s="933"/>
      <c r="W218" s="933"/>
      <c r="X218" s="933"/>
      <c r="Y218" s="933"/>
      <c r="Z218" s="933"/>
      <c r="AA218" s="933"/>
      <c r="AB218" s="933"/>
      <c r="AC218" s="933"/>
      <c r="AD218" s="933"/>
      <c r="AE218" s="933"/>
    </row>
    <row r="219" spans="1:31" ht="12.75">
      <c r="A219" s="933"/>
      <c r="B219" s="933"/>
      <c r="C219" s="933"/>
      <c r="D219" s="933"/>
      <c r="E219" s="933"/>
      <c r="F219" s="933"/>
      <c r="G219" s="933"/>
      <c r="H219" s="933"/>
      <c r="I219" s="933"/>
      <c r="J219" s="933"/>
      <c r="K219" s="933"/>
      <c r="L219" s="933"/>
      <c r="M219" s="933"/>
      <c r="N219" s="933"/>
      <c r="O219" s="933"/>
      <c r="P219" s="933"/>
      <c r="Q219" s="933"/>
      <c r="R219" s="933"/>
      <c r="S219" s="933"/>
      <c r="T219" s="933"/>
      <c r="U219" s="933"/>
      <c r="V219" s="933"/>
      <c r="W219" s="933"/>
      <c r="X219" s="933"/>
      <c r="Y219" s="933"/>
      <c r="Z219" s="933"/>
      <c r="AA219" s="933"/>
      <c r="AB219" s="933"/>
      <c r="AC219" s="933"/>
      <c r="AD219" s="933"/>
      <c r="AE219" s="933"/>
    </row>
    <row r="220" spans="1:31" ht="12.75">
      <c r="A220" s="933"/>
      <c r="B220" s="933"/>
      <c r="C220" s="933"/>
      <c r="D220" s="933"/>
      <c r="E220" s="933"/>
      <c r="F220" s="933"/>
      <c r="G220" s="933"/>
      <c r="H220" s="933"/>
      <c r="I220" s="933"/>
      <c r="J220" s="933"/>
      <c r="K220" s="933"/>
      <c r="L220" s="933"/>
      <c r="M220" s="933"/>
      <c r="N220" s="933"/>
      <c r="O220" s="933"/>
      <c r="P220" s="933"/>
      <c r="Q220" s="933"/>
      <c r="R220" s="933"/>
      <c r="S220" s="933"/>
      <c r="T220" s="933"/>
      <c r="U220" s="933"/>
      <c r="V220" s="933"/>
      <c r="W220" s="933"/>
      <c r="X220" s="933"/>
      <c r="Y220" s="933"/>
      <c r="Z220" s="933"/>
      <c r="AA220" s="933"/>
      <c r="AB220" s="933"/>
      <c r="AC220" s="933"/>
      <c r="AD220" s="933"/>
      <c r="AE220" s="933"/>
    </row>
    <row r="221" spans="1:31" ht="12.75">
      <c r="A221" s="933"/>
      <c r="B221" s="933"/>
      <c r="C221" s="933"/>
      <c r="D221" s="933"/>
      <c r="E221" s="933"/>
      <c r="F221" s="933"/>
      <c r="G221" s="933"/>
      <c r="H221" s="933"/>
      <c r="I221" s="933"/>
      <c r="J221" s="933"/>
      <c r="K221" s="933"/>
      <c r="L221" s="933"/>
      <c r="M221" s="933"/>
      <c r="N221" s="933"/>
      <c r="O221" s="933"/>
      <c r="P221" s="933"/>
      <c r="Q221" s="933"/>
      <c r="R221" s="933"/>
      <c r="S221" s="933"/>
      <c r="T221" s="933"/>
      <c r="U221" s="933"/>
      <c r="V221" s="933"/>
      <c r="W221" s="933"/>
      <c r="X221" s="933"/>
      <c r="Y221" s="933"/>
      <c r="Z221" s="933"/>
      <c r="AA221" s="933"/>
      <c r="AB221" s="933"/>
      <c r="AC221" s="933"/>
      <c r="AD221" s="933"/>
      <c r="AE221" s="933"/>
    </row>
    <row r="222" spans="1:31" ht="12.75">
      <c r="A222" s="933"/>
      <c r="B222" s="933"/>
      <c r="C222" s="933"/>
      <c r="D222" s="933"/>
      <c r="E222" s="933"/>
      <c r="F222" s="933"/>
      <c r="G222" s="933"/>
      <c r="H222" s="933"/>
      <c r="I222" s="933"/>
      <c r="J222" s="933"/>
      <c r="K222" s="933"/>
      <c r="L222" s="933"/>
      <c r="M222" s="933"/>
      <c r="N222" s="933"/>
      <c r="O222" s="933"/>
      <c r="P222" s="933"/>
      <c r="Q222" s="933"/>
      <c r="R222" s="933"/>
      <c r="S222" s="933"/>
      <c r="T222" s="933"/>
      <c r="U222" s="933"/>
      <c r="V222" s="933"/>
      <c r="W222" s="933"/>
      <c r="X222" s="933"/>
      <c r="Y222" s="933"/>
      <c r="Z222" s="933"/>
      <c r="AA222" s="933"/>
      <c r="AB222" s="933"/>
      <c r="AC222" s="933"/>
      <c r="AD222" s="933"/>
      <c r="AE222" s="933"/>
    </row>
    <row r="223" spans="1:31" ht="12.75">
      <c r="A223" s="933"/>
      <c r="B223" s="933"/>
      <c r="C223" s="933"/>
      <c r="D223" s="933"/>
      <c r="E223" s="933"/>
      <c r="F223" s="933"/>
      <c r="G223" s="933"/>
      <c r="H223" s="933"/>
      <c r="I223" s="933"/>
      <c r="J223" s="933"/>
      <c r="K223" s="933"/>
      <c r="L223" s="933"/>
      <c r="M223" s="933"/>
      <c r="N223" s="933"/>
      <c r="O223" s="933"/>
      <c r="P223" s="933"/>
      <c r="Q223" s="933"/>
      <c r="R223" s="933"/>
      <c r="S223" s="933"/>
      <c r="T223" s="933"/>
      <c r="U223" s="933"/>
      <c r="V223" s="933"/>
      <c r="W223" s="933"/>
      <c r="X223" s="933"/>
      <c r="Y223" s="933"/>
      <c r="Z223" s="933"/>
      <c r="AA223" s="933"/>
      <c r="AB223" s="933"/>
      <c r="AC223" s="933"/>
      <c r="AD223" s="933"/>
      <c r="AE223" s="933"/>
    </row>
    <row r="224" spans="1:31" ht="12.75">
      <c r="A224" s="933"/>
      <c r="B224" s="933"/>
      <c r="C224" s="933"/>
      <c r="D224" s="933"/>
      <c r="E224" s="933"/>
      <c r="F224" s="933"/>
      <c r="G224" s="933"/>
      <c r="H224" s="933"/>
      <c r="I224" s="933"/>
      <c r="J224" s="933"/>
      <c r="K224" s="933"/>
      <c r="L224" s="933"/>
      <c r="M224" s="933"/>
      <c r="N224" s="933"/>
      <c r="O224" s="933"/>
      <c r="P224" s="933"/>
      <c r="Q224" s="933"/>
      <c r="R224" s="933"/>
      <c r="S224" s="933"/>
      <c r="T224" s="933"/>
      <c r="U224" s="933"/>
      <c r="V224" s="933"/>
      <c r="W224" s="933"/>
      <c r="X224" s="933"/>
      <c r="Y224" s="933"/>
      <c r="Z224" s="933"/>
      <c r="AA224" s="933"/>
      <c r="AB224" s="933"/>
      <c r="AC224" s="933"/>
      <c r="AD224" s="933"/>
      <c r="AE224" s="933"/>
    </row>
    <row r="225" spans="1:31" ht="12.75">
      <c r="A225" s="933"/>
      <c r="B225" s="933"/>
      <c r="C225" s="933"/>
      <c r="D225" s="933"/>
      <c r="E225" s="933"/>
      <c r="F225" s="933"/>
      <c r="G225" s="933"/>
      <c r="H225" s="933"/>
      <c r="I225" s="933"/>
      <c r="J225" s="933"/>
      <c r="K225" s="933"/>
      <c r="L225" s="933"/>
      <c r="M225" s="933"/>
      <c r="N225" s="933"/>
      <c r="O225" s="933"/>
      <c r="P225" s="933"/>
      <c r="Q225" s="933"/>
      <c r="R225" s="933"/>
      <c r="S225" s="933"/>
      <c r="T225" s="933"/>
      <c r="U225" s="933"/>
      <c r="V225" s="933"/>
      <c r="W225" s="933"/>
      <c r="X225" s="933"/>
      <c r="Y225" s="933"/>
      <c r="Z225" s="933"/>
      <c r="AA225" s="933"/>
      <c r="AB225" s="933"/>
      <c r="AC225" s="933"/>
      <c r="AD225" s="933"/>
      <c r="AE225" s="933"/>
    </row>
    <row r="226" spans="1:31" ht="12.75">
      <c r="A226" s="933"/>
      <c r="B226" s="933"/>
      <c r="C226" s="933"/>
      <c r="D226" s="933"/>
      <c r="E226" s="933"/>
      <c r="F226" s="933"/>
      <c r="G226" s="933"/>
      <c r="H226" s="933"/>
      <c r="I226" s="933"/>
      <c r="J226" s="933"/>
      <c r="K226" s="933"/>
      <c r="L226" s="933"/>
      <c r="M226" s="933"/>
      <c r="N226" s="933"/>
      <c r="O226" s="933"/>
      <c r="P226" s="933"/>
      <c r="Q226" s="933"/>
      <c r="R226" s="933"/>
      <c r="S226" s="933"/>
      <c r="T226" s="933"/>
      <c r="U226" s="933"/>
      <c r="V226" s="933"/>
      <c r="W226" s="933"/>
      <c r="X226" s="933"/>
      <c r="Y226" s="933"/>
      <c r="Z226" s="933"/>
      <c r="AA226" s="933"/>
      <c r="AB226" s="933"/>
      <c r="AC226" s="933"/>
      <c r="AD226" s="933"/>
      <c r="AE226" s="933"/>
    </row>
    <row r="227" spans="1:31" ht="12.75">
      <c r="A227" s="933"/>
      <c r="B227" s="933"/>
      <c r="C227" s="933"/>
      <c r="D227" s="933"/>
      <c r="E227" s="933"/>
      <c r="F227" s="933"/>
      <c r="G227" s="933"/>
      <c r="H227" s="933"/>
      <c r="I227" s="933"/>
      <c r="J227" s="933"/>
      <c r="K227" s="933"/>
      <c r="L227" s="933"/>
      <c r="M227" s="933"/>
      <c r="N227" s="933"/>
      <c r="O227" s="933"/>
      <c r="P227" s="933"/>
      <c r="Q227" s="933"/>
      <c r="R227" s="933"/>
      <c r="S227" s="933"/>
      <c r="T227" s="933"/>
      <c r="U227" s="933"/>
      <c r="V227" s="933"/>
      <c r="W227" s="933"/>
      <c r="X227" s="933"/>
      <c r="Y227" s="933"/>
      <c r="Z227" s="933"/>
      <c r="AA227" s="933"/>
      <c r="AB227" s="933"/>
      <c r="AC227" s="933"/>
      <c r="AD227" s="933"/>
      <c r="AE227" s="933"/>
    </row>
    <row r="228" spans="1:31" ht="12.75">
      <c r="A228" s="933"/>
      <c r="B228" s="933"/>
      <c r="C228" s="933"/>
      <c r="D228" s="933"/>
      <c r="E228" s="933"/>
      <c r="F228" s="933"/>
      <c r="G228" s="933"/>
      <c r="H228" s="933"/>
      <c r="I228" s="933"/>
      <c r="J228" s="933"/>
      <c r="K228" s="933"/>
      <c r="L228" s="933"/>
      <c r="M228" s="933"/>
      <c r="N228" s="933"/>
      <c r="O228" s="933"/>
      <c r="P228" s="933"/>
      <c r="Q228" s="933"/>
      <c r="R228" s="933"/>
      <c r="S228" s="933"/>
      <c r="T228" s="933"/>
      <c r="U228" s="933"/>
      <c r="V228" s="933"/>
      <c r="W228" s="933"/>
      <c r="X228" s="933"/>
      <c r="Y228" s="933"/>
      <c r="Z228" s="933"/>
      <c r="AA228" s="933"/>
      <c r="AB228" s="933"/>
      <c r="AC228" s="933"/>
      <c r="AD228" s="933"/>
      <c r="AE228" s="933"/>
    </row>
    <row r="229" spans="1:31" ht="12.75">
      <c r="A229" s="933"/>
      <c r="B229" s="933"/>
      <c r="C229" s="933"/>
      <c r="D229" s="933"/>
      <c r="E229" s="933"/>
      <c r="F229" s="933"/>
      <c r="G229" s="933"/>
      <c r="H229" s="933"/>
      <c r="I229" s="933"/>
      <c r="J229" s="933"/>
      <c r="K229" s="933"/>
      <c r="L229" s="933"/>
      <c r="M229" s="933"/>
      <c r="N229" s="933"/>
      <c r="O229" s="933"/>
      <c r="P229" s="933"/>
      <c r="Q229" s="933"/>
      <c r="R229" s="933"/>
      <c r="S229" s="933"/>
      <c r="T229" s="933"/>
      <c r="U229" s="933"/>
      <c r="V229" s="933"/>
      <c r="W229" s="933"/>
      <c r="X229" s="933"/>
      <c r="Y229" s="933"/>
      <c r="Z229" s="933"/>
      <c r="AA229" s="933"/>
      <c r="AB229" s="933"/>
      <c r="AC229" s="933"/>
      <c r="AD229" s="933"/>
      <c r="AE229" s="933"/>
    </row>
    <row r="230" spans="1:31" ht="12.75">
      <c r="A230" s="933"/>
      <c r="B230" s="933"/>
      <c r="C230" s="933"/>
      <c r="D230" s="933"/>
      <c r="E230" s="933"/>
      <c r="F230" s="933"/>
      <c r="G230" s="933"/>
      <c r="H230" s="933"/>
      <c r="I230" s="933"/>
      <c r="J230" s="933"/>
      <c r="K230" s="933"/>
      <c r="L230" s="933"/>
      <c r="M230" s="933"/>
      <c r="N230" s="933"/>
      <c r="O230" s="933"/>
      <c r="P230" s="933"/>
      <c r="Q230" s="933"/>
      <c r="R230" s="933"/>
      <c r="S230" s="933"/>
      <c r="T230" s="933"/>
      <c r="U230" s="933"/>
      <c r="V230" s="933"/>
      <c r="W230" s="933"/>
      <c r="X230" s="933"/>
      <c r="Y230" s="933"/>
      <c r="Z230" s="933"/>
      <c r="AA230" s="933"/>
      <c r="AB230" s="933"/>
      <c r="AC230" s="933"/>
      <c r="AD230" s="933"/>
      <c r="AE230" s="933"/>
    </row>
    <row r="231" spans="1:31" ht="12.75">
      <c r="A231" s="933"/>
      <c r="B231" s="933"/>
      <c r="C231" s="933"/>
      <c r="D231" s="933"/>
      <c r="E231" s="933"/>
      <c r="F231" s="933"/>
      <c r="G231" s="933"/>
      <c r="H231" s="933"/>
      <c r="I231" s="933"/>
      <c r="J231" s="933"/>
      <c r="K231" s="933"/>
      <c r="L231" s="933"/>
      <c r="M231" s="933"/>
      <c r="N231" s="933"/>
      <c r="O231" s="933"/>
      <c r="P231" s="933"/>
      <c r="Q231" s="933"/>
      <c r="R231" s="933"/>
      <c r="S231" s="933"/>
      <c r="T231" s="933"/>
      <c r="U231" s="933"/>
      <c r="V231" s="933"/>
      <c r="W231" s="933"/>
      <c r="X231" s="933"/>
      <c r="Y231" s="933"/>
      <c r="Z231" s="933"/>
      <c r="AA231" s="933"/>
      <c r="AB231" s="933"/>
      <c r="AC231" s="933"/>
      <c r="AD231" s="933"/>
      <c r="AE231" s="933"/>
    </row>
    <row r="232" spans="1:31" ht="12.75">
      <c r="A232" s="933"/>
      <c r="B232" s="933"/>
      <c r="C232" s="933"/>
      <c r="D232" s="933"/>
      <c r="E232" s="933"/>
      <c r="F232" s="933"/>
      <c r="G232" s="933"/>
      <c r="H232" s="933"/>
      <c r="I232" s="933"/>
      <c r="J232" s="933"/>
      <c r="K232" s="933"/>
      <c r="L232" s="933"/>
      <c r="M232" s="933"/>
      <c r="N232" s="933"/>
      <c r="O232" s="933"/>
      <c r="P232" s="933"/>
      <c r="Q232" s="933"/>
      <c r="R232" s="933"/>
      <c r="S232" s="933"/>
      <c r="T232" s="933"/>
      <c r="U232" s="933"/>
      <c r="V232" s="933"/>
      <c r="W232" s="933"/>
      <c r="X232" s="933"/>
      <c r="Y232" s="933"/>
      <c r="Z232" s="933"/>
      <c r="AA232" s="933"/>
      <c r="AB232" s="933"/>
      <c r="AC232" s="933"/>
      <c r="AD232" s="933"/>
      <c r="AE232" s="933"/>
    </row>
    <row r="233" spans="1:31" ht="12.75">
      <c r="A233" s="933"/>
      <c r="B233" s="933"/>
      <c r="C233" s="933"/>
      <c r="D233" s="933"/>
      <c r="E233" s="933"/>
      <c r="F233" s="933"/>
      <c r="G233" s="933"/>
      <c r="H233" s="933"/>
      <c r="I233" s="933"/>
      <c r="J233" s="933"/>
      <c r="K233" s="933"/>
      <c r="L233" s="933"/>
      <c r="M233" s="933"/>
      <c r="N233" s="933"/>
      <c r="O233" s="933"/>
      <c r="P233" s="933"/>
      <c r="Q233" s="933"/>
      <c r="R233" s="933"/>
      <c r="S233" s="933"/>
      <c r="T233" s="933"/>
      <c r="U233" s="933"/>
      <c r="V233" s="933"/>
      <c r="W233" s="933"/>
      <c r="X233" s="933"/>
      <c r="Y233" s="933"/>
      <c r="Z233" s="933"/>
      <c r="AA233" s="933"/>
      <c r="AB233" s="933"/>
      <c r="AC233" s="933"/>
      <c r="AD233" s="933"/>
      <c r="AE233" s="933"/>
    </row>
    <row r="234" spans="1:31" ht="12.75">
      <c r="A234" s="933"/>
      <c r="B234" s="933"/>
      <c r="C234" s="933"/>
      <c r="D234" s="933"/>
      <c r="E234" s="933"/>
      <c r="F234" s="933"/>
      <c r="G234" s="933"/>
      <c r="H234" s="933"/>
      <c r="I234" s="933"/>
      <c r="J234" s="933"/>
      <c r="K234" s="933"/>
      <c r="L234" s="933"/>
      <c r="M234" s="933"/>
      <c r="N234" s="933"/>
      <c r="O234" s="933"/>
      <c r="P234" s="933"/>
      <c r="Q234" s="933"/>
      <c r="R234" s="933"/>
      <c r="S234" s="933"/>
      <c r="T234" s="933"/>
      <c r="U234" s="933"/>
      <c r="V234" s="933"/>
      <c r="W234" s="933"/>
      <c r="X234" s="933"/>
      <c r="Y234" s="933"/>
      <c r="Z234" s="933"/>
      <c r="AA234" s="933"/>
      <c r="AB234" s="933"/>
      <c r="AC234" s="933"/>
      <c r="AD234" s="933"/>
      <c r="AE234" s="933"/>
    </row>
    <row r="235" spans="1:31" ht="12.75">
      <c r="A235" s="933"/>
      <c r="B235" s="933"/>
      <c r="C235" s="933"/>
      <c r="D235" s="933"/>
      <c r="E235" s="933"/>
      <c r="F235" s="933"/>
      <c r="G235" s="933"/>
      <c r="H235" s="933"/>
      <c r="I235" s="933"/>
      <c r="J235" s="933"/>
      <c r="K235" s="933"/>
      <c r="L235" s="933"/>
      <c r="M235" s="933"/>
      <c r="N235" s="933"/>
      <c r="O235" s="933"/>
      <c r="P235" s="933"/>
      <c r="Q235" s="933"/>
      <c r="R235" s="933"/>
      <c r="S235" s="933"/>
      <c r="T235" s="933"/>
      <c r="U235" s="933"/>
      <c r="V235" s="933"/>
      <c r="W235" s="933"/>
      <c r="X235" s="933"/>
      <c r="Y235" s="933"/>
      <c r="Z235" s="933"/>
      <c r="AA235" s="933"/>
      <c r="AB235" s="933"/>
      <c r="AC235" s="933"/>
      <c r="AD235" s="933"/>
      <c r="AE235" s="933"/>
    </row>
    <row r="236" spans="1:31" ht="12.75">
      <c r="A236" s="933"/>
      <c r="B236" s="933"/>
      <c r="C236" s="933"/>
      <c r="D236" s="933"/>
      <c r="E236" s="933"/>
      <c r="F236" s="933"/>
      <c r="G236" s="933"/>
      <c r="H236" s="933"/>
      <c r="I236" s="933"/>
      <c r="J236" s="933"/>
      <c r="K236" s="933"/>
      <c r="L236" s="933"/>
      <c r="M236" s="933"/>
      <c r="N236" s="933"/>
      <c r="O236" s="933"/>
      <c r="P236" s="933"/>
      <c r="Q236" s="933"/>
      <c r="R236" s="933"/>
      <c r="S236" s="933"/>
      <c r="T236" s="933"/>
      <c r="U236" s="933"/>
      <c r="V236" s="933"/>
      <c r="W236" s="933"/>
      <c r="X236" s="933"/>
      <c r="Y236" s="933"/>
      <c r="Z236" s="933"/>
      <c r="AA236" s="933"/>
      <c r="AB236" s="933"/>
      <c r="AC236" s="933"/>
      <c r="AD236" s="933"/>
      <c r="AE236" s="933"/>
    </row>
    <row r="237" spans="1:31" ht="12.75">
      <c r="A237" s="933"/>
      <c r="B237" s="933"/>
      <c r="C237" s="933"/>
      <c r="D237" s="933"/>
      <c r="E237" s="933"/>
      <c r="F237" s="933"/>
      <c r="G237" s="933"/>
      <c r="H237" s="933"/>
      <c r="I237" s="933"/>
      <c r="J237" s="933"/>
      <c r="K237" s="933"/>
      <c r="L237" s="933"/>
      <c r="M237" s="933"/>
      <c r="N237" s="933"/>
      <c r="O237" s="933"/>
      <c r="P237" s="933"/>
      <c r="Q237" s="933"/>
      <c r="R237" s="933"/>
      <c r="S237" s="933"/>
      <c r="T237" s="933"/>
      <c r="U237" s="933"/>
      <c r="V237" s="933"/>
      <c r="W237" s="933"/>
      <c r="X237" s="933"/>
      <c r="Y237" s="933"/>
      <c r="Z237" s="933"/>
      <c r="AA237" s="933"/>
      <c r="AB237" s="933"/>
      <c r="AC237" s="933"/>
      <c r="AD237" s="933"/>
      <c r="AE237" s="933"/>
    </row>
    <row r="238" spans="1:31" ht="12.75">
      <c r="A238" s="933"/>
      <c r="B238" s="933"/>
      <c r="C238" s="933"/>
      <c r="D238" s="933"/>
      <c r="E238" s="933"/>
      <c r="F238" s="933"/>
      <c r="G238" s="933"/>
      <c r="H238" s="933"/>
      <c r="I238" s="933"/>
      <c r="J238" s="933"/>
      <c r="K238" s="933"/>
      <c r="L238" s="933"/>
      <c r="M238" s="933"/>
      <c r="N238" s="933"/>
      <c r="O238" s="933"/>
      <c r="P238" s="933"/>
      <c r="Q238" s="933"/>
      <c r="R238" s="933"/>
      <c r="S238" s="933"/>
      <c r="T238" s="933"/>
      <c r="U238" s="933"/>
      <c r="V238" s="933"/>
      <c r="W238" s="933"/>
      <c r="X238" s="933"/>
      <c r="Y238" s="933"/>
      <c r="Z238" s="933"/>
      <c r="AA238" s="933"/>
      <c r="AB238" s="933"/>
      <c r="AC238" s="933"/>
      <c r="AD238" s="933"/>
      <c r="AE238" s="933"/>
    </row>
    <row r="239" spans="1:31" ht="12.75">
      <c r="A239" s="933"/>
      <c r="B239" s="933"/>
      <c r="C239" s="933"/>
      <c r="D239" s="933"/>
      <c r="E239" s="933"/>
      <c r="F239" s="933"/>
      <c r="G239" s="933"/>
      <c r="H239" s="933"/>
      <c r="I239" s="933"/>
      <c r="J239" s="933"/>
      <c r="K239" s="933"/>
      <c r="L239" s="933"/>
      <c r="M239" s="933"/>
      <c r="N239" s="933"/>
      <c r="O239" s="933"/>
      <c r="P239" s="933"/>
      <c r="Q239" s="933"/>
      <c r="R239" s="933"/>
      <c r="S239" s="933"/>
      <c r="T239" s="933"/>
      <c r="U239" s="933"/>
      <c r="V239" s="933"/>
      <c r="W239" s="933"/>
      <c r="X239" s="933"/>
      <c r="Y239" s="933"/>
      <c r="Z239" s="933"/>
      <c r="AA239" s="933"/>
      <c r="AB239" s="933"/>
      <c r="AC239" s="933"/>
      <c r="AD239" s="933"/>
      <c r="AE239" s="933"/>
    </row>
    <row r="240" spans="1:31" ht="12.75">
      <c r="A240" s="933"/>
      <c r="B240" s="933"/>
      <c r="C240" s="933"/>
      <c r="D240" s="933"/>
      <c r="E240" s="933"/>
      <c r="F240" s="933"/>
      <c r="G240" s="933"/>
      <c r="H240" s="933"/>
      <c r="I240" s="933"/>
      <c r="J240" s="933"/>
      <c r="K240" s="933"/>
      <c r="L240" s="933"/>
      <c r="M240" s="933"/>
      <c r="N240" s="933"/>
      <c r="O240" s="933"/>
      <c r="P240" s="933"/>
      <c r="Q240" s="933"/>
      <c r="R240" s="933"/>
      <c r="S240" s="933"/>
      <c r="T240" s="933"/>
      <c r="U240" s="933"/>
      <c r="V240" s="933"/>
      <c r="W240" s="933"/>
      <c r="X240" s="933"/>
      <c r="Y240" s="933"/>
      <c r="Z240" s="933"/>
      <c r="AA240" s="933"/>
      <c r="AB240" s="933"/>
      <c r="AC240" s="933"/>
      <c r="AD240" s="933"/>
      <c r="AE240" s="933"/>
    </row>
    <row r="241" spans="1:31" ht="12.75">
      <c r="A241" s="933"/>
      <c r="B241" s="933"/>
      <c r="C241" s="933"/>
      <c r="D241" s="933"/>
      <c r="E241" s="933"/>
      <c r="F241" s="933"/>
      <c r="G241" s="933"/>
      <c r="H241" s="933"/>
      <c r="I241" s="933"/>
      <c r="J241" s="933"/>
      <c r="K241" s="933"/>
      <c r="L241" s="933"/>
      <c r="M241" s="933"/>
      <c r="N241" s="933"/>
      <c r="O241" s="933"/>
      <c r="P241" s="933"/>
      <c r="Q241" s="933"/>
      <c r="R241" s="933"/>
      <c r="S241" s="933"/>
      <c r="T241" s="933"/>
      <c r="U241" s="933"/>
      <c r="V241" s="933"/>
      <c r="W241" s="933"/>
      <c r="X241" s="933"/>
      <c r="Y241" s="933"/>
      <c r="Z241" s="933"/>
      <c r="AA241" s="933"/>
      <c r="AB241" s="933"/>
      <c r="AC241" s="933"/>
      <c r="AD241" s="933"/>
      <c r="AE241" s="933"/>
    </row>
    <row r="242" spans="1:31" ht="12.75">
      <c r="A242" s="933"/>
      <c r="B242" s="933"/>
      <c r="C242" s="933"/>
      <c r="D242" s="933"/>
      <c r="E242" s="933"/>
      <c r="F242" s="933"/>
      <c r="G242" s="933"/>
      <c r="H242" s="933"/>
      <c r="I242" s="933"/>
      <c r="J242" s="933"/>
      <c r="K242" s="933"/>
      <c r="L242" s="933"/>
      <c r="M242" s="933"/>
      <c r="N242" s="933"/>
      <c r="O242" s="933"/>
      <c r="P242" s="933"/>
      <c r="Q242" s="933"/>
      <c r="R242" s="933"/>
      <c r="S242" s="933"/>
      <c r="T242" s="933"/>
      <c r="U242" s="933"/>
      <c r="V242" s="933"/>
      <c r="W242" s="933"/>
      <c r="X242" s="933"/>
      <c r="Y242" s="933"/>
      <c r="Z242" s="933"/>
      <c r="AA242" s="933"/>
      <c r="AB242" s="933"/>
      <c r="AC242" s="933"/>
      <c r="AD242" s="933"/>
      <c r="AE242" s="933"/>
    </row>
    <row r="243" spans="1:31" ht="12.75">
      <c r="A243" s="933"/>
      <c r="B243" s="933"/>
      <c r="C243" s="933"/>
      <c r="D243" s="933"/>
      <c r="E243" s="933"/>
      <c r="F243" s="933"/>
      <c r="G243" s="933"/>
      <c r="H243" s="933"/>
      <c r="I243" s="933"/>
      <c r="J243" s="933"/>
      <c r="K243" s="933"/>
      <c r="L243" s="933"/>
      <c r="M243" s="933"/>
      <c r="N243" s="933"/>
      <c r="O243" s="933"/>
      <c r="P243" s="933"/>
      <c r="Q243" s="933"/>
      <c r="R243" s="933"/>
      <c r="S243" s="933"/>
      <c r="T243" s="933"/>
      <c r="U243" s="933"/>
      <c r="V243" s="933"/>
      <c r="W243" s="933"/>
      <c r="X243" s="933"/>
      <c r="Y243" s="933"/>
      <c r="Z243" s="933"/>
      <c r="AA243" s="933"/>
      <c r="AB243" s="933"/>
      <c r="AC243" s="933"/>
      <c r="AD243" s="933"/>
      <c r="AE243" s="933"/>
    </row>
    <row r="244" spans="1:31" ht="12.75">
      <c r="A244" s="933"/>
      <c r="B244" s="933"/>
      <c r="C244" s="933"/>
      <c r="D244" s="933"/>
      <c r="E244" s="933"/>
      <c r="F244" s="933"/>
      <c r="G244" s="933"/>
      <c r="H244" s="933"/>
      <c r="I244" s="933"/>
      <c r="J244" s="933"/>
      <c r="K244" s="933"/>
      <c r="L244" s="933"/>
      <c r="M244" s="933"/>
      <c r="N244" s="933"/>
      <c r="O244" s="933"/>
      <c r="P244" s="933"/>
      <c r="Q244" s="933"/>
      <c r="R244" s="933"/>
      <c r="S244" s="933"/>
      <c r="T244" s="933"/>
      <c r="U244" s="933"/>
      <c r="V244" s="933"/>
      <c r="W244" s="933"/>
      <c r="X244" s="933"/>
      <c r="Y244" s="933"/>
      <c r="Z244" s="933"/>
      <c r="AA244" s="933"/>
      <c r="AB244" s="933"/>
      <c r="AC244" s="933"/>
      <c r="AD244" s="933"/>
      <c r="AE244" s="933"/>
    </row>
    <row r="245" spans="1:31" ht="12.75">
      <c r="A245" s="933"/>
      <c r="B245" s="933"/>
      <c r="C245" s="933"/>
      <c r="D245" s="933"/>
      <c r="E245" s="933"/>
      <c r="F245" s="933"/>
      <c r="G245" s="933"/>
      <c r="H245" s="933"/>
      <c r="I245" s="933"/>
      <c r="J245" s="933"/>
      <c r="K245" s="933"/>
      <c r="L245" s="933"/>
      <c r="M245" s="933"/>
      <c r="N245" s="933"/>
      <c r="O245" s="933"/>
      <c r="P245" s="933"/>
      <c r="Q245" s="933"/>
      <c r="R245" s="933"/>
      <c r="S245" s="933"/>
      <c r="T245" s="933"/>
      <c r="U245" s="933"/>
      <c r="V245" s="933"/>
      <c r="W245" s="933"/>
      <c r="X245" s="933"/>
      <c r="Y245" s="933"/>
      <c r="Z245" s="933"/>
      <c r="AA245" s="933"/>
      <c r="AB245" s="933"/>
      <c r="AC245" s="933"/>
      <c r="AD245" s="933"/>
      <c r="AE245" s="933"/>
    </row>
    <row r="246" spans="1:31" ht="12.75">
      <c r="A246" s="933"/>
      <c r="B246" s="933"/>
      <c r="C246" s="933"/>
      <c r="D246" s="933"/>
      <c r="E246" s="933"/>
      <c r="F246" s="933"/>
      <c r="G246" s="933"/>
      <c r="H246" s="933"/>
      <c r="I246" s="933"/>
      <c r="J246" s="933"/>
      <c r="K246" s="933"/>
      <c r="L246" s="933"/>
      <c r="M246" s="933"/>
      <c r="N246" s="933"/>
      <c r="O246" s="933"/>
      <c r="P246" s="933"/>
      <c r="Q246" s="933"/>
      <c r="R246" s="933"/>
      <c r="S246" s="933"/>
      <c r="T246" s="933"/>
      <c r="U246" s="933"/>
      <c r="V246" s="933"/>
      <c r="W246" s="933"/>
      <c r="X246" s="933"/>
      <c r="Y246" s="933"/>
      <c r="Z246" s="933"/>
      <c r="AA246" s="933"/>
      <c r="AB246" s="933"/>
      <c r="AC246" s="933"/>
      <c r="AD246" s="933"/>
      <c r="AE246" s="933"/>
    </row>
    <row r="247" spans="1:31" ht="12.75">
      <c r="A247" s="933"/>
      <c r="B247" s="933"/>
      <c r="C247" s="933"/>
      <c r="D247" s="933"/>
      <c r="E247" s="933"/>
      <c r="F247" s="933"/>
      <c r="G247" s="933"/>
      <c r="H247" s="933"/>
      <c r="I247" s="933"/>
      <c r="J247" s="933"/>
      <c r="K247" s="933"/>
      <c r="L247" s="933"/>
      <c r="M247" s="933"/>
      <c r="N247" s="933"/>
      <c r="O247" s="933"/>
      <c r="P247" s="933"/>
      <c r="Q247" s="933"/>
      <c r="R247" s="933"/>
      <c r="S247" s="933"/>
      <c r="T247" s="933"/>
      <c r="U247" s="933"/>
      <c r="V247" s="933"/>
      <c r="W247" s="933"/>
      <c r="X247" s="933"/>
      <c r="Y247" s="933"/>
      <c r="Z247" s="933"/>
      <c r="AA247" s="933"/>
      <c r="AB247" s="933"/>
      <c r="AC247" s="933"/>
      <c r="AD247" s="933"/>
      <c r="AE247" s="933"/>
    </row>
    <row r="248" spans="1:31" ht="12.75">
      <c r="A248" s="933"/>
      <c r="B248" s="933"/>
      <c r="C248" s="933"/>
      <c r="D248" s="933"/>
      <c r="E248" s="933"/>
      <c r="F248" s="933"/>
      <c r="G248" s="933"/>
      <c r="H248" s="933"/>
      <c r="I248" s="933"/>
      <c r="J248" s="933"/>
      <c r="K248" s="933"/>
      <c r="L248" s="933"/>
      <c r="M248" s="933"/>
      <c r="N248" s="933"/>
      <c r="O248" s="933"/>
      <c r="P248" s="933"/>
      <c r="Q248" s="933"/>
      <c r="R248" s="933"/>
      <c r="S248" s="933"/>
      <c r="T248" s="933"/>
      <c r="U248" s="933"/>
      <c r="V248" s="933"/>
      <c r="W248" s="933"/>
      <c r="X248" s="933"/>
      <c r="Y248" s="933"/>
      <c r="Z248" s="933"/>
      <c r="AA248" s="933"/>
      <c r="AB248" s="933"/>
      <c r="AC248" s="933"/>
      <c r="AD248" s="933"/>
      <c r="AE248" s="933"/>
    </row>
    <row r="249" spans="1:31" ht="12.75">
      <c r="A249" s="933"/>
      <c r="B249" s="933"/>
      <c r="C249" s="933"/>
      <c r="D249" s="933"/>
      <c r="E249" s="933"/>
      <c r="F249" s="933"/>
      <c r="G249" s="933"/>
      <c r="H249" s="933"/>
      <c r="I249" s="933"/>
      <c r="J249" s="933"/>
      <c r="K249" s="933"/>
      <c r="L249" s="933"/>
      <c r="M249" s="933"/>
      <c r="N249" s="933"/>
      <c r="O249" s="933"/>
      <c r="P249" s="933"/>
      <c r="Q249" s="933"/>
      <c r="R249" s="933"/>
      <c r="S249" s="933"/>
      <c r="T249" s="933"/>
      <c r="U249" s="933"/>
      <c r="V249" s="933"/>
      <c r="W249" s="933"/>
      <c r="X249" s="933"/>
      <c r="Y249" s="933"/>
      <c r="Z249" s="933"/>
      <c r="AA249" s="933"/>
      <c r="AB249" s="933"/>
      <c r="AC249" s="933"/>
      <c r="AD249" s="933"/>
      <c r="AE249" s="933"/>
    </row>
    <row r="250" spans="1:31" ht="12.75">
      <c r="A250" s="933"/>
      <c r="B250" s="933"/>
      <c r="C250" s="933"/>
      <c r="D250" s="933"/>
      <c r="E250" s="933"/>
      <c r="F250" s="933"/>
      <c r="G250" s="933"/>
      <c r="H250" s="933"/>
      <c r="I250" s="933"/>
      <c r="J250" s="933"/>
      <c r="K250" s="933"/>
      <c r="L250" s="933"/>
      <c r="M250" s="933"/>
      <c r="N250" s="933"/>
      <c r="O250" s="933"/>
      <c r="P250" s="933"/>
      <c r="Q250" s="933"/>
      <c r="R250" s="933"/>
      <c r="S250" s="933"/>
      <c r="T250" s="933"/>
      <c r="U250" s="933"/>
      <c r="V250" s="933"/>
      <c r="W250" s="933"/>
      <c r="X250" s="933"/>
      <c r="Y250" s="933"/>
      <c r="Z250" s="933"/>
      <c r="AA250" s="933"/>
      <c r="AB250" s="933"/>
      <c r="AC250" s="933"/>
      <c r="AD250" s="933"/>
      <c r="AE250" s="933"/>
    </row>
    <row r="251" spans="1:31" ht="12.75">
      <c r="A251" s="933"/>
      <c r="B251" s="933"/>
      <c r="C251" s="933"/>
      <c r="D251" s="933"/>
      <c r="E251" s="933"/>
      <c r="F251" s="933"/>
      <c r="G251" s="933"/>
      <c r="H251" s="933"/>
      <c r="I251" s="933"/>
      <c r="J251" s="933"/>
      <c r="K251" s="933"/>
      <c r="L251" s="933"/>
      <c r="M251" s="933"/>
      <c r="N251" s="933"/>
      <c r="O251" s="933"/>
      <c r="P251" s="933"/>
      <c r="Q251" s="933"/>
      <c r="R251" s="933"/>
      <c r="S251" s="933"/>
      <c r="T251" s="933"/>
      <c r="U251" s="933"/>
      <c r="V251" s="933"/>
      <c r="W251" s="933"/>
      <c r="X251" s="933"/>
      <c r="Y251" s="933"/>
      <c r="Z251" s="933"/>
      <c r="AA251" s="933"/>
      <c r="AB251" s="933"/>
      <c r="AC251" s="933"/>
      <c r="AD251" s="933"/>
      <c r="AE251" s="933"/>
    </row>
    <row r="252" spans="1:31" ht="12.75">
      <c r="A252" s="933"/>
      <c r="B252" s="933"/>
      <c r="C252" s="933"/>
      <c r="D252" s="933"/>
      <c r="E252" s="933"/>
      <c r="F252" s="933"/>
      <c r="G252" s="933"/>
      <c r="H252" s="933"/>
      <c r="I252" s="933"/>
      <c r="J252" s="933"/>
      <c r="K252" s="933"/>
      <c r="L252" s="933"/>
      <c r="M252" s="933"/>
      <c r="N252" s="933"/>
      <c r="O252" s="933"/>
      <c r="P252" s="933"/>
      <c r="Q252" s="933"/>
      <c r="R252" s="933"/>
      <c r="S252" s="933"/>
      <c r="T252" s="933"/>
      <c r="U252" s="933"/>
      <c r="V252" s="933"/>
      <c r="W252" s="933"/>
      <c r="X252" s="933"/>
      <c r="Y252" s="933"/>
      <c r="Z252" s="933"/>
      <c r="AA252" s="933"/>
      <c r="AB252" s="933"/>
      <c r="AC252" s="933"/>
      <c r="AD252" s="933"/>
      <c r="AE252" s="933"/>
    </row>
    <row r="253" spans="1:31" ht="12.75">
      <c r="A253" s="933"/>
      <c r="B253" s="933"/>
      <c r="C253" s="933"/>
      <c r="D253" s="933"/>
      <c r="E253" s="933"/>
      <c r="F253" s="933"/>
      <c r="G253" s="933"/>
      <c r="H253" s="933"/>
      <c r="I253" s="933"/>
      <c r="J253" s="933"/>
      <c r="K253" s="933"/>
      <c r="L253" s="933"/>
      <c r="M253" s="933"/>
      <c r="N253" s="933"/>
      <c r="O253" s="933"/>
      <c r="P253" s="933"/>
      <c r="Q253" s="933"/>
      <c r="R253" s="933"/>
      <c r="S253" s="933"/>
      <c r="T253" s="933"/>
      <c r="U253" s="933"/>
      <c r="V253" s="933"/>
      <c r="W253" s="933"/>
      <c r="X253" s="933"/>
      <c r="Y253" s="933"/>
      <c r="Z253" s="933"/>
      <c r="AA253" s="933"/>
      <c r="AB253" s="933"/>
      <c r="AC253" s="933"/>
      <c r="AD253" s="933"/>
      <c r="AE253" s="933"/>
    </row>
    <row r="254" spans="1:31" ht="12.75">
      <c r="A254" s="933"/>
      <c r="B254" s="933"/>
      <c r="C254" s="933"/>
      <c r="D254" s="933"/>
      <c r="E254" s="933"/>
      <c r="F254" s="933"/>
      <c r="G254" s="933"/>
      <c r="H254" s="933"/>
      <c r="I254" s="933"/>
      <c r="J254" s="933"/>
      <c r="K254" s="933"/>
      <c r="L254" s="933"/>
      <c r="M254" s="933"/>
      <c r="N254" s="933"/>
      <c r="O254" s="933"/>
      <c r="P254" s="933"/>
      <c r="Q254" s="933"/>
      <c r="R254" s="933"/>
      <c r="S254" s="933"/>
      <c r="T254" s="933"/>
      <c r="U254" s="933"/>
      <c r="V254" s="933"/>
      <c r="W254" s="933"/>
      <c r="X254" s="933"/>
      <c r="Y254" s="933"/>
      <c r="Z254" s="933"/>
      <c r="AA254" s="933"/>
      <c r="AB254" s="933"/>
      <c r="AC254" s="933"/>
      <c r="AD254" s="933"/>
      <c r="AE254" s="933"/>
    </row>
    <row r="255" spans="1:31" ht="12.75">
      <c r="A255" s="933"/>
      <c r="B255" s="933"/>
      <c r="C255" s="933"/>
      <c r="D255" s="933"/>
      <c r="E255" s="933"/>
      <c r="F255" s="933"/>
      <c r="G255" s="933"/>
      <c r="H255" s="933"/>
      <c r="I255" s="933"/>
      <c r="J255" s="933"/>
      <c r="K255" s="933"/>
      <c r="L255" s="933"/>
      <c r="M255" s="933"/>
      <c r="N255" s="933"/>
      <c r="O255" s="933"/>
      <c r="P255" s="933"/>
      <c r="Q255" s="933"/>
      <c r="R255" s="933"/>
      <c r="S255" s="933"/>
      <c r="T255" s="933"/>
      <c r="U255" s="933"/>
      <c r="V255" s="933"/>
      <c r="W255" s="933"/>
      <c r="X255" s="933"/>
      <c r="Y255" s="933"/>
      <c r="Z255" s="933"/>
      <c r="AA255" s="933"/>
      <c r="AB255" s="933"/>
      <c r="AC255" s="933"/>
      <c r="AD255" s="933"/>
      <c r="AE255" s="933"/>
    </row>
    <row r="256" spans="1:31" ht="12.75">
      <c r="A256" s="933"/>
      <c r="B256" s="933"/>
      <c r="C256" s="933"/>
      <c r="D256" s="933"/>
      <c r="E256" s="933"/>
      <c r="F256" s="933"/>
      <c r="G256" s="933"/>
      <c r="H256" s="933"/>
      <c r="I256" s="933"/>
      <c r="J256" s="933"/>
      <c r="K256" s="933"/>
      <c r="L256" s="933"/>
      <c r="M256" s="933"/>
      <c r="N256" s="933"/>
      <c r="O256" s="933"/>
      <c r="P256" s="933"/>
      <c r="Q256" s="933"/>
      <c r="R256" s="933"/>
      <c r="S256" s="933"/>
      <c r="T256" s="933"/>
      <c r="U256" s="933"/>
      <c r="V256" s="933"/>
      <c r="W256" s="933"/>
      <c r="X256" s="933"/>
      <c r="Y256" s="933"/>
      <c r="Z256" s="933"/>
      <c r="AA256" s="933"/>
      <c r="AB256" s="933"/>
      <c r="AC256" s="933"/>
      <c r="AD256" s="933"/>
      <c r="AE256" s="933"/>
    </row>
    <row r="257" spans="1:31" ht="12.75">
      <c r="A257" s="933"/>
      <c r="B257" s="933"/>
      <c r="C257" s="933"/>
      <c r="D257" s="933"/>
      <c r="E257" s="933"/>
      <c r="F257" s="933"/>
      <c r="G257" s="933"/>
      <c r="H257" s="933"/>
      <c r="I257" s="933"/>
      <c r="J257" s="933"/>
      <c r="K257" s="933"/>
      <c r="L257" s="933"/>
      <c r="M257" s="933"/>
      <c r="N257" s="933"/>
      <c r="O257" s="933"/>
      <c r="P257" s="933"/>
      <c r="Q257" s="933"/>
      <c r="R257" s="933"/>
      <c r="S257" s="933"/>
      <c r="T257" s="933"/>
      <c r="U257" s="933"/>
      <c r="V257" s="933"/>
      <c r="W257" s="933"/>
      <c r="X257" s="933"/>
      <c r="Y257" s="933"/>
      <c r="Z257" s="933"/>
      <c r="AA257" s="933"/>
      <c r="AB257" s="933"/>
      <c r="AC257" s="933"/>
      <c r="AD257" s="933"/>
      <c r="AE257" s="933"/>
    </row>
    <row r="258" spans="1:31" ht="12.75">
      <c r="A258" s="933"/>
      <c r="B258" s="933"/>
      <c r="C258" s="933"/>
      <c r="D258" s="933"/>
      <c r="E258" s="933"/>
      <c r="F258" s="933"/>
      <c r="G258" s="933"/>
      <c r="H258" s="933"/>
      <c r="I258" s="933"/>
      <c r="J258" s="933"/>
      <c r="K258" s="933"/>
      <c r="L258" s="933"/>
      <c r="M258" s="933"/>
      <c r="N258" s="933"/>
      <c r="O258" s="933"/>
      <c r="P258" s="933"/>
      <c r="Q258" s="933"/>
      <c r="R258" s="933"/>
      <c r="S258" s="933"/>
      <c r="T258" s="933"/>
      <c r="U258" s="933"/>
      <c r="V258" s="933"/>
      <c r="W258" s="933"/>
      <c r="X258" s="933"/>
      <c r="Y258" s="933"/>
      <c r="Z258" s="933"/>
      <c r="AA258" s="933"/>
      <c r="AB258" s="933"/>
      <c r="AC258" s="933"/>
      <c r="AD258" s="933"/>
      <c r="AE258" s="933"/>
    </row>
    <row r="259" spans="1:31" ht="12.75">
      <c r="A259" s="933"/>
      <c r="B259" s="933"/>
      <c r="C259" s="933"/>
      <c r="D259" s="933"/>
      <c r="E259" s="933"/>
      <c r="F259" s="933"/>
      <c r="G259" s="933"/>
      <c r="H259" s="933"/>
      <c r="I259" s="933"/>
      <c r="J259" s="933"/>
      <c r="K259" s="933"/>
      <c r="L259" s="933"/>
      <c r="M259" s="933"/>
      <c r="N259" s="933"/>
      <c r="O259" s="933"/>
      <c r="P259" s="933"/>
      <c r="Q259" s="933"/>
      <c r="R259" s="933"/>
      <c r="S259" s="933"/>
      <c r="T259" s="933"/>
      <c r="U259" s="933"/>
      <c r="V259" s="933"/>
      <c r="W259" s="933"/>
      <c r="X259" s="933"/>
      <c r="Y259" s="933"/>
      <c r="Z259" s="933"/>
      <c r="AA259" s="933"/>
      <c r="AB259" s="933"/>
      <c r="AC259" s="933"/>
      <c r="AD259" s="933"/>
      <c r="AE259" s="933"/>
    </row>
    <row r="260" spans="1:31" ht="12.75">
      <c r="A260" s="933"/>
      <c r="B260" s="933"/>
      <c r="C260" s="933"/>
      <c r="D260" s="933"/>
      <c r="E260" s="933"/>
      <c r="F260" s="933"/>
      <c r="G260" s="933"/>
      <c r="H260" s="933"/>
      <c r="I260" s="933"/>
      <c r="J260" s="933"/>
      <c r="K260" s="933"/>
      <c r="L260" s="933"/>
      <c r="M260" s="933"/>
      <c r="N260" s="933"/>
      <c r="O260" s="933"/>
      <c r="P260" s="933"/>
      <c r="Q260" s="933"/>
      <c r="R260" s="933"/>
      <c r="S260" s="933"/>
      <c r="T260" s="933"/>
      <c r="U260" s="933"/>
      <c r="V260" s="933"/>
      <c r="W260" s="933"/>
      <c r="X260" s="933"/>
      <c r="Y260" s="933"/>
      <c r="Z260" s="933"/>
      <c r="AA260" s="933"/>
      <c r="AB260" s="933"/>
      <c r="AC260" s="933"/>
      <c r="AD260" s="933"/>
      <c r="AE260" s="933"/>
    </row>
    <row r="261" spans="1:31" ht="12.75">
      <c r="A261" s="933"/>
      <c r="B261" s="933"/>
      <c r="C261" s="933"/>
      <c r="D261" s="933"/>
      <c r="E261" s="933"/>
      <c r="F261" s="933"/>
      <c r="G261" s="933"/>
      <c r="H261" s="933"/>
      <c r="I261" s="933"/>
      <c r="J261" s="933"/>
      <c r="K261" s="933"/>
      <c r="L261" s="933"/>
      <c r="M261" s="933"/>
      <c r="N261" s="933"/>
      <c r="O261" s="933"/>
      <c r="P261" s="933"/>
      <c r="Q261" s="933"/>
      <c r="R261" s="933"/>
      <c r="S261" s="933"/>
      <c r="T261" s="933"/>
      <c r="U261" s="933"/>
      <c r="V261" s="933"/>
      <c r="W261" s="933"/>
      <c r="X261" s="933"/>
      <c r="Y261" s="933"/>
      <c r="Z261" s="933"/>
      <c r="AA261" s="933"/>
      <c r="AB261" s="933"/>
      <c r="AC261" s="933"/>
      <c r="AD261" s="933"/>
      <c r="AE261" s="933"/>
    </row>
    <row r="262" spans="1:31" ht="12.75">
      <c r="A262" s="933"/>
      <c r="B262" s="933"/>
      <c r="C262" s="933"/>
      <c r="D262" s="933"/>
      <c r="E262" s="933"/>
      <c r="F262" s="933"/>
      <c r="G262" s="933"/>
      <c r="H262" s="933"/>
      <c r="I262" s="933"/>
      <c r="J262" s="933"/>
      <c r="K262" s="933"/>
      <c r="L262" s="933"/>
      <c r="M262" s="933"/>
      <c r="N262" s="933"/>
      <c r="O262" s="933"/>
      <c r="P262" s="933"/>
      <c r="Q262" s="933"/>
      <c r="R262" s="933"/>
      <c r="S262" s="933"/>
      <c r="T262" s="933"/>
      <c r="U262" s="933"/>
      <c r="V262" s="933"/>
      <c r="W262" s="933"/>
      <c r="X262" s="933"/>
      <c r="Y262" s="933"/>
      <c r="Z262" s="933"/>
      <c r="AA262" s="933"/>
      <c r="AB262" s="933"/>
      <c r="AC262" s="933"/>
      <c r="AD262" s="933"/>
      <c r="AE262" s="933"/>
    </row>
    <row r="263" spans="1:31" ht="12.75">
      <c r="A263" s="933"/>
      <c r="B263" s="933"/>
      <c r="C263" s="933"/>
      <c r="D263" s="933"/>
      <c r="E263" s="933"/>
      <c r="F263" s="933"/>
      <c r="G263" s="933"/>
      <c r="H263" s="933"/>
      <c r="I263" s="933"/>
      <c r="J263" s="933"/>
      <c r="K263" s="933"/>
      <c r="L263" s="933"/>
      <c r="M263" s="933"/>
      <c r="N263" s="933"/>
      <c r="O263" s="933"/>
      <c r="P263" s="933"/>
      <c r="Q263" s="933"/>
      <c r="R263" s="933"/>
      <c r="S263" s="933"/>
      <c r="T263" s="933"/>
      <c r="U263" s="933"/>
      <c r="V263" s="933"/>
      <c r="W263" s="933"/>
      <c r="X263" s="933"/>
      <c r="Y263" s="933"/>
      <c r="Z263" s="933"/>
      <c r="AA263" s="933"/>
      <c r="AB263" s="933"/>
      <c r="AC263" s="933"/>
      <c r="AD263" s="933"/>
      <c r="AE263" s="933"/>
    </row>
    <row r="264" spans="1:31" ht="12.75">
      <c r="A264" s="933"/>
      <c r="B264" s="933"/>
      <c r="C264" s="933"/>
      <c r="D264" s="933"/>
      <c r="E264" s="933"/>
      <c r="F264" s="933"/>
      <c r="G264" s="933"/>
      <c r="H264" s="933"/>
      <c r="I264" s="933"/>
      <c r="J264" s="933"/>
      <c r="K264" s="933"/>
      <c r="L264" s="933"/>
      <c r="M264" s="933"/>
      <c r="N264" s="933"/>
      <c r="O264" s="933"/>
      <c r="P264" s="933"/>
      <c r="Q264" s="933"/>
      <c r="R264" s="933"/>
      <c r="S264" s="933"/>
      <c r="T264" s="933"/>
      <c r="U264" s="933"/>
      <c r="V264" s="933"/>
      <c r="W264" s="933"/>
      <c r="X264" s="933"/>
      <c r="Y264" s="933"/>
      <c r="Z264" s="933"/>
      <c r="AA264" s="933"/>
      <c r="AB264" s="933"/>
      <c r="AC264" s="933"/>
      <c r="AD264" s="933"/>
      <c r="AE264" s="933"/>
    </row>
    <row r="265" spans="1:31" ht="12.75">
      <c r="A265" s="933"/>
      <c r="B265" s="933"/>
      <c r="C265" s="933"/>
      <c r="D265" s="933"/>
      <c r="E265" s="933"/>
      <c r="F265" s="933"/>
      <c r="G265" s="933"/>
      <c r="H265" s="933"/>
      <c r="I265" s="933"/>
      <c r="J265" s="933"/>
      <c r="K265" s="933"/>
      <c r="L265" s="933"/>
      <c r="M265" s="933"/>
      <c r="N265" s="933"/>
      <c r="O265" s="933"/>
      <c r="P265" s="933"/>
      <c r="Q265" s="933"/>
      <c r="R265" s="933"/>
      <c r="S265" s="933"/>
      <c r="T265" s="933"/>
      <c r="U265" s="933"/>
      <c r="V265" s="933"/>
      <c r="W265" s="933"/>
      <c r="X265" s="933"/>
      <c r="Y265" s="933"/>
      <c r="Z265" s="933"/>
      <c r="AA265" s="933"/>
      <c r="AB265" s="933"/>
      <c r="AC265" s="933"/>
      <c r="AD265" s="933"/>
      <c r="AE265" s="933"/>
    </row>
    <row r="266" spans="1:31" ht="12.75">
      <c r="A266" s="933"/>
      <c r="B266" s="933"/>
      <c r="C266" s="933"/>
      <c r="D266" s="933"/>
      <c r="E266" s="933"/>
      <c r="F266" s="933"/>
      <c r="G266" s="933"/>
      <c r="H266" s="933"/>
      <c r="I266" s="933"/>
      <c r="J266" s="933"/>
      <c r="K266" s="933"/>
      <c r="L266" s="933"/>
      <c r="M266" s="933"/>
      <c r="N266" s="933"/>
      <c r="O266" s="933"/>
      <c r="P266" s="933"/>
      <c r="Q266" s="933"/>
      <c r="R266" s="933"/>
      <c r="S266" s="933"/>
      <c r="T266" s="933"/>
      <c r="U266" s="933"/>
      <c r="V266" s="933"/>
      <c r="W266" s="933"/>
      <c r="X266" s="933"/>
      <c r="Y266" s="933"/>
      <c r="Z266" s="933"/>
      <c r="AA266" s="933"/>
      <c r="AB266" s="933"/>
      <c r="AC266" s="933"/>
      <c r="AD266" s="933"/>
      <c r="AE266" s="933"/>
    </row>
    <row r="267" spans="1:31" ht="12.75">
      <c r="A267" s="933"/>
      <c r="B267" s="933"/>
      <c r="C267" s="933"/>
      <c r="D267" s="933"/>
      <c r="E267" s="933"/>
      <c r="F267" s="933"/>
      <c r="G267" s="933"/>
      <c r="H267" s="933"/>
      <c r="I267" s="933"/>
      <c r="J267" s="933"/>
      <c r="K267" s="933"/>
      <c r="L267" s="933"/>
      <c r="M267" s="933"/>
      <c r="N267" s="933"/>
      <c r="O267" s="933"/>
      <c r="P267" s="933"/>
      <c r="Q267" s="933"/>
      <c r="R267" s="933"/>
      <c r="S267" s="933"/>
      <c r="T267" s="933"/>
      <c r="U267" s="933"/>
      <c r="V267" s="933"/>
      <c r="W267" s="933"/>
      <c r="X267" s="933"/>
      <c r="Y267" s="933"/>
      <c r="Z267" s="933"/>
      <c r="AA267" s="933"/>
      <c r="AB267" s="933"/>
      <c r="AC267" s="933"/>
      <c r="AD267" s="933"/>
      <c r="AE267" s="933"/>
    </row>
    <row r="268" spans="1:31" ht="12.75">
      <c r="A268" s="933"/>
      <c r="B268" s="933"/>
      <c r="C268" s="933"/>
      <c r="D268" s="933"/>
      <c r="E268" s="933"/>
      <c r="F268" s="933"/>
      <c r="G268" s="933"/>
      <c r="H268" s="933"/>
      <c r="I268" s="933"/>
      <c r="J268" s="933"/>
      <c r="K268" s="933"/>
      <c r="L268" s="933"/>
      <c r="M268" s="933"/>
      <c r="N268" s="933"/>
      <c r="O268" s="933"/>
      <c r="P268" s="933"/>
      <c r="Q268" s="933"/>
      <c r="R268" s="933"/>
      <c r="S268" s="933"/>
      <c r="T268" s="933"/>
      <c r="U268" s="933"/>
      <c r="V268" s="933"/>
      <c r="W268" s="933"/>
      <c r="X268" s="933"/>
      <c r="Y268" s="933"/>
      <c r="Z268" s="933"/>
      <c r="AA268" s="933"/>
      <c r="AB268" s="933"/>
      <c r="AC268" s="933"/>
      <c r="AD268" s="933"/>
      <c r="AE268" s="933"/>
    </row>
    <row r="269" spans="1:31" ht="12.75">
      <c r="A269" s="933"/>
      <c r="B269" s="933"/>
      <c r="C269" s="933"/>
      <c r="D269" s="933"/>
      <c r="E269" s="933"/>
      <c r="F269" s="933"/>
      <c r="G269" s="933"/>
      <c r="H269" s="933"/>
      <c r="I269" s="933"/>
      <c r="J269" s="933"/>
      <c r="K269" s="933"/>
      <c r="L269" s="933"/>
      <c r="M269" s="933"/>
      <c r="N269" s="933"/>
      <c r="O269" s="933"/>
      <c r="P269" s="933"/>
      <c r="Q269" s="933"/>
      <c r="R269" s="933"/>
      <c r="S269" s="933"/>
      <c r="T269" s="933"/>
      <c r="U269" s="933"/>
      <c r="V269" s="933"/>
      <c r="W269" s="933"/>
      <c r="X269" s="933"/>
      <c r="Y269" s="933"/>
      <c r="Z269" s="933"/>
      <c r="AA269" s="933"/>
      <c r="AB269" s="933"/>
      <c r="AC269" s="933"/>
      <c r="AD269" s="933"/>
      <c r="AE269" s="933"/>
    </row>
    <row r="270" spans="1:31" ht="12.75">
      <c r="A270" s="933"/>
      <c r="B270" s="933"/>
      <c r="C270" s="933"/>
      <c r="D270" s="933"/>
      <c r="E270" s="933"/>
      <c r="F270" s="933"/>
      <c r="G270" s="933"/>
      <c r="H270" s="933"/>
      <c r="I270" s="933"/>
      <c r="J270" s="933"/>
      <c r="K270" s="933"/>
      <c r="L270" s="933"/>
      <c r="M270" s="933"/>
      <c r="N270" s="933"/>
      <c r="O270" s="933"/>
      <c r="P270" s="933"/>
      <c r="Q270" s="933"/>
      <c r="R270" s="933"/>
      <c r="S270" s="933"/>
      <c r="T270" s="933"/>
      <c r="U270" s="933"/>
      <c r="V270" s="933"/>
      <c r="W270" s="933"/>
      <c r="X270" s="933"/>
      <c r="Y270" s="933"/>
      <c r="Z270" s="933"/>
      <c r="AA270" s="933"/>
      <c r="AB270" s="933"/>
      <c r="AC270" s="933"/>
      <c r="AD270" s="933"/>
      <c r="AE270" s="933"/>
    </row>
    <row r="271" spans="1:31" ht="12.75">
      <c r="A271" s="933"/>
      <c r="B271" s="933"/>
      <c r="C271" s="933"/>
      <c r="D271" s="933"/>
      <c r="E271" s="933"/>
      <c r="F271" s="933"/>
      <c r="G271" s="933"/>
      <c r="H271" s="933"/>
      <c r="I271" s="933"/>
      <c r="J271" s="933"/>
      <c r="K271" s="933"/>
      <c r="L271" s="933"/>
      <c r="M271" s="933"/>
      <c r="N271" s="933"/>
      <c r="O271" s="933"/>
      <c r="P271" s="933"/>
      <c r="Q271" s="933"/>
      <c r="R271" s="933"/>
      <c r="S271" s="933"/>
      <c r="T271" s="933"/>
      <c r="U271" s="933"/>
      <c r="V271" s="933"/>
      <c r="W271" s="933"/>
      <c r="X271" s="933"/>
      <c r="Y271" s="933"/>
      <c r="Z271" s="933"/>
      <c r="AA271" s="933"/>
      <c r="AB271" s="933"/>
      <c r="AC271" s="933"/>
      <c r="AD271" s="933"/>
      <c r="AE271" s="933"/>
    </row>
    <row r="272" spans="1:31" ht="12.75">
      <c r="A272" s="933"/>
      <c r="B272" s="933"/>
      <c r="C272" s="933"/>
      <c r="D272" s="933"/>
      <c r="E272" s="933"/>
      <c r="F272" s="933"/>
      <c r="G272" s="933"/>
      <c r="H272" s="933"/>
      <c r="I272" s="933"/>
      <c r="J272" s="933"/>
      <c r="K272" s="933"/>
      <c r="L272" s="933"/>
      <c r="M272" s="933"/>
      <c r="N272" s="933"/>
      <c r="O272" s="933"/>
      <c r="P272" s="933"/>
      <c r="Q272" s="933"/>
      <c r="R272" s="933"/>
      <c r="S272" s="933"/>
      <c r="T272" s="933"/>
      <c r="U272" s="933"/>
      <c r="V272" s="933"/>
      <c r="W272" s="933"/>
      <c r="X272" s="933"/>
      <c r="Y272" s="933"/>
      <c r="Z272" s="933"/>
      <c r="AA272" s="933"/>
      <c r="AB272" s="933"/>
      <c r="AC272" s="933"/>
      <c r="AD272" s="933"/>
      <c r="AE272" s="933"/>
    </row>
    <row r="273" spans="1:31" ht="12.75">
      <c r="A273" s="933"/>
      <c r="B273" s="933"/>
      <c r="C273" s="933"/>
      <c r="D273" s="933"/>
      <c r="E273" s="933"/>
      <c r="F273" s="933"/>
      <c r="G273" s="933"/>
      <c r="H273" s="933"/>
      <c r="I273" s="933"/>
      <c r="J273" s="933"/>
      <c r="K273" s="933"/>
      <c r="L273" s="933"/>
      <c r="M273" s="933"/>
      <c r="N273" s="933"/>
      <c r="O273" s="933"/>
      <c r="P273" s="933"/>
      <c r="Q273" s="933"/>
      <c r="R273" s="933"/>
      <c r="S273" s="933"/>
      <c r="T273" s="933"/>
      <c r="U273" s="933"/>
      <c r="V273" s="933"/>
      <c r="W273" s="933"/>
      <c r="X273" s="933"/>
      <c r="Y273" s="933"/>
      <c r="Z273" s="933"/>
      <c r="AA273" s="933"/>
      <c r="AB273" s="933"/>
      <c r="AC273" s="933"/>
      <c r="AD273" s="933"/>
      <c r="AE273" s="933"/>
    </row>
    <row r="274" spans="1:31" ht="12.75">
      <c r="A274" s="933"/>
      <c r="B274" s="933"/>
      <c r="C274" s="933"/>
      <c r="D274" s="933"/>
      <c r="E274" s="933"/>
      <c r="F274" s="933"/>
      <c r="G274" s="933"/>
      <c r="H274" s="933"/>
      <c r="I274" s="933"/>
      <c r="J274" s="933"/>
      <c r="K274" s="933"/>
      <c r="L274" s="933"/>
      <c r="M274" s="933"/>
      <c r="N274" s="933"/>
      <c r="O274" s="933"/>
      <c r="P274" s="933"/>
      <c r="Q274" s="933"/>
      <c r="R274" s="933"/>
      <c r="S274" s="933"/>
      <c r="T274" s="933"/>
      <c r="U274" s="933"/>
      <c r="V274" s="933"/>
      <c r="W274" s="933"/>
      <c r="X274" s="933"/>
      <c r="Y274" s="933"/>
      <c r="Z274" s="933"/>
      <c r="AA274" s="933"/>
      <c r="AB274" s="933"/>
      <c r="AC274" s="933"/>
      <c r="AD274" s="933"/>
      <c r="AE274" s="933"/>
    </row>
    <row r="275" spans="1:31" ht="12.75">
      <c r="A275" s="933"/>
      <c r="B275" s="933"/>
      <c r="C275" s="933"/>
      <c r="D275" s="933"/>
      <c r="E275" s="933"/>
      <c r="F275" s="933"/>
      <c r="G275" s="933"/>
      <c r="H275" s="933"/>
      <c r="I275" s="933"/>
      <c r="J275" s="933"/>
      <c r="K275" s="933"/>
      <c r="L275" s="933"/>
      <c r="M275" s="933"/>
      <c r="N275" s="933"/>
      <c r="O275" s="933"/>
      <c r="P275" s="933"/>
      <c r="Q275" s="933"/>
      <c r="R275" s="933"/>
      <c r="S275" s="933"/>
      <c r="T275" s="933"/>
      <c r="U275" s="933"/>
      <c r="V275" s="933"/>
      <c r="W275" s="933"/>
      <c r="X275" s="933"/>
      <c r="Y275" s="933"/>
      <c r="Z275" s="933"/>
      <c r="AA275" s="933"/>
      <c r="AB275" s="933"/>
      <c r="AC275" s="933"/>
      <c r="AD275" s="933"/>
      <c r="AE275" s="933"/>
    </row>
    <row r="276" spans="1:31" ht="12.75">
      <c r="A276" s="933"/>
      <c r="B276" s="933"/>
      <c r="C276" s="933"/>
      <c r="D276" s="933"/>
      <c r="E276" s="933"/>
      <c r="F276" s="933"/>
      <c r="G276" s="933"/>
      <c r="H276" s="933"/>
      <c r="I276" s="933"/>
      <c r="J276" s="933"/>
      <c r="K276" s="933"/>
      <c r="L276" s="933"/>
      <c r="M276" s="933"/>
      <c r="N276" s="933"/>
      <c r="O276" s="933"/>
      <c r="P276" s="933"/>
      <c r="Q276" s="933"/>
      <c r="R276" s="933"/>
      <c r="S276" s="933"/>
      <c r="T276" s="933"/>
      <c r="U276" s="933"/>
      <c r="V276" s="933"/>
      <c r="W276" s="933"/>
      <c r="X276" s="933"/>
      <c r="Y276" s="933"/>
      <c r="Z276" s="933"/>
      <c r="AA276" s="933"/>
      <c r="AB276" s="933"/>
      <c r="AC276" s="933"/>
      <c r="AD276" s="933"/>
      <c r="AE276" s="933"/>
    </row>
    <row r="277" spans="1:31" ht="12.75">
      <c r="A277" s="933"/>
      <c r="B277" s="933"/>
      <c r="C277" s="933"/>
      <c r="D277" s="933"/>
      <c r="E277" s="933"/>
      <c r="F277" s="933"/>
      <c r="G277" s="933"/>
      <c r="H277" s="933"/>
      <c r="I277" s="933"/>
      <c r="J277" s="933"/>
      <c r="K277" s="933"/>
      <c r="L277" s="933"/>
      <c r="M277" s="933"/>
      <c r="N277" s="933"/>
      <c r="O277" s="933"/>
      <c r="P277" s="933"/>
      <c r="Q277" s="933"/>
      <c r="R277" s="933"/>
      <c r="S277" s="933"/>
      <c r="T277" s="933"/>
      <c r="U277" s="933"/>
      <c r="V277" s="933"/>
      <c r="W277" s="933"/>
      <c r="X277" s="933"/>
      <c r="Y277" s="933"/>
      <c r="Z277" s="933"/>
      <c r="AA277" s="933"/>
      <c r="AB277" s="933"/>
      <c r="AC277" s="933"/>
      <c r="AD277" s="933"/>
      <c r="AE277" s="933"/>
    </row>
    <row r="278" spans="1:31" ht="12.75">
      <c r="A278" s="933"/>
      <c r="B278" s="933"/>
      <c r="C278" s="933"/>
      <c r="D278" s="933"/>
      <c r="E278" s="933"/>
      <c r="F278" s="933"/>
      <c r="G278" s="933"/>
      <c r="H278" s="933"/>
      <c r="I278" s="933"/>
      <c r="J278" s="933"/>
      <c r="K278" s="933"/>
      <c r="L278" s="933"/>
      <c r="M278" s="933"/>
      <c r="N278" s="933"/>
      <c r="O278" s="933"/>
      <c r="P278" s="933"/>
      <c r="Q278" s="933"/>
      <c r="R278" s="933"/>
      <c r="S278" s="933"/>
      <c r="T278" s="933"/>
      <c r="U278" s="933"/>
      <c r="V278" s="933"/>
      <c r="W278" s="933"/>
      <c r="X278" s="933"/>
      <c r="Y278" s="933"/>
      <c r="Z278" s="933"/>
      <c r="AA278" s="933"/>
      <c r="AB278" s="933"/>
      <c r="AC278" s="933"/>
      <c r="AD278" s="933"/>
      <c r="AE278" s="933"/>
    </row>
    <row r="279" spans="1:31" ht="12.75">
      <c r="A279" s="933"/>
      <c r="B279" s="933"/>
      <c r="C279" s="933"/>
      <c r="D279" s="933"/>
      <c r="E279" s="933"/>
      <c r="F279" s="933"/>
      <c r="G279" s="933"/>
      <c r="H279" s="933"/>
      <c r="I279" s="933"/>
      <c r="J279" s="933"/>
      <c r="K279" s="933"/>
      <c r="L279" s="933"/>
      <c r="M279" s="933"/>
      <c r="N279" s="933"/>
      <c r="O279" s="933"/>
      <c r="P279" s="933"/>
      <c r="Q279" s="933"/>
      <c r="R279" s="933"/>
      <c r="S279" s="933"/>
      <c r="T279" s="933"/>
      <c r="U279" s="933"/>
      <c r="V279" s="933"/>
      <c r="W279" s="933"/>
      <c r="X279" s="933"/>
      <c r="Y279" s="933"/>
      <c r="Z279" s="933"/>
      <c r="AA279" s="933"/>
      <c r="AB279" s="933"/>
      <c r="AC279" s="933"/>
      <c r="AD279" s="933"/>
      <c r="AE279" s="933"/>
    </row>
    <row r="280" spans="1:31" ht="12.75">
      <c r="A280" s="933"/>
      <c r="B280" s="933"/>
      <c r="C280" s="933"/>
      <c r="D280" s="933"/>
      <c r="E280" s="933"/>
      <c r="F280" s="933"/>
      <c r="G280" s="933"/>
      <c r="H280" s="933"/>
      <c r="I280" s="933"/>
      <c r="J280" s="933"/>
      <c r="K280" s="933"/>
      <c r="L280" s="933"/>
      <c r="M280" s="933"/>
      <c r="N280" s="933"/>
      <c r="O280" s="933"/>
      <c r="P280" s="933"/>
      <c r="Q280" s="933"/>
      <c r="R280" s="933"/>
      <c r="S280" s="933"/>
      <c r="T280" s="933"/>
      <c r="U280" s="933"/>
      <c r="V280" s="933"/>
      <c r="W280" s="933"/>
      <c r="X280" s="933"/>
      <c r="Y280" s="933"/>
      <c r="Z280" s="933"/>
      <c r="AA280" s="933"/>
      <c r="AB280" s="933"/>
      <c r="AC280" s="933"/>
      <c r="AD280" s="933"/>
      <c r="AE280" s="933"/>
    </row>
    <row r="281" spans="1:31" ht="12.75">
      <c r="A281" s="933"/>
      <c r="B281" s="933"/>
      <c r="C281" s="933"/>
      <c r="D281" s="933"/>
      <c r="E281" s="933"/>
      <c r="F281" s="933"/>
      <c r="G281" s="933"/>
      <c r="H281" s="933"/>
      <c r="I281" s="933"/>
      <c r="J281" s="933"/>
      <c r="K281" s="933"/>
      <c r="L281" s="933"/>
      <c r="M281" s="933"/>
      <c r="N281" s="933"/>
      <c r="O281" s="933"/>
      <c r="P281" s="933"/>
      <c r="Q281" s="933"/>
      <c r="R281" s="933"/>
      <c r="S281" s="933"/>
      <c r="T281" s="933"/>
      <c r="U281" s="933"/>
      <c r="V281" s="933"/>
      <c r="W281" s="933"/>
      <c r="X281" s="933"/>
      <c r="Y281" s="933"/>
      <c r="Z281" s="933"/>
      <c r="AA281" s="933"/>
      <c r="AB281" s="933"/>
      <c r="AC281" s="933"/>
      <c r="AD281" s="933"/>
      <c r="AE281" s="933"/>
    </row>
    <row r="282" spans="1:31" ht="12.75">
      <c r="A282" s="933"/>
      <c r="B282" s="933"/>
      <c r="C282" s="933"/>
      <c r="D282" s="933"/>
      <c r="E282" s="933"/>
      <c r="F282" s="933"/>
      <c r="G282" s="933"/>
      <c r="H282" s="933"/>
      <c r="I282" s="933"/>
      <c r="J282" s="933"/>
      <c r="K282" s="933"/>
      <c r="L282" s="933"/>
      <c r="M282" s="933"/>
      <c r="N282" s="933"/>
      <c r="O282" s="933"/>
      <c r="P282" s="933"/>
      <c r="Q282" s="933"/>
      <c r="R282" s="933"/>
      <c r="S282" s="933"/>
      <c r="T282" s="933"/>
      <c r="U282" s="933"/>
      <c r="V282" s="933"/>
      <c r="W282" s="933"/>
      <c r="X282" s="933"/>
      <c r="Y282" s="933"/>
      <c r="Z282" s="933"/>
      <c r="AA282" s="933"/>
      <c r="AB282" s="933"/>
      <c r="AC282" s="933"/>
      <c r="AD282" s="933"/>
      <c r="AE282" s="933"/>
    </row>
    <row r="283" spans="1:31" ht="12.75">
      <c r="A283" s="933"/>
      <c r="B283" s="933"/>
      <c r="C283" s="933"/>
      <c r="D283" s="933"/>
      <c r="E283" s="933"/>
      <c r="F283" s="933"/>
      <c r="G283" s="933"/>
      <c r="H283" s="933"/>
      <c r="I283" s="933"/>
      <c r="J283" s="933"/>
      <c r="K283" s="933"/>
      <c r="L283" s="933"/>
      <c r="M283" s="933"/>
      <c r="N283" s="933"/>
      <c r="O283" s="933"/>
      <c r="P283" s="933"/>
      <c r="Q283" s="933"/>
      <c r="R283" s="933"/>
      <c r="S283" s="933"/>
      <c r="T283" s="933"/>
      <c r="U283" s="933"/>
      <c r="V283" s="933"/>
      <c r="W283" s="933"/>
      <c r="X283" s="933"/>
      <c r="Y283" s="933"/>
      <c r="Z283" s="933"/>
      <c r="AA283" s="933"/>
      <c r="AB283" s="933"/>
      <c r="AC283" s="933"/>
      <c r="AD283" s="933"/>
      <c r="AE283" s="933"/>
    </row>
    <row r="284" spans="1:31" ht="12.75">
      <c r="A284" s="933"/>
      <c r="B284" s="933"/>
      <c r="C284" s="933"/>
      <c r="D284" s="933"/>
      <c r="E284" s="933"/>
      <c r="F284" s="933"/>
      <c r="G284" s="933"/>
      <c r="H284" s="933"/>
      <c r="I284" s="933"/>
      <c r="J284" s="933"/>
      <c r="K284" s="933"/>
      <c r="L284" s="933"/>
      <c r="M284" s="933"/>
      <c r="N284" s="933"/>
      <c r="O284" s="933"/>
      <c r="P284" s="933"/>
      <c r="Q284" s="933"/>
      <c r="R284" s="933"/>
      <c r="S284" s="933"/>
      <c r="T284" s="933"/>
      <c r="U284" s="933"/>
      <c r="V284" s="933"/>
      <c r="W284" s="933"/>
      <c r="X284" s="933"/>
      <c r="Y284" s="933"/>
      <c r="Z284" s="933"/>
      <c r="AA284" s="933"/>
      <c r="AB284" s="933"/>
      <c r="AC284" s="933"/>
      <c r="AD284" s="933"/>
      <c r="AE284" s="933"/>
    </row>
    <row r="285" spans="1:31" ht="12.75">
      <c r="A285" s="933"/>
      <c r="B285" s="933"/>
      <c r="C285" s="933"/>
      <c r="D285" s="933"/>
      <c r="E285" s="933"/>
      <c r="F285" s="933"/>
      <c r="G285" s="933"/>
      <c r="H285" s="933"/>
      <c r="I285" s="933"/>
      <c r="J285" s="933"/>
      <c r="K285" s="933"/>
      <c r="L285" s="933"/>
      <c r="M285" s="933"/>
      <c r="N285" s="933"/>
      <c r="O285" s="933"/>
      <c r="P285" s="933"/>
      <c r="Q285" s="933"/>
      <c r="R285" s="933"/>
      <c r="S285" s="933"/>
      <c r="T285" s="933"/>
      <c r="U285" s="933"/>
      <c r="V285" s="933"/>
      <c r="W285" s="933"/>
      <c r="X285" s="933"/>
      <c r="Y285" s="933"/>
      <c r="Z285" s="933"/>
      <c r="AA285" s="933"/>
      <c r="AB285" s="933"/>
      <c r="AC285" s="933"/>
      <c r="AD285" s="933"/>
      <c r="AE285" s="933"/>
    </row>
    <row r="286" spans="1:31" ht="12.75">
      <c r="A286" s="933"/>
      <c r="B286" s="933"/>
      <c r="C286" s="933"/>
      <c r="D286" s="933"/>
      <c r="E286" s="933"/>
      <c r="F286" s="933"/>
      <c r="G286" s="933"/>
      <c r="H286" s="933"/>
      <c r="I286" s="933"/>
      <c r="J286" s="933"/>
      <c r="K286" s="933"/>
      <c r="L286" s="933"/>
      <c r="M286" s="933"/>
      <c r="N286" s="933"/>
      <c r="O286" s="933"/>
      <c r="P286" s="933"/>
      <c r="Q286" s="933"/>
      <c r="R286" s="933"/>
      <c r="S286" s="933"/>
      <c r="T286" s="933"/>
      <c r="U286" s="933"/>
      <c r="V286" s="933"/>
      <c r="W286" s="933"/>
      <c r="X286" s="933"/>
      <c r="Y286" s="933"/>
      <c r="Z286" s="933"/>
      <c r="AA286" s="933"/>
      <c r="AB286" s="933"/>
      <c r="AC286" s="933"/>
      <c r="AD286" s="933"/>
      <c r="AE286" s="933"/>
    </row>
    <row r="287" spans="1:31" ht="12.75">
      <c r="A287" s="933"/>
      <c r="B287" s="933"/>
      <c r="C287" s="933"/>
      <c r="D287" s="933"/>
      <c r="E287" s="933"/>
      <c r="F287" s="933"/>
      <c r="G287" s="933"/>
      <c r="H287" s="933"/>
      <c r="I287" s="933"/>
      <c r="J287" s="933"/>
      <c r="K287" s="933"/>
      <c r="L287" s="933"/>
      <c r="M287" s="933"/>
      <c r="N287" s="933"/>
      <c r="O287" s="933"/>
      <c r="P287" s="933"/>
      <c r="Q287" s="933"/>
      <c r="R287" s="933"/>
      <c r="S287" s="933"/>
      <c r="T287" s="933"/>
      <c r="U287" s="933"/>
      <c r="V287" s="933"/>
      <c r="W287" s="933"/>
      <c r="X287" s="933"/>
      <c r="Y287" s="933"/>
      <c r="Z287" s="933"/>
      <c r="AA287" s="933"/>
      <c r="AB287" s="933"/>
      <c r="AC287" s="933"/>
      <c r="AD287" s="933"/>
      <c r="AE287" s="933"/>
    </row>
    <row r="288" spans="1:31" ht="12.75">
      <c r="A288" s="933"/>
      <c r="B288" s="933"/>
      <c r="C288" s="933"/>
      <c r="D288" s="933"/>
      <c r="E288" s="933"/>
      <c r="F288" s="933"/>
      <c r="G288" s="933"/>
      <c r="H288" s="933"/>
      <c r="I288" s="933"/>
      <c r="J288" s="933"/>
      <c r="K288" s="933"/>
      <c r="L288" s="933"/>
      <c r="M288" s="933"/>
      <c r="N288" s="933"/>
      <c r="O288" s="933"/>
      <c r="P288" s="933"/>
      <c r="Q288" s="933"/>
      <c r="R288" s="933"/>
      <c r="S288" s="933"/>
      <c r="T288" s="933"/>
      <c r="U288" s="933"/>
      <c r="V288" s="933"/>
      <c r="W288" s="933"/>
      <c r="X288" s="933"/>
      <c r="Y288" s="933"/>
      <c r="Z288" s="933"/>
      <c r="AA288" s="933"/>
      <c r="AB288" s="933"/>
      <c r="AC288" s="933"/>
      <c r="AD288" s="933"/>
      <c r="AE288" s="933"/>
    </row>
    <row r="289" spans="1:31" ht="12.75">
      <c r="A289" s="933"/>
      <c r="B289" s="933"/>
      <c r="C289" s="933"/>
      <c r="D289" s="933"/>
      <c r="E289" s="933"/>
      <c r="F289" s="933"/>
      <c r="G289" s="933"/>
      <c r="H289" s="933"/>
      <c r="I289" s="933"/>
      <c r="J289" s="933"/>
      <c r="K289" s="933"/>
      <c r="L289" s="933"/>
      <c r="M289" s="933"/>
      <c r="N289" s="933"/>
      <c r="O289" s="933"/>
      <c r="P289" s="933"/>
      <c r="Q289" s="933"/>
      <c r="R289" s="933"/>
      <c r="S289" s="933"/>
      <c r="T289" s="933"/>
      <c r="U289" s="933"/>
      <c r="V289" s="933"/>
      <c r="W289" s="933"/>
      <c r="X289" s="933"/>
      <c r="Y289" s="933"/>
      <c r="Z289" s="933"/>
      <c r="AA289" s="933"/>
      <c r="AB289" s="933"/>
      <c r="AC289" s="933"/>
      <c r="AD289" s="933"/>
      <c r="AE289" s="933"/>
    </row>
    <row r="290" spans="1:31" ht="12.75">
      <c r="A290" s="933"/>
      <c r="B290" s="933"/>
      <c r="C290" s="933"/>
      <c r="D290" s="933"/>
      <c r="E290" s="933"/>
      <c r="F290" s="933"/>
      <c r="G290" s="933"/>
      <c r="H290" s="933"/>
      <c r="I290" s="933"/>
      <c r="J290" s="933"/>
      <c r="K290" s="933"/>
      <c r="L290" s="933"/>
      <c r="M290" s="933"/>
      <c r="N290" s="933"/>
      <c r="O290" s="933"/>
      <c r="P290" s="933"/>
      <c r="Q290" s="933"/>
      <c r="R290" s="933"/>
      <c r="S290" s="933"/>
      <c r="T290" s="933"/>
      <c r="U290" s="933"/>
      <c r="V290" s="933"/>
      <c r="W290" s="933"/>
      <c r="X290" s="933"/>
      <c r="Y290" s="933"/>
      <c r="Z290" s="933"/>
      <c r="AA290" s="933"/>
      <c r="AB290" s="933"/>
      <c r="AC290" s="933"/>
      <c r="AD290" s="933"/>
      <c r="AE290" s="933"/>
    </row>
    <row r="291" spans="1:31" ht="12.75">
      <c r="A291" s="933"/>
      <c r="B291" s="933"/>
      <c r="C291" s="933"/>
      <c r="D291" s="933"/>
      <c r="E291" s="933"/>
      <c r="F291" s="933"/>
      <c r="G291" s="933"/>
      <c r="H291" s="933"/>
      <c r="I291" s="933"/>
      <c r="J291" s="933"/>
      <c r="K291" s="933"/>
      <c r="L291" s="933"/>
      <c r="M291" s="933"/>
      <c r="N291" s="933"/>
      <c r="O291" s="933"/>
      <c r="P291" s="933"/>
      <c r="Q291" s="933"/>
      <c r="R291" s="933"/>
      <c r="S291" s="933"/>
      <c r="T291" s="933"/>
      <c r="U291" s="933"/>
      <c r="V291" s="933"/>
      <c r="W291" s="933"/>
      <c r="X291" s="933"/>
      <c r="Y291" s="933"/>
      <c r="Z291" s="933"/>
      <c r="AA291" s="933"/>
      <c r="AB291" s="933"/>
      <c r="AC291" s="933"/>
      <c r="AD291" s="933"/>
      <c r="AE291" s="933"/>
    </row>
    <row r="292" spans="1:31" ht="12.75">
      <c r="A292" s="933"/>
      <c r="B292" s="933"/>
      <c r="C292" s="933"/>
      <c r="D292" s="933"/>
      <c r="E292" s="933"/>
      <c r="F292" s="933"/>
      <c r="G292" s="933"/>
      <c r="H292" s="933"/>
      <c r="I292" s="933"/>
      <c r="J292" s="933"/>
      <c r="K292" s="933"/>
      <c r="L292" s="933"/>
      <c r="M292" s="933"/>
      <c r="N292" s="933"/>
      <c r="O292" s="933"/>
      <c r="P292" s="933"/>
      <c r="Q292" s="933"/>
      <c r="R292" s="933"/>
      <c r="S292" s="933"/>
      <c r="T292" s="933"/>
      <c r="U292" s="933"/>
      <c r="V292" s="933"/>
      <c r="W292" s="933"/>
      <c r="X292" s="933"/>
      <c r="Y292" s="933"/>
      <c r="Z292" s="933"/>
      <c r="AA292" s="933"/>
      <c r="AB292" s="933"/>
      <c r="AC292" s="933"/>
      <c r="AD292" s="933"/>
      <c r="AE292" s="933"/>
    </row>
    <row r="293" spans="1:31" ht="12.75">
      <c r="A293" s="933"/>
      <c r="B293" s="933"/>
      <c r="C293" s="933"/>
      <c r="D293" s="933"/>
      <c r="E293" s="933"/>
      <c r="F293" s="933"/>
      <c r="G293" s="933"/>
      <c r="H293" s="933"/>
      <c r="I293" s="933"/>
      <c r="J293" s="933"/>
      <c r="K293" s="933"/>
      <c r="L293" s="933"/>
      <c r="M293" s="933"/>
      <c r="N293" s="933"/>
      <c r="O293" s="933"/>
      <c r="P293" s="933"/>
      <c r="Q293" s="933"/>
      <c r="R293" s="933"/>
      <c r="S293" s="933"/>
      <c r="T293" s="933"/>
      <c r="U293" s="933"/>
      <c r="V293" s="933"/>
      <c r="W293" s="933"/>
      <c r="X293" s="933"/>
      <c r="Y293" s="933"/>
      <c r="Z293" s="933"/>
      <c r="AA293" s="933"/>
      <c r="AB293" s="933"/>
      <c r="AC293" s="933"/>
      <c r="AD293" s="933"/>
      <c r="AE293" s="933"/>
    </row>
    <row r="294" spans="1:31" ht="12.75">
      <c r="A294" s="933"/>
      <c r="B294" s="933"/>
      <c r="C294" s="933"/>
      <c r="D294" s="933"/>
      <c r="E294" s="933"/>
      <c r="F294" s="933"/>
      <c r="G294" s="933"/>
      <c r="H294" s="933"/>
      <c r="I294" s="933"/>
      <c r="J294" s="933"/>
      <c r="K294" s="933"/>
      <c r="L294" s="933"/>
      <c r="M294" s="933"/>
      <c r="N294" s="933"/>
      <c r="O294" s="933"/>
      <c r="P294" s="933"/>
      <c r="Q294" s="933"/>
      <c r="R294" s="933"/>
      <c r="S294" s="933"/>
      <c r="T294" s="933"/>
      <c r="U294" s="933"/>
      <c r="V294" s="933"/>
      <c r="W294" s="933"/>
      <c r="X294" s="933"/>
      <c r="Y294" s="933"/>
      <c r="Z294" s="933"/>
      <c r="AA294" s="933"/>
      <c r="AB294" s="933"/>
      <c r="AC294" s="933"/>
      <c r="AD294" s="933"/>
      <c r="AE294" s="933"/>
    </row>
    <row r="295" spans="1:31" ht="12.75">
      <c r="A295" s="933"/>
      <c r="B295" s="933"/>
      <c r="C295" s="933"/>
      <c r="D295" s="933"/>
      <c r="E295" s="933"/>
      <c r="F295" s="933"/>
      <c r="G295" s="933"/>
      <c r="H295" s="933"/>
      <c r="I295" s="933"/>
      <c r="J295" s="933"/>
      <c r="K295" s="933"/>
      <c r="L295" s="933"/>
      <c r="M295" s="933"/>
      <c r="N295" s="933"/>
      <c r="O295" s="933"/>
      <c r="P295" s="933"/>
      <c r="Q295" s="933"/>
      <c r="R295" s="933"/>
      <c r="S295" s="933"/>
      <c r="T295" s="933"/>
      <c r="U295" s="933"/>
      <c r="V295" s="933"/>
      <c r="W295" s="933"/>
      <c r="X295" s="933"/>
      <c r="Y295" s="933"/>
      <c r="Z295" s="933"/>
      <c r="AA295" s="933"/>
      <c r="AB295" s="933"/>
      <c r="AC295" s="933"/>
      <c r="AD295" s="933"/>
      <c r="AE295" s="933"/>
    </row>
    <row r="296" spans="1:31" ht="12.75">
      <c r="A296" s="933"/>
      <c r="B296" s="933"/>
      <c r="C296" s="933"/>
      <c r="D296" s="933"/>
      <c r="E296" s="933"/>
      <c r="F296" s="933"/>
      <c r="G296" s="933"/>
      <c r="H296" s="933"/>
      <c r="I296" s="933"/>
      <c r="J296" s="933"/>
      <c r="K296" s="933"/>
      <c r="L296" s="933"/>
      <c r="M296" s="933"/>
      <c r="N296" s="933"/>
      <c r="O296" s="933"/>
      <c r="P296" s="933"/>
      <c r="Q296" s="933"/>
      <c r="R296" s="933"/>
      <c r="S296" s="933"/>
      <c r="T296" s="933"/>
      <c r="U296" s="933"/>
      <c r="V296" s="933"/>
      <c r="W296" s="933"/>
      <c r="X296" s="933"/>
      <c r="Y296" s="933"/>
      <c r="Z296" s="933"/>
      <c r="AA296" s="933"/>
      <c r="AB296" s="933"/>
      <c r="AC296" s="933"/>
      <c r="AD296" s="933"/>
      <c r="AE296" s="933"/>
    </row>
    <row r="297" spans="1:31" ht="12.75">
      <c r="A297" s="933"/>
      <c r="B297" s="933"/>
      <c r="C297" s="933"/>
      <c r="D297" s="933"/>
      <c r="E297" s="933"/>
      <c r="F297" s="933"/>
      <c r="G297" s="933"/>
      <c r="H297" s="933"/>
      <c r="I297" s="933"/>
      <c r="J297" s="933"/>
      <c r="K297" s="933"/>
      <c r="L297" s="933"/>
      <c r="M297" s="933"/>
      <c r="N297" s="933"/>
      <c r="O297" s="933"/>
      <c r="P297" s="933"/>
      <c r="Q297" s="933"/>
      <c r="R297" s="933"/>
      <c r="S297" s="933"/>
      <c r="T297" s="933"/>
      <c r="U297" s="933"/>
      <c r="V297" s="933"/>
      <c r="W297" s="933"/>
      <c r="X297" s="933"/>
      <c r="Y297" s="933"/>
      <c r="Z297" s="933"/>
      <c r="AA297" s="933"/>
      <c r="AB297" s="933"/>
      <c r="AC297" s="933"/>
      <c r="AD297" s="933"/>
      <c r="AE297" s="933"/>
    </row>
    <row r="298" spans="1:31" ht="12.75">
      <c r="A298" s="933"/>
      <c r="B298" s="933"/>
      <c r="C298" s="933"/>
      <c r="D298" s="933"/>
      <c r="E298" s="933"/>
      <c r="F298" s="933"/>
      <c r="G298" s="933"/>
      <c r="H298" s="933"/>
      <c r="I298" s="933"/>
      <c r="J298" s="933"/>
      <c r="K298" s="933"/>
      <c r="L298" s="933"/>
      <c r="M298" s="933"/>
      <c r="N298" s="933"/>
      <c r="O298" s="933"/>
      <c r="P298" s="933"/>
      <c r="Q298" s="933"/>
      <c r="R298" s="933"/>
      <c r="S298" s="933"/>
      <c r="T298" s="933"/>
      <c r="U298" s="933"/>
      <c r="V298" s="933"/>
      <c r="W298" s="933"/>
      <c r="X298" s="933"/>
      <c r="Y298" s="933"/>
      <c r="Z298" s="933"/>
      <c r="AA298" s="933"/>
      <c r="AB298" s="933"/>
      <c r="AC298" s="933"/>
      <c r="AD298" s="933"/>
      <c r="AE298" s="933"/>
    </row>
    <row r="299" spans="1:31" ht="12.75">
      <c r="A299" s="933"/>
      <c r="B299" s="933"/>
      <c r="C299" s="933"/>
      <c r="D299" s="933"/>
      <c r="E299" s="933"/>
      <c r="F299" s="933"/>
      <c r="G299" s="933"/>
      <c r="H299" s="933"/>
      <c r="I299" s="933"/>
      <c r="J299" s="933"/>
      <c r="K299" s="933"/>
      <c r="L299" s="933"/>
      <c r="M299" s="933"/>
      <c r="N299" s="933"/>
      <c r="O299" s="933"/>
      <c r="P299" s="933"/>
      <c r="Q299" s="933"/>
      <c r="R299" s="933"/>
      <c r="S299" s="933"/>
      <c r="T299" s="933"/>
      <c r="U299" s="933"/>
      <c r="V299" s="933"/>
      <c r="W299" s="933"/>
      <c r="X299" s="933"/>
      <c r="Y299" s="933"/>
      <c r="Z299" s="933"/>
      <c r="AA299" s="933"/>
      <c r="AB299" s="933"/>
      <c r="AC299" s="933"/>
      <c r="AD299" s="933"/>
      <c r="AE299" s="933"/>
    </row>
    <row r="300" spans="1:31" ht="12.75">
      <c r="A300" s="933"/>
      <c r="B300" s="933"/>
      <c r="C300" s="933"/>
      <c r="D300" s="933"/>
      <c r="E300" s="933"/>
      <c r="F300" s="933"/>
      <c r="G300" s="933"/>
      <c r="H300" s="933"/>
      <c r="I300" s="933"/>
      <c r="J300" s="933"/>
      <c r="K300" s="933"/>
      <c r="L300" s="933"/>
      <c r="M300" s="933"/>
      <c r="N300" s="933"/>
      <c r="O300" s="933"/>
      <c r="P300" s="933"/>
      <c r="Q300" s="933"/>
      <c r="R300" s="933"/>
      <c r="S300" s="933"/>
      <c r="T300" s="933"/>
      <c r="U300" s="933"/>
      <c r="V300" s="933"/>
      <c r="W300" s="933"/>
      <c r="X300" s="933"/>
      <c r="Y300" s="933"/>
      <c r="Z300" s="933"/>
      <c r="AA300" s="933"/>
      <c r="AB300" s="933"/>
      <c r="AC300" s="933"/>
      <c r="AD300" s="933"/>
      <c r="AE300" s="933"/>
    </row>
    <row r="301" spans="1:31" ht="12.75">
      <c r="A301" s="933"/>
      <c r="B301" s="933"/>
      <c r="C301" s="933"/>
      <c r="D301" s="933"/>
      <c r="E301" s="933"/>
      <c r="F301" s="933"/>
      <c r="G301" s="933"/>
      <c r="H301" s="933"/>
      <c r="I301" s="933"/>
      <c r="J301" s="933"/>
      <c r="K301" s="933"/>
      <c r="L301" s="933"/>
      <c r="M301" s="933"/>
      <c r="N301" s="933"/>
      <c r="O301" s="933"/>
      <c r="P301" s="933"/>
      <c r="Q301" s="933"/>
      <c r="R301" s="933"/>
      <c r="S301" s="933"/>
      <c r="T301" s="933"/>
      <c r="U301" s="933"/>
      <c r="V301" s="933"/>
      <c r="W301" s="933"/>
      <c r="X301" s="933"/>
      <c r="Y301" s="933"/>
      <c r="Z301" s="933"/>
      <c r="AA301" s="933"/>
      <c r="AB301" s="933"/>
      <c r="AC301" s="933"/>
      <c r="AD301" s="933"/>
      <c r="AE301" s="933"/>
    </row>
    <row r="302" spans="1:31" ht="12.75">
      <c r="A302" s="933"/>
      <c r="B302" s="933"/>
      <c r="C302" s="933"/>
      <c r="D302" s="933"/>
      <c r="E302" s="933"/>
      <c r="F302" s="933"/>
      <c r="G302" s="933"/>
      <c r="H302" s="933"/>
      <c r="I302" s="933"/>
      <c r="J302" s="933"/>
      <c r="K302" s="933"/>
      <c r="L302" s="933"/>
      <c r="M302" s="933"/>
      <c r="N302" s="933"/>
      <c r="O302" s="933"/>
      <c r="P302" s="933"/>
      <c r="Q302" s="933"/>
      <c r="R302" s="933"/>
      <c r="S302" s="933"/>
      <c r="T302" s="933"/>
      <c r="U302" s="933"/>
      <c r="V302" s="933"/>
      <c r="W302" s="933"/>
      <c r="X302" s="933"/>
      <c r="Y302" s="933"/>
      <c r="Z302" s="933"/>
      <c r="AA302" s="933"/>
      <c r="AB302" s="933"/>
      <c r="AC302" s="933"/>
      <c r="AD302" s="933"/>
      <c r="AE302" s="933"/>
    </row>
    <row r="303" spans="1:31" ht="12.75">
      <c r="A303" s="933"/>
      <c r="B303" s="933"/>
      <c r="C303" s="933"/>
      <c r="D303" s="933"/>
      <c r="E303" s="933"/>
      <c r="F303" s="933"/>
      <c r="G303" s="933"/>
      <c r="H303" s="933"/>
      <c r="I303" s="933"/>
      <c r="J303" s="933"/>
      <c r="K303" s="933"/>
      <c r="L303" s="933"/>
      <c r="M303" s="933"/>
      <c r="N303" s="933"/>
      <c r="O303" s="933"/>
      <c r="P303" s="933"/>
      <c r="Q303" s="933"/>
      <c r="R303" s="933"/>
      <c r="S303" s="933"/>
      <c r="T303" s="933"/>
      <c r="U303" s="933"/>
      <c r="V303" s="933"/>
      <c r="W303" s="933"/>
      <c r="X303" s="933"/>
      <c r="Y303" s="933"/>
      <c r="Z303" s="933"/>
      <c r="AA303" s="933"/>
      <c r="AB303" s="933"/>
      <c r="AC303" s="933"/>
      <c r="AD303" s="933"/>
      <c r="AE303" s="933"/>
    </row>
    <row r="304" spans="1:31" ht="12.75">
      <c r="A304" s="933"/>
      <c r="B304" s="933"/>
      <c r="C304" s="933"/>
      <c r="D304" s="933"/>
      <c r="E304" s="933"/>
      <c r="F304" s="933"/>
      <c r="G304" s="933"/>
      <c r="H304" s="933"/>
      <c r="I304" s="933"/>
      <c r="J304" s="933"/>
      <c r="K304" s="933"/>
      <c r="L304" s="933"/>
      <c r="M304" s="933"/>
      <c r="N304" s="933"/>
      <c r="O304" s="933"/>
      <c r="P304" s="933"/>
      <c r="Q304" s="933"/>
      <c r="R304" s="933"/>
      <c r="S304" s="933"/>
      <c r="T304" s="933"/>
      <c r="U304" s="933"/>
      <c r="V304" s="933"/>
      <c r="W304" s="933"/>
      <c r="X304" s="933"/>
      <c r="Y304" s="933"/>
      <c r="Z304" s="933"/>
      <c r="AA304" s="933"/>
      <c r="AB304" s="933"/>
      <c r="AC304" s="933"/>
      <c r="AD304" s="933"/>
      <c r="AE304" s="933"/>
    </row>
    <row r="305" spans="1:31" ht="12.75">
      <c r="A305" s="933"/>
      <c r="B305" s="933"/>
      <c r="C305" s="933"/>
      <c r="D305" s="933"/>
      <c r="E305" s="933"/>
      <c r="F305" s="933"/>
      <c r="G305" s="933"/>
      <c r="H305" s="933"/>
      <c r="I305" s="933"/>
      <c r="J305" s="933"/>
      <c r="K305" s="933"/>
      <c r="L305" s="933"/>
      <c r="M305" s="933"/>
      <c r="N305" s="933"/>
      <c r="O305" s="933"/>
      <c r="P305" s="933"/>
      <c r="Q305" s="933"/>
      <c r="R305" s="933"/>
      <c r="S305" s="933"/>
      <c r="T305" s="933"/>
      <c r="U305" s="933"/>
      <c r="V305" s="933"/>
      <c r="W305" s="933"/>
      <c r="X305" s="933"/>
      <c r="Y305" s="933"/>
      <c r="Z305" s="933"/>
      <c r="AA305" s="933"/>
      <c r="AB305" s="933"/>
      <c r="AC305" s="933"/>
      <c r="AD305" s="933"/>
      <c r="AE305" s="933"/>
    </row>
    <row r="306" spans="1:31" ht="12.75">
      <c r="A306" s="933"/>
      <c r="B306" s="933"/>
      <c r="C306" s="933"/>
      <c r="D306" s="933"/>
      <c r="E306" s="933"/>
      <c r="F306" s="933"/>
      <c r="G306" s="933"/>
      <c r="H306" s="933"/>
      <c r="I306" s="933"/>
      <c r="J306" s="933"/>
      <c r="K306" s="933"/>
      <c r="L306" s="933"/>
      <c r="M306" s="933"/>
      <c r="N306" s="933"/>
      <c r="O306" s="933"/>
      <c r="P306" s="933"/>
      <c r="Q306" s="933"/>
      <c r="R306" s="933"/>
      <c r="S306" s="933"/>
      <c r="T306" s="933"/>
      <c r="U306" s="933"/>
      <c r="V306" s="933"/>
      <c r="W306" s="933"/>
      <c r="X306" s="933"/>
      <c r="Y306" s="933"/>
      <c r="Z306" s="933"/>
      <c r="AA306" s="933"/>
      <c r="AB306" s="933"/>
      <c r="AC306" s="933"/>
      <c r="AD306" s="933"/>
      <c r="AE306" s="933"/>
    </row>
    <row r="307" spans="1:31" ht="12.75">
      <c r="A307" s="933"/>
      <c r="B307" s="933"/>
      <c r="C307" s="933"/>
      <c r="D307" s="933"/>
      <c r="E307" s="933"/>
      <c r="F307" s="933"/>
      <c r="G307" s="933"/>
      <c r="H307" s="933"/>
      <c r="I307" s="933"/>
      <c r="J307" s="933"/>
      <c r="K307" s="933"/>
      <c r="L307" s="933"/>
      <c r="M307" s="933"/>
      <c r="N307" s="933"/>
      <c r="O307" s="933"/>
      <c r="P307" s="933"/>
      <c r="Q307" s="933"/>
      <c r="R307" s="933"/>
      <c r="S307" s="933"/>
      <c r="T307" s="933"/>
      <c r="U307" s="933"/>
      <c r="V307" s="933"/>
      <c r="W307" s="933"/>
      <c r="X307" s="933"/>
      <c r="Y307" s="933"/>
      <c r="Z307" s="933"/>
      <c r="AA307" s="933"/>
      <c r="AB307" s="933"/>
      <c r="AC307" s="933"/>
      <c r="AD307" s="933"/>
      <c r="AE307" s="933"/>
    </row>
    <row r="308" spans="1:31" ht="12.75">
      <c r="A308" s="933"/>
      <c r="B308" s="933"/>
      <c r="C308" s="933"/>
      <c r="D308" s="933"/>
      <c r="E308" s="933"/>
      <c r="F308" s="933"/>
      <c r="G308" s="933"/>
      <c r="H308" s="933"/>
      <c r="I308" s="933"/>
      <c r="J308" s="933"/>
      <c r="K308" s="933"/>
      <c r="L308" s="933"/>
      <c r="M308" s="933"/>
      <c r="N308" s="933"/>
      <c r="O308" s="933"/>
      <c r="P308" s="933"/>
      <c r="Q308" s="933"/>
      <c r="R308" s="933"/>
      <c r="S308" s="933"/>
      <c r="T308" s="933"/>
      <c r="U308" s="933"/>
      <c r="V308" s="933"/>
      <c r="W308" s="933"/>
      <c r="X308" s="933"/>
      <c r="Y308" s="933"/>
      <c r="Z308" s="933"/>
      <c r="AA308" s="933"/>
      <c r="AB308" s="933"/>
      <c r="AC308" s="933"/>
      <c r="AD308" s="933"/>
      <c r="AE308" s="933"/>
    </row>
    <row r="309" spans="1:31" ht="12.75">
      <c r="A309" s="933"/>
      <c r="B309" s="933"/>
      <c r="C309" s="933"/>
      <c r="D309" s="933"/>
      <c r="E309" s="933"/>
      <c r="F309" s="933"/>
      <c r="G309" s="933"/>
      <c r="H309" s="933"/>
      <c r="I309" s="933"/>
      <c r="J309" s="933"/>
      <c r="K309" s="933"/>
      <c r="L309" s="933"/>
      <c r="M309" s="933"/>
      <c r="N309" s="933"/>
      <c r="O309" s="933"/>
      <c r="P309" s="933"/>
      <c r="Q309" s="933"/>
      <c r="R309" s="933"/>
      <c r="S309" s="933"/>
      <c r="T309" s="933"/>
      <c r="U309" s="933"/>
      <c r="V309" s="933"/>
      <c r="W309" s="933"/>
      <c r="X309" s="933"/>
      <c r="Y309" s="933"/>
      <c r="Z309" s="933"/>
      <c r="AA309" s="933"/>
      <c r="AB309" s="933"/>
      <c r="AC309" s="933"/>
      <c r="AD309" s="933"/>
      <c r="AE309" s="933"/>
    </row>
    <row r="310" spans="1:31" ht="12.75">
      <c r="A310" s="933"/>
      <c r="B310" s="933"/>
      <c r="C310" s="933"/>
      <c r="D310" s="933"/>
      <c r="E310" s="933"/>
      <c r="F310" s="933"/>
      <c r="G310" s="933"/>
      <c r="H310" s="933"/>
      <c r="I310" s="933"/>
      <c r="J310" s="933"/>
      <c r="K310" s="933"/>
      <c r="L310" s="933"/>
      <c r="M310" s="933"/>
      <c r="N310" s="933"/>
      <c r="O310" s="933"/>
      <c r="P310" s="933"/>
      <c r="Q310" s="933"/>
      <c r="R310" s="933"/>
      <c r="S310" s="933"/>
      <c r="T310" s="933"/>
      <c r="U310" s="933"/>
      <c r="V310" s="933"/>
      <c r="W310" s="933"/>
      <c r="X310" s="933"/>
      <c r="Y310" s="933"/>
      <c r="Z310" s="933"/>
      <c r="AA310" s="933"/>
      <c r="AB310" s="933"/>
      <c r="AC310" s="933"/>
      <c r="AD310" s="933"/>
      <c r="AE310" s="933"/>
    </row>
    <row r="311" spans="1:31" ht="12.75">
      <c r="A311" s="933"/>
      <c r="B311" s="933"/>
      <c r="C311" s="933"/>
      <c r="D311" s="933"/>
      <c r="E311" s="933"/>
      <c r="F311" s="933"/>
      <c r="G311" s="933"/>
      <c r="H311" s="933"/>
      <c r="I311" s="933"/>
      <c r="J311" s="933"/>
      <c r="K311" s="933"/>
      <c r="L311" s="933"/>
      <c r="M311" s="933"/>
      <c r="N311" s="933"/>
      <c r="O311" s="933"/>
      <c r="P311" s="933"/>
      <c r="Q311" s="933"/>
      <c r="R311" s="933"/>
      <c r="S311" s="933"/>
      <c r="T311" s="933"/>
      <c r="U311" s="933"/>
      <c r="V311" s="933"/>
      <c r="W311" s="933"/>
      <c r="X311" s="933"/>
      <c r="Y311" s="933"/>
      <c r="Z311" s="933"/>
      <c r="AA311" s="933"/>
      <c r="AB311" s="933"/>
      <c r="AC311" s="933"/>
      <c r="AD311" s="933"/>
      <c r="AE311" s="933"/>
    </row>
    <row r="312" spans="1:31" ht="12.75">
      <c r="A312" s="933"/>
      <c r="B312" s="933"/>
      <c r="C312" s="933"/>
      <c r="D312" s="933"/>
      <c r="E312" s="933"/>
      <c r="F312" s="933"/>
      <c r="G312" s="933"/>
      <c r="H312" s="933"/>
      <c r="I312" s="933"/>
      <c r="J312" s="933"/>
      <c r="K312" s="933"/>
      <c r="L312" s="933"/>
      <c r="M312" s="933"/>
      <c r="N312" s="933"/>
      <c r="O312" s="933"/>
      <c r="P312" s="933"/>
      <c r="Q312" s="933"/>
      <c r="R312" s="933"/>
      <c r="S312" s="933"/>
      <c r="T312" s="933"/>
      <c r="U312" s="933"/>
      <c r="V312" s="933"/>
      <c r="W312" s="933"/>
      <c r="X312" s="933"/>
      <c r="Y312" s="933"/>
      <c r="Z312" s="933"/>
      <c r="AA312" s="933"/>
      <c r="AB312" s="933"/>
      <c r="AC312" s="933"/>
      <c r="AD312" s="933"/>
      <c r="AE312" s="933"/>
    </row>
    <row r="313" spans="1:31" ht="12.75">
      <c r="A313" s="933"/>
      <c r="B313" s="933"/>
      <c r="C313" s="933"/>
      <c r="D313" s="933"/>
      <c r="E313" s="933"/>
      <c r="F313" s="933"/>
      <c r="G313" s="933"/>
      <c r="H313" s="933"/>
      <c r="I313" s="933"/>
      <c r="J313" s="933"/>
      <c r="K313" s="933"/>
      <c r="L313" s="933"/>
      <c r="M313" s="933"/>
      <c r="N313" s="933"/>
      <c r="O313" s="933"/>
      <c r="P313" s="933"/>
      <c r="Q313" s="933"/>
      <c r="R313" s="933"/>
      <c r="S313" s="933"/>
      <c r="T313" s="933"/>
      <c r="U313" s="933"/>
      <c r="V313" s="933"/>
      <c r="W313" s="933"/>
      <c r="X313" s="933"/>
      <c r="Y313" s="933"/>
      <c r="Z313" s="933"/>
      <c r="AA313" s="933"/>
      <c r="AB313" s="933"/>
      <c r="AC313" s="933"/>
      <c r="AD313" s="933"/>
      <c r="AE313" s="933"/>
    </row>
    <row r="314" spans="1:31" ht="12.75">
      <c r="A314" s="933"/>
      <c r="B314" s="933"/>
      <c r="C314" s="933"/>
      <c r="D314" s="933"/>
      <c r="E314" s="933"/>
      <c r="F314" s="933"/>
      <c r="G314" s="933"/>
      <c r="H314" s="933"/>
      <c r="I314" s="933"/>
      <c r="J314" s="933"/>
      <c r="K314" s="933"/>
      <c r="L314" s="933"/>
      <c r="M314" s="933"/>
      <c r="N314" s="933"/>
      <c r="O314" s="933"/>
      <c r="P314" s="933"/>
      <c r="Q314" s="933"/>
      <c r="R314" s="933"/>
      <c r="S314" s="933"/>
      <c r="T314" s="933"/>
      <c r="U314" s="933"/>
      <c r="V314" s="933"/>
      <c r="W314" s="933"/>
      <c r="X314" s="933"/>
      <c r="Y314" s="933"/>
      <c r="Z314" s="933"/>
      <c r="AA314" s="933"/>
      <c r="AB314" s="933"/>
      <c r="AC314" s="933"/>
      <c r="AD314" s="933"/>
      <c r="AE314" s="933"/>
    </row>
    <row r="315" spans="1:31" ht="12.75">
      <c r="A315" s="933"/>
      <c r="B315" s="933"/>
      <c r="C315" s="933"/>
      <c r="D315" s="933"/>
      <c r="E315" s="933"/>
      <c r="F315" s="933"/>
      <c r="G315" s="933"/>
      <c r="H315" s="933"/>
      <c r="I315" s="933"/>
      <c r="J315" s="933"/>
      <c r="K315" s="933"/>
      <c r="L315" s="933"/>
      <c r="M315" s="933"/>
      <c r="N315" s="933"/>
      <c r="O315" s="933"/>
      <c r="P315" s="933"/>
      <c r="Q315" s="933"/>
      <c r="R315" s="933"/>
      <c r="S315" s="933"/>
      <c r="T315" s="933"/>
      <c r="U315" s="933"/>
      <c r="V315" s="933"/>
      <c r="W315" s="933"/>
      <c r="X315" s="933"/>
      <c r="Y315" s="933"/>
      <c r="Z315" s="933"/>
      <c r="AA315" s="933"/>
      <c r="AB315" s="933"/>
      <c r="AC315" s="933"/>
      <c r="AD315" s="933"/>
      <c r="AE315" s="933"/>
    </row>
    <row r="316" spans="1:31" ht="12.75">
      <c r="A316" s="933"/>
      <c r="B316" s="933"/>
      <c r="C316" s="933"/>
      <c r="D316" s="933"/>
      <c r="E316" s="933"/>
      <c r="F316" s="933"/>
      <c r="G316" s="933"/>
      <c r="H316" s="933"/>
      <c r="I316" s="933"/>
      <c r="J316" s="933"/>
      <c r="K316" s="933"/>
      <c r="L316" s="933"/>
      <c r="M316" s="933"/>
      <c r="N316" s="933"/>
      <c r="O316" s="933"/>
      <c r="P316" s="933"/>
      <c r="Q316" s="933"/>
      <c r="R316" s="933"/>
      <c r="S316" s="933"/>
      <c r="T316" s="933"/>
      <c r="U316" s="933"/>
      <c r="V316" s="933"/>
      <c r="W316" s="933"/>
      <c r="X316" s="933"/>
      <c r="Y316" s="933"/>
      <c r="Z316" s="933"/>
      <c r="AA316" s="933"/>
      <c r="AB316" s="933"/>
      <c r="AC316" s="933"/>
      <c r="AD316" s="933"/>
      <c r="AE316" s="933"/>
    </row>
    <row r="317" spans="1:31" ht="12.75">
      <c r="A317" s="933"/>
      <c r="B317" s="933"/>
      <c r="C317" s="933"/>
      <c r="D317" s="933"/>
      <c r="E317" s="933"/>
      <c r="F317" s="933"/>
      <c r="G317" s="933"/>
      <c r="H317" s="933"/>
      <c r="I317" s="933"/>
      <c r="J317" s="933"/>
      <c r="K317" s="933"/>
      <c r="L317" s="933"/>
      <c r="M317" s="933"/>
      <c r="N317" s="933"/>
      <c r="O317" s="933"/>
      <c r="P317" s="933"/>
      <c r="Q317" s="933"/>
      <c r="R317" s="933"/>
      <c r="S317" s="933"/>
      <c r="T317" s="933"/>
      <c r="U317" s="933"/>
      <c r="V317" s="933"/>
      <c r="W317" s="933"/>
      <c r="X317" s="933"/>
      <c r="Y317" s="933"/>
      <c r="Z317" s="933"/>
      <c r="AA317" s="933"/>
      <c r="AB317" s="933"/>
      <c r="AC317" s="933"/>
      <c r="AD317" s="933"/>
      <c r="AE317" s="933"/>
    </row>
    <row r="318" spans="1:31" ht="12.75">
      <c r="A318" s="933"/>
      <c r="B318" s="933"/>
      <c r="C318" s="933"/>
      <c r="D318" s="933"/>
      <c r="E318" s="933"/>
      <c r="F318" s="933"/>
      <c r="G318" s="933"/>
      <c r="H318" s="933"/>
      <c r="I318" s="933"/>
      <c r="J318" s="933"/>
      <c r="K318" s="933"/>
      <c r="L318" s="933"/>
      <c r="M318" s="933"/>
      <c r="N318" s="933"/>
      <c r="O318" s="933"/>
      <c r="P318" s="933"/>
      <c r="Q318" s="933"/>
      <c r="R318" s="933"/>
      <c r="S318" s="933"/>
      <c r="T318" s="933"/>
      <c r="U318" s="933"/>
      <c r="V318" s="933"/>
      <c r="W318" s="933"/>
      <c r="X318" s="933"/>
      <c r="Y318" s="933"/>
      <c r="Z318" s="933"/>
      <c r="AA318" s="933"/>
      <c r="AB318" s="933"/>
      <c r="AC318" s="933"/>
      <c r="AD318" s="933"/>
      <c r="AE318" s="933"/>
    </row>
    <row r="319" spans="1:31" ht="12.75">
      <c r="A319" s="933"/>
      <c r="B319" s="933"/>
      <c r="C319" s="933"/>
      <c r="D319" s="933"/>
      <c r="E319" s="933"/>
      <c r="F319" s="933"/>
      <c r="G319" s="933"/>
      <c r="H319" s="933"/>
      <c r="I319" s="933"/>
      <c r="J319" s="933"/>
      <c r="K319" s="933"/>
      <c r="L319" s="933"/>
      <c r="M319" s="933"/>
      <c r="N319" s="933"/>
      <c r="O319" s="933"/>
      <c r="P319" s="933"/>
      <c r="Q319" s="933"/>
      <c r="R319" s="933"/>
      <c r="S319" s="933"/>
      <c r="T319" s="933"/>
      <c r="U319" s="933"/>
      <c r="V319" s="933"/>
      <c r="W319" s="933"/>
      <c r="X319" s="933"/>
      <c r="Y319" s="933"/>
      <c r="Z319" s="933"/>
      <c r="AA319" s="933"/>
      <c r="AB319" s="933"/>
      <c r="AC319" s="933"/>
      <c r="AD319" s="933"/>
      <c r="AE319" s="933"/>
    </row>
    <row r="320" spans="1:31" ht="12.75">
      <c r="A320" s="933"/>
      <c r="B320" s="933"/>
      <c r="C320" s="933"/>
      <c r="D320" s="933"/>
      <c r="E320" s="933"/>
      <c r="F320" s="933"/>
      <c r="G320" s="933"/>
      <c r="H320" s="933"/>
      <c r="I320" s="933"/>
      <c r="J320" s="933"/>
      <c r="K320" s="933"/>
      <c r="L320" s="933"/>
      <c r="M320" s="933"/>
      <c r="N320" s="933"/>
      <c r="O320" s="933"/>
      <c r="P320" s="933"/>
      <c r="Q320" s="933"/>
      <c r="R320" s="933"/>
      <c r="S320" s="933"/>
      <c r="T320" s="933"/>
      <c r="U320" s="933"/>
      <c r="V320" s="933"/>
      <c r="W320" s="933"/>
      <c r="X320" s="933"/>
      <c r="Y320" s="933"/>
      <c r="Z320" s="933"/>
      <c r="AA320" s="933"/>
      <c r="AB320" s="933"/>
      <c r="AC320" s="933"/>
      <c r="AD320" s="933"/>
      <c r="AE320" s="933"/>
    </row>
    <row r="321" spans="1:31" ht="12.75">
      <c r="A321" s="933"/>
      <c r="B321" s="933"/>
      <c r="C321" s="933"/>
      <c r="D321" s="933"/>
      <c r="E321" s="933"/>
      <c r="F321" s="933"/>
      <c r="G321" s="933"/>
      <c r="H321" s="933"/>
      <c r="I321" s="933"/>
      <c r="J321" s="933"/>
      <c r="K321" s="933"/>
      <c r="L321" s="933"/>
      <c r="M321" s="933"/>
      <c r="N321" s="933"/>
      <c r="O321" s="933"/>
      <c r="P321" s="933"/>
      <c r="Q321" s="933"/>
      <c r="R321" s="933"/>
      <c r="S321" s="933"/>
      <c r="T321" s="933"/>
      <c r="U321" s="933"/>
      <c r="V321" s="933"/>
      <c r="W321" s="933"/>
      <c r="X321" s="933"/>
      <c r="Y321" s="933"/>
      <c r="Z321" s="933"/>
      <c r="AA321" s="933"/>
      <c r="AB321" s="933"/>
      <c r="AC321" s="933"/>
      <c r="AD321" s="933"/>
      <c r="AE321" s="933"/>
    </row>
    <row r="322" spans="1:31" ht="12.75">
      <c r="A322" s="933"/>
      <c r="B322" s="933"/>
      <c r="C322" s="933"/>
      <c r="D322" s="933"/>
      <c r="E322" s="933"/>
      <c r="F322" s="933"/>
      <c r="G322" s="933"/>
      <c r="H322" s="933"/>
      <c r="I322" s="933"/>
      <c r="J322" s="933"/>
      <c r="K322" s="933"/>
      <c r="L322" s="933"/>
      <c r="M322" s="933"/>
      <c r="N322" s="933"/>
      <c r="O322" s="933"/>
      <c r="P322" s="933"/>
      <c r="Q322" s="933"/>
      <c r="R322" s="933"/>
      <c r="S322" s="933"/>
      <c r="T322" s="933"/>
      <c r="U322" s="933"/>
      <c r="V322" s="933"/>
      <c r="W322" s="933"/>
      <c r="X322" s="933"/>
      <c r="Y322" s="933"/>
      <c r="Z322" s="933"/>
      <c r="AA322" s="933"/>
      <c r="AB322" s="933"/>
      <c r="AC322" s="933"/>
      <c r="AD322" s="933"/>
      <c r="AE322" s="933"/>
    </row>
    <row r="323" spans="1:31" ht="12.75">
      <c r="A323" s="933"/>
      <c r="B323" s="933"/>
      <c r="C323" s="933"/>
      <c r="D323" s="933"/>
      <c r="E323" s="933"/>
      <c r="F323" s="933"/>
      <c r="G323" s="933"/>
      <c r="H323" s="933"/>
      <c r="I323" s="933"/>
      <c r="J323" s="933"/>
      <c r="K323" s="933"/>
      <c r="L323" s="933"/>
      <c r="M323" s="933"/>
      <c r="N323" s="933"/>
      <c r="O323" s="933"/>
      <c r="P323" s="933"/>
      <c r="Q323" s="933"/>
      <c r="R323" s="933"/>
      <c r="S323" s="933"/>
      <c r="T323" s="933"/>
      <c r="U323" s="933"/>
      <c r="V323" s="933"/>
      <c r="W323" s="933"/>
      <c r="X323" s="933"/>
      <c r="Y323" s="933"/>
      <c r="Z323" s="933"/>
      <c r="AA323" s="933"/>
      <c r="AB323" s="933"/>
      <c r="AC323" s="933"/>
      <c r="AD323" s="933"/>
      <c r="AE323" s="933"/>
    </row>
    <row r="324" spans="1:31" ht="12.75">
      <c r="A324" s="933"/>
      <c r="B324" s="933"/>
      <c r="C324" s="933"/>
      <c r="D324" s="933"/>
      <c r="E324" s="933"/>
      <c r="F324" s="933"/>
      <c r="G324" s="933"/>
      <c r="H324" s="933"/>
      <c r="I324" s="933"/>
      <c r="J324" s="933"/>
      <c r="K324" s="933"/>
      <c r="L324" s="933"/>
      <c r="M324" s="933"/>
      <c r="N324" s="933"/>
      <c r="O324" s="933"/>
      <c r="P324" s="933"/>
      <c r="Q324" s="933"/>
      <c r="R324" s="933"/>
      <c r="S324" s="933"/>
      <c r="T324" s="933"/>
      <c r="U324" s="933"/>
      <c r="V324" s="933"/>
      <c r="W324" s="933"/>
      <c r="X324" s="933"/>
      <c r="Y324" s="933"/>
      <c r="Z324" s="933"/>
      <c r="AA324" s="933"/>
      <c r="AB324" s="933"/>
      <c r="AC324" s="933"/>
      <c r="AD324" s="933"/>
      <c r="AE324" s="933"/>
    </row>
    <row r="325" spans="1:31" ht="12.75">
      <c r="A325" s="933"/>
      <c r="B325" s="933"/>
      <c r="C325" s="933"/>
      <c r="D325" s="933"/>
      <c r="E325" s="933"/>
      <c r="F325" s="933"/>
      <c r="G325" s="933"/>
      <c r="H325" s="933"/>
      <c r="I325" s="933"/>
      <c r="J325" s="933"/>
      <c r="K325" s="933"/>
      <c r="L325" s="933"/>
      <c r="M325" s="933"/>
      <c r="N325" s="933"/>
      <c r="O325" s="933"/>
      <c r="P325" s="933"/>
      <c r="Q325" s="933"/>
      <c r="R325" s="933"/>
      <c r="S325" s="933"/>
      <c r="T325" s="933"/>
      <c r="U325" s="933"/>
      <c r="V325" s="933"/>
      <c r="W325" s="933"/>
      <c r="X325" s="933"/>
      <c r="Y325" s="933"/>
      <c r="Z325" s="933"/>
      <c r="AA325" s="933"/>
      <c r="AB325" s="933"/>
      <c r="AC325" s="933"/>
      <c r="AD325" s="933"/>
      <c r="AE325" s="933"/>
    </row>
    <row r="326" spans="1:31" ht="12.75">
      <c r="A326" s="933"/>
      <c r="B326" s="933"/>
      <c r="C326" s="933"/>
      <c r="D326" s="933"/>
      <c r="E326" s="933"/>
      <c r="F326" s="933"/>
      <c r="G326" s="933"/>
      <c r="H326" s="933"/>
      <c r="I326" s="933"/>
      <c r="J326" s="933"/>
      <c r="K326" s="933"/>
      <c r="L326" s="933"/>
      <c r="M326" s="933"/>
      <c r="N326" s="933"/>
      <c r="O326" s="933"/>
      <c r="P326" s="933"/>
      <c r="Q326" s="933"/>
      <c r="R326" s="933"/>
      <c r="S326" s="933"/>
      <c r="T326" s="933"/>
      <c r="U326" s="933"/>
      <c r="V326" s="933"/>
      <c r="W326" s="933"/>
      <c r="X326" s="933"/>
      <c r="Y326" s="933"/>
      <c r="Z326" s="933"/>
      <c r="AA326" s="933"/>
      <c r="AB326" s="933"/>
      <c r="AC326" s="933"/>
      <c r="AD326" s="933"/>
      <c r="AE326" s="933"/>
    </row>
    <row r="327" spans="1:31" ht="12.75">
      <c r="A327" s="933"/>
      <c r="B327" s="933"/>
      <c r="C327" s="933"/>
      <c r="D327" s="933"/>
      <c r="E327" s="933"/>
      <c r="F327" s="933"/>
      <c r="G327" s="933"/>
      <c r="H327" s="933"/>
      <c r="I327" s="933"/>
      <c r="J327" s="933"/>
      <c r="K327" s="933"/>
      <c r="L327" s="933"/>
      <c r="M327" s="933"/>
      <c r="N327" s="933"/>
      <c r="O327" s="933"/>
      <c r="P327" s="933"/>
      <c r="Q327" s="933"/>
      <c r="R327" s="933"/>
      <c r="S327" s="933"/>
      <c r="T327" s="933"/>
      <c r="U327" s="933"/>
      <c r="V327" s="933"/>
      <c r="W327" s="933"/>
      <c r="X327" s="933"/>
      <c r="Y327" s="933"/>
      <c r="Z327" s="933"/>
      <c r="AA327" s="933"/>
      <c r="AB327" s="933"/>
      <c r="AC327" s="933"/>
      <c r="AD327" s="933"/>
      <c r="AE327" s="933"/>
    </row>
    <row r="328" spans="1:31" ht="12.75">
      <c r="A328" s="933"/>
      <c r="B328" s="933"/>
      <c r="C328" s="933"/>
      <c r="D328" s="933"/>
      <c r="E328" s="933"/>
      <c r="F328" s="933"/>
      <c r="G328" s="933"/>
      <c r="H328" s="933"/>
      <c r="I328" s="933"/>
      <c r="J328" s="933"/>
      <c r="K328" s="933"/>
      <c r="L328" s="933"/>
      <c r="M328" s="933"/>
      <c r="N328" s="933"/>
      <c r="O328" s="933"/>
      <c r="P328" s="933"/>
      <c r="Q328" s="933"/>
      <c r="R328" s="933"/>
      <c r="S328" s="933"/>
      <c r="T328" s="933"/>
      <c r="U328" s="933"/>
      <c r="V328" s="933"/>
      <c r="W328" s="933"/>
      <c r="X328" s="933"/>
      <c r="Y328" s="933"/>
      <c r="Z328" s="933"/>
      <c r="AA328" s="933"/>
      <c r="AB328" s="933"/>
      <c r="AC328" s="933"/>
      <c r="AD328" s="933"/>
      <c r="AE328" s="933"/>
    </row>
    <row r="329" spans="1:31" ht="12.75">
      <c r="A329" s="933"/>
      <c r="B329" s="933"/>
      <c r="C329" s="933"/>
      <c r="D329" s="933"/>
      <c r="E329" s="933"/>
      <c r="F329" s="933"/>
      <c r="G329" s="933"/>
      <c r="H329" s="933"/>
      <c r="I329" s="933"/>
      <c r="J329" s="933"/>
      <c r="K329" s="933"/>
      <c r="L329" s="933"/>
      <c r="M329" s="933"/>
      <c r="N329" s="933"/>
      <c r="O329" s="933"/>
      <c r="P329" s="933"/>
      <c r="Q329" s="933"/>
      <c r="R329" s="933"/>
      <c r="S329" s="933"/>
      <c r="T329" s="933"/>
      <c r="U329" s="933"/>
      <c r="V329" s="933"/>
      <c r="W329" s="933"/>
      <c r="X329" s="933"/>
      <c r="Y329" s="933"/>
      <c r="Z329" s="933"/>
      <c r="AA329" s="933"/>
      <c r="AB329" s="933"/>
      <c r="AC329" s="933"/>
      <c r="AD329" s="933"/>
      <c r="AE329" s="933"/>
    </row>
    <row r="330" spans="1:31" ht="12.75">
      <c r="A330" s="933"/>
      <c r="B330" s="933"/>
      <c r="C330" s="933"/>
      <c r="D330" s="933"/>
      <c r="E330" s="933"/>
      <c r="F330" s="933"/>
      <c r="G330" s="933"/>
      <c r="H330" s="933"/>
      <c r="I330" s="933"/>
      <c r="J330" s="933"/>
      <c r="K330" s="933"/>
      <c r="L330" s="933"/>
      <c r="M330" s="933"/>
      <c r="N330" s="933"/>
      <c r="O330" s="933"/>
      <c r="P330" s="933"/>
      <c r="Q330" s="933"/>
      <c r="R330" s="933"/>
      <c r="S330" s="933"/>
      <c r="T330" s="933"/>
      <c r="U330" s="933"/>
      <c r="V330" s="933"/>
      <c r="W330" s="933"/>
      <c r="X330" s="933"/>
      <c r="Y330" s="933"/>
      <c r="Z330" s="933"/>
      <c r="AA330" s="933"/>
      <c r="AB330" s="933"/>
      <c r="AC330" s="933"/>
      <c r="AD330" s="933"/>
      <c r="AE330" s="933"/>
    </row>
    <row r="331" spans="1:31" ht="12.75">
      <c r="A331" s="933"/>
      <c r="B331" s="933"/>
      <c r="C331" s="933"/>
      <c r="D331" s="933"/>
      <c r="E331" s="933"/>
      <c r="F331" s="933"/>
      <c r="G331" s="933"/>
      <c r="H331" s="933"/>
      <c r="I331" s="933"/>
      <c r="J331" s="933"/>
      <c r="K331" s="933"/>
      <c r="L331" s="933"/>
      <c r="M331" s="933"/>
      <c r="N331" s="933"/>
      <c r="O331" s="933"/>
      <c r="P331" s="933"/>
      <c r="Q331" s="933"/>
      <c r="R331" s="933"/>
      <c r="S331" s="933"/>
      <c r="T331" s="933"/>
      <c r="U331" s="933"/>
      <c r="V331" s="933"/>
      <c r="W331" s="933"/>
      <c r="X331" s="933"/>
      <c r="Y331" s="933"/>
      <c r="Z331" s="933"/>
      <c r="AA331" s="933"/>
      <c r="AB331" s="933"/>
      <c r="AC331" s="933"/>
      <c r="AD331" s="933"/>
      <c r="AE331" s="933"/>
    </row>
    <row r="332" spans="1:31" ht="12.75">
      <c r="A332" s="933"/>
      <c r="B332" s="933"/>
      <c r="C332" s="933"/>
      <c r="D332" s="933"/>
      <c r="E332" s="933"/>
      <c r="F332" s="933"/>
      <c r="G332" s="933"/>
      <c r="H332" s="933"/>
      <c r="I332" s="933"/>
      <c r="J332" s="933"/>
      <c r="K332" s="933"/>
      <c r="L332" s="933"/>
      <c r="M332" s="933"/>
      <c r="N332" s="933"/>
      <c r="O332" s="933"/>
      <c r="P332" s="933"/>
      <c r="Q332" s="933"/>
      <c r="R332" s="933"/>
      <c r="S332" s="933"/>
      <c r="T332" s="933"/>
      <c r="U332" s="933"/>
      <c r="V332" s="933"/>
      <c r="W332" s="933"/>
      <c r="X332" s="933"/>
      <c r="Y332" s="933"/>
      <c r="Z332" s="933"/>
      <c r="AA332" s="933"/>
      <c r="AB332" s="933"/>
      <c r="AC332" s="933"/>
      <c r="AD332" s="933"/>
      <c r="AE332" s="933"/>
    </row>
    <row r="333" spans="1:31" ht="12.75">
      <c r="A333" s="933"/>
      <c r="B333" s="933"/>
      <c r="C333" s="933"/>
      <c r="D333" s="933"/>
      <c r="E333" s="933"/>
      <c r="F333" s="933"/>
      <c r="G333" s="933"/>
      <c r="H333" s="933"/>
      <c r="I333" s="933"/>
      <c r="J333" s="933"/>
      <c r="K333" s="933"/>
      <c r="L333" s="933"/>
      <c r="M333" s="933"/>
      <c r="N333" s="933"/>
      <c r="O333" s="933"/>
      <c r="P333" s="933"/>
      <c r="Q333" s="933"/>
      <c r="R333" s="933"/>
      <c r="S333" s="933"/>
      <c r="T333" s="933"/>
      <c r="U333" s="933"/>
      <c r="V333" s="933"/>
      <c r="W333" s="933"/>
      <c r="X333" s="933"/>
      <c r="Y333" s="933"/>
      <c r="Z333" s="933"/>
      <c r="AA333" s="933"/>
      <c r="AB333" s="933"/>
      <c r="AC333" s="933"/>
      <c r="AD333" s="933"/>
      <c r="AE333" s="933"/>
    </row>
    <row r="334" spans="1:31" ht="12.75">
      <c r="A334" s="933"/>
      <c r="B334" s="933"/>
      <c r="C334" s="933"/>
      <c r="D334" s="933"/>
      <c r="E334" s="933"/>
      <c r="F334" s="933"/>
      <c r="G334" s="933"/>
      <c r="H334" s="933"/>
      <c r="I334" s="933"/>
      <c r="J334" s="933"/>
      <c r="K334" s="933"/>
      <c r="L334" s="933"/>
      <c r="M334" s="933"/>
      <c r="N334" s="933"/>
      <c r="O334" s="933"/>
      <c r="P334" s="933"/>
      <c r="Q334" s="933"/>
      <c r="R334" s="933"/>
      <c r="S334" s="933"/>
      <c r="T334" s="933"/>
      <c r="U334" s="933"/>
      <c r="V334" s="933"/>
      <c r="W334" s="933"/>
      <c r="X334" s="933"/>
      <c r="Y334" s="933"/>
      <c r="Z334" s="933"/>
      <c r="AA334" s="933"/>
      <c r="AB334" s="933"/>
      <c r="AC334" s="933"/>
      <c r="AD334" s="933"/>
      <c r="AE334" s="933"/>
    </row>
    <row r="335" spans="1:31" ht="12.75">
      <c r="A335" s="933"/>
      <c r="B335" s="933"/>
      <c r="C335" s="933"/>
      <c r="D335" s="933"/>
      <c r="E335" s="933"/>
      <c r="F335" s="933"/>
      <c r="G335" s="933"/>
      <c r="H335" s="933"/>
      <c r="I335" s="933"/>
      <c r="J335" s="933"/>
      <c r="K335" s="933"/>
      <c r="L335" s="933"/>
      <c r="M335" s="933"/>
      <c r="N335" s="933"/>
      <c r="O335" s="933"/>
      <c r="P335" s="933"/>
      <c r="Q335" s="933"/>
      <c r="R335" s="933"/>
      <c r="S335" s="933"/>
      <c r="T335" s="933"/>
      <c r="U335" s="933"/>
      <c r="V335" s="933"/>
      <c r="W335" s="933"/>
      <c r="X335" s="933"/>
      <c r="Y335" s="933"/>
      <c r="Z335" s="933"/>
      <c r="AA335" s="933"/>
      <c r="AB335" s="933"/>
      <c r="AC335" s="933"/>
      <c r="AD335" s="933"/>
      <c r="AE335" s="933"/>
    </row>
    <row r="336" spans="1:31" ht="12.75">
      <c r="A336" s="933"/>
      <c r="B336" s="933"/>
      <c r="C336" s="933"/>
      <c r="D336" s="933"/>
      <c r="E336" s="933"/>
      <c r="F336" s="933"/>
      <c r="G336" s="933"/>
      <c r="H336" s="933"/>
      <c r="I336" s="933"/>
      <c r="J336" s="933"/>
      <c r="K336" s="933"/>
      <c r="L336" s="933"/>
      <c r="M336" s="933"/>
      <c r="N336" s="933"/>
      <c r="O336" s="933"/>
      <c r="P336" s="933"/>
      <c r="Q336" s="933"/>
      <c r="R336" s="933"/>
      <c r="S336" s="933"/>
      <c r="T336" s="933"/>
      <c r="U336" s="933"/>
      <c r="V336" s="933"/>
      <c r="W336" s="933"/>
      <c r="X336" s="933"/>
      <c r="Y336" s="933"/>
      <c r="Z336" s="933"/>
      <c r="AA336" s="933"/>
      <c r="AB336" s="933"/>
      <c r="AC336" s="933"/>
      <c r="AD336" s="933"/>
      <c r="AE336" s="933"/>
    </row>
    <row r="337" spans="1:31" ht="12.75">
      <c r="A337" s="933"/>
      <c r="B337" s="933"/>
      <c r="C337" s="933"/>
      <c r="D337" s="933"/>
      <c r="E337" s="933"/>
      <c r="F337" s="933"/>
      <c r="G337" s="933"/>
      <c r="H337" s="933"/>
      <c r="I337" s="933"/>
      <c r="J337" s="933"/>
      <c r="K337" s="933"/>
      <c r="L337" s="933"/>
      <c r="M337" s="933"/>
      <c r="N337" s="933"/>
      <c r="O337" s="933"/>
      <c r="P337" s="933"/>
      <c r="Q337" s="933"/>
      <c r="R337" s="933"/>
      <c r="S337" s="933"/>
      <c r="T337" s="933"/>
      <c r="U337" s="933"/>
      <c r="V337" s="933"/>
      <c r="W337" s="933"/>
      <c r="X337" s="933"/>
      <c r="Y337" s="933"/>
      <c r="Z337" s="933"/>
      <c r="AA337" s="933"/>
      <c r="AB337" s="933"/>
      <c r="AC337" s="933"/>
      <c r="AD337" s="933"/>
      <c r="AE337" s="933"/>
    </row>
    <row r="338" spans="1:31" ht="12.75">
      <c r="A338" s="933"/>
      <c r="B338" s="933"/>
      <c r="C338" s="933"/>
      <c r="D338" s="933"/>
      <c r="E338" s="933"/>
      <c r="F338" s="933"/>
      <c r="G338" s="933"/>
      <c r="H338" s="933"/>
      <c r="I338" s="933"/>
      <c r="J338" s="933"/>
      <c r="K338" s="933"/>
      <c r="L338" s="933"/>
      <c r="M338" s="933"/>
      <c r="N338" s="933"/>
      <c r="O338" s="933"/>
      <c r="P338" s="933"/>
      <c r="Q338" s="933"/>
      <c r="R338" s="933"/>
      <c r="S338" s="933"/>
      <c r="T338" s="933"/>
      <c r="U338" s="933"/>
      <c r="V338" s="933"/>
      <c r="W338" s="933"/>
      <c r="X338" s="933"/>
      <c r="Y338" s="933"/>
      <c r="Z338" s="933"/>
      <c r="AA338" s="933"/>
      <c r="AB338" s="933"/>
      <c r="AC338" s="933"/>
      <c r="AD338" s="933"/>
      <c r="AE338" s="933"/>
    </row>
    <row r="339" spans="1:31" ht="12.75">
      <c r="A339" s="933"/>
      <c r="B339" s="933"/>
      <c r="C339" s="933"/>
      <c r="D339" s="933"/>
      <c r="E339" s="933"/>
      <c r="F339" s="933"/>
      <c r="G339" s="933"/>
      <c r="H339" s="933"/>
      <c r="I339" s="933"/>
      <c r="J339" s="933"/>
      <c r="K339" s="933"/>
      <c r="L339" s="933"/>
      <c r="M339" s="933"/>
      <c r="N339" s="933"/>
      <c r="O339" s="933"/>
      <c r="P339" s="933"/>
      <c r="Q339" s="933"/>
      <c r="R339" s="933"/>
      <c r="S339" s="933"/>
      <c r="T339" s="933"/>
      <c r="U339" s="933"/>
      <c r="V339" s="933"/>
      <c r="W339" s="933"/>
      <c r="X339" s="933"/>
      <c r="Y339" s="933"/>
      <c r="Z339" s="933"/>
      <c r="AA339" s="933"/>
      <c r="AB339" s="933"/>
      <c r="AC339" s="933"/>
      <c r="AD339" s="933"/>
      <c r="AE339" s="933"/>
    </row>
    <row r="340" spans="1:31" ht="12.75">
      <c r="A340" s="933"/>
      <c r="B340" s="933"/>
      <c r="C340" s="933"/>
      <c r="D340" s="933"/>
      <c r="E340" s="933"/>
      <c r="F340" s="933"/>
      <c r="G340" s="933"/>
      <c r="H340" s="933"/>
      <c r="I340" s="933"/>
      <c r="J340" s="933"/>
      <c r="K340" s="933"/>
      <c r="L340" s="933"/>
      <c r="M340" s="933"/>
      <c r="N340" s="933"/>
      <c r="O340" s="933"/>
      <c r="P340" s="933"/>
      <c r="Q340" s="933"/>
      <c r="R340" s="933"/>
      <c r="S340" s="933"/>
      <c r="T340" s="933"/>
      <c r="U340" s="933"/>
      <c r="V340" s="933"/>
      <c r="W340" s="933"/>
      <c r="X340" s="933"/>
      <c r="Y340" s="933"/>
      <c r="Z340" s="933"/>
      <c r="AA340" s="933"/>
      <c r="AB340" s="933"/>
      <c r="AC340" s="933"/>
      <c r="AD340" s="933"/>
      <c r="AE340" s="933"/>
    </row>
    <row r="341" spans="1:31" ht="12.75">
      <c r="A341" s="933"/>
      <c r="B341" s="933"/>
      <c r="C341" s="933"/>
      <c r="D341" s="933"/>
      <c r="E341" s="933"/>
      <c r="F341" s="933"/>
      <c r="G341" s="933"/>
      <c r="H341" s="933"/>
      <c r="I341" s="933"/>
      <c r="J341" s="933"/>
      <c r="K341" s="933"/>
      <c r="L341" s="933"/>
      <c r="M341" s="933"/>
      <c r="N341" s="933"/>
      <c r="O341" s="933"/>
      <c r="P341" s="933"/>
      <c r="Q341" s="933"/>
      <c r="R341" s="933"/>
      <c r="S341" s="933"/>
      <c r="T341" s="933"/>
      <c r="U341" s="933"/>
      <c r="V341" s="933"/>
      <c r="W341" s="933"/>
      <c r="X341" s="933"/>
      <c r="Y341" s="933"/>
      <c r="Z341" s="933"/>
      <c r="AA341" s="933"/>
      <c r="AB341" s="933"/>
      <c r="AC341" s="933"/>
      <c r="AD341" s="933"/>
      <c r="AE341" s="933"/>
    </row>
    <row r="342" spans="1:31" ht="12.75">
      <c r="A342" s="933"/>
      <c r="B342" s="933"/>
      <c r="C342" s="933"/>
      <c r="D342" s="933"/>
      <c r="E342" s="933"/>
      <c r="F342" s="933"/>
      <c r="G342" s="933"/>
      <c r="H342" s="933"/>
      <c r="I342" s="933"/>
      <c r="J342" s="933"/>
      <c r="K342" s="933"/>
      <c r="L342" s="933"/>
      <c r="M342" s="933"/>
      <c r="N342" s="933"/>
      <c r="O342" s="933"/>
      <c r="P342" s="933"/>
      <c r="Q342" s="933"/>
      <c r="R342" s="933"/>
      <c r="S342" s="933"/>
      <c r="T342" s="933"/>
      <c r="U342" s="933"/>
      <c r="V342" s="933"/>
      <c r="W342" s="933"/>
      <c r="X342" s="933"/>
      <c r="Y342" s="933"/>
      <c r="Z342" s="933"/>
      <c r="AA342" s="933"/>
      <c r="AB342" s="933"/>
      <c r="AC342" s="933"/>
      <c r="AD342" s="933"/>
      <c r="AE342" s="933"/>
    </row>
    <row r="343" spans="1:31" ht="12.75">
      <c r="A343" s="933"/>
      <c r="B343" s="933"/>
      <c r="C343" s="933"/>
      <c r="D343" s="933"/>
      <c r="E343" s="933"/>
      <c r="F343" s="933"/>
      <c r="G343" s="933"/>
      <c r="H343" s="933"/>
      <c r="I343" s="933"/>
      <c r="J343" s="933"/>
      <c r="K343" s="933"/>
      <c r="L343" s="933"/>
      <c r="M343" s="933"/>
      <c r="N343" s="933"/>
      <c r="O343" s="933"/>
      <c r="P343" s="933"/>
      <c r="Q343" s="933"/>
      <c r="R343" s="933"/>
      <c r="S343" s="933"/>
      <c r="T343" s="933"/>
      <c r="U343" s="933"/>
      <c r="V343" s="933"/>
      <c r="W343" s="933"/>
      <c r="X343" s="933"/>
      <c r="Y343" s="933"/>
      <c r="Z343" s="933"/>
      <c r="AA343" s="933"/>
      <c r="AB343" s="933"/>
      <c r="AC343" s="933"/>
      <c r="AD343" s="933"/>
      <c r="AE343" s="933"/>
    </row>
    <row r="344" spans="1:31" ht="12.75">
      <c r="A344" s="933"/>
      <c r="B344" s="933"/>
      <c r="C344" s="933"/>
      <c r="D344" s="933"/>
      <c r="E344" s="933"/>
      <c r="F344" s="933"/>
      <c r="G344" s="933"/>
      <c r="H344" s="933"/>
      <c r="I344" s="933"/>
      <c r="J344" s="933"/>
      <c r="K344" s="933"/>
      <c r="L344" s="933"/>
      <c r="M344" s="933"/>
      <c r="N344" s="933"/>
      <c r="O344" s="933"/>
      <c r="P344" s="933"/>
      <c r="Q344" s="933"/>
      <c r="R344" s="933"/>
      <c r="S344" s="933"/>
      <c r="T344" s="933"/>
      <c r="U344" s="933"/>
      <c r="V344" s="933"/>
      <c r="W344" s="933"/>
      <c r="X344" s="933"/>
      <c r="Y344" s="933"/>
      <c r="Z344" s="933"/>
      <c r="AA344" s="933"/>
      <c r="AB344" s="933"/>
      <c r="AC344" s="933"/>
      <c r="AD344" s="933"/>
      <c r="AE344" s="933"/>
    </row>
    <row r="345" spans="1:31" ht="12.75">
      <c r="A345" s="933"/>
      <c r="B345" s="933"/>
      <c r="C345" s="933"/>
      <c r="D345" s="933"/>
      <c r="E345" s="933"/>
      <c r="F345" s="933"/>
      <c r="G345" s="933"/>
      <c r="H345" s="933"/>
      <c r="I345" s="933"/>
      <c r="J345" s="933"/>
      <c r="K345" s="933"/>
      <c r="L345" s="933"/>
      <c r="M345" s="933"/>
      <c r="N345" s="933"/>
      <c r="O345" s="933"/>
      <c r="P345" s="933"/>
      <c r="Q345" s="933"/>
      <c r="R345" s="933"/>
      <c r="S345" s="933"/>
      <c r="T345" s="933"/>
      <c r="U345" s="933"/>
      <c r="V345" s="933"/>
      <c r="W345" s="933"/>
      <c r="X345" s="933"/>
      <c r="Y345" s="933"/>
      <c r="Z345" s="933"/>
      <c r="AA345" s="933"/>
      <c r="AB345" s="933"/>
      <c r="AC345" s="933"/>
      <c r="AD345" s="933"/>
      <c r="AE345" s="933"/>
    </row>
    <row r="346" spans="1:31" ht="12.75">
      <c r="A346" s="933"/>
      <c r="B346" s="933"/>
      <c r="C346" s="933"/>
      <c r="D346" s="933"/>
      <c r="E346" s="933"/>
      <c r="F346" s="933"/>
      <c r="G346" s="933"/>
      <c r="H346" s="933"/>
      <c r="I346" s="933"/>
      <c r="J346" s="933"/>
      <c r="K346" s="933"/>
      <c r="L346" s="933"/>
      <c r="M346" s="933"/>
      <c r="N346" s="933"/>
      <c r="O346" s="933"/>
      <c r="P346" s="933"/>
      <c r="Q346" s="933"/>
      <c r="R346" s="933"/>
      <c r="S346" s="933"/>
      <c r="T346" s="933"/>
      <c r="U346" s="933"/>
      <c r="V346" s="933"/>
      <c r="W346" s="933"/>
      <c r="X346" s="933"/>
      <c r="Y346" s="933"/>
      <c r="Z346" s="933"/>
      <c r="AA346" s="933"/>
      <c r="AB346" s="933"/>
      <c r="AC346" s="933"/>
      <c r="AD346" s="933"/>
      <c r="AE346" s="933"/>
    </row>
    <row r="347" spans="1:31" ht="12.75">
      <c r="A347" s="933"/>
      <c r="B347" s="933"/>
      <c r="C347" s="933"/>
      <c r="D347" s="933"/>
      <c r="E347" s="933"/>
      <c r="F347" s="933"/>
      <c r="G347" s="933"/>
      <c r="H347" s="933"/>
      <c r="I347" s="933"/>
      <c r="J347" s="933"/>
      <c r="K347" s="933"/>
      <c r="L347" s="933"/>
      <c r="M347" s="933"/>
      <c r="N347" s="933"/>
      <c r="O347" s="933"/>
      <c r="P347" s="933"/>
      <c r="Q347" s="933"/>
      <c r="R347" s="933"/>
      <c r="S347" s="933"/>
      <c r="T347" s="933"/>
      <c r="U347" s="933"/>
      <c r="V347" s="933"/>
      <c r="W347" s="933"/>
      <c r="X347" s="933"/>
      <c r="Y347" s="933"/>
      <c r="Z347" s="933"/>
      <c r="AA347" s="933"/>
      <c r="AB347" s="933"/>
      <c r="AC347" s="933"/>
      <c r="AD347" s="933"/>
      <c r="AE347" s="933"/>
    </row>
    <row r="348" spans="1:31" ht="12.75">
      <c r="A348" s="933"/>
      <c r="B348" s="933"/>
      <c r="C348" s="933"/>
      <c r="D348" s="933"/>
      <c r="E348" s="933"/>
      <c r="F348" s="933"/>
      <c r="G348" s="933"/>
      <c r="H348" s="933"/>
      <c r="I348" s="933"/>
      <c r="J348" s="933"/>
      <c r="K348" s="933"/>
      <c r="L348" s="933"/>
      <c r="M348" s="933"/>
      <c r="N348" s="933"/>
      <c r="O348" s="933"/>
      <c r="P348" s="933"/>
      <c r="Q348" s="933"/>
      <c r="R348" s="933"/>
      <c r="S348" s="933"/>
      <c r="T348" s="933"/>
      <c r="U348" s="933"/>
      <c r="V348" s="933"/>
      <c r="W348" s="933"/>
      <c r="X348" s="933"/>
      <c r="Y348" s="933"/>
      <c r="Z348" s="933"/>
      <c r="AA348" s="933"/>
      <c r="AB348" s="933"/>
      <c r="AC348" s="933"/>
      <c r="AD348" s="933"/>
      <c r="AE348" s="933"/>
    </row>
    <row r="349" spans="1:31" ht="12.75">
      <c r="A349" s="933"/>
      <c r="B349" s="933"/>
      <c r="C349" s="933"/>
      <c r="D349" s="933"/>
      <c r="E349" s="933"/>
      <c r="F349" s="933"/>
      <c r="G349" s="933"/>
      <c r="H349" s="933"/>
      <c r="I349" s="933"/>
      <c r="J349" s="933"/>
      <c r="K349" s="933"/>
      <c r="L349" s="933"/>
      <c r="M349" s="933"/>
      <c r="N349" s="933"/>
      <c r="O349" s="933"/>
      <c r="P349" s="933"/>
      <c r="Q349" s="933"/>
      <c r="R349" s="933"/>
      <c r="S349" s="933"/>
      <c r="T349" s="933"/>
      <c r="U349" s="933"/>
      <c r="V349" s="933"/>
      <c r="W349" s="933"/>
      <c r="X349" s="933"/>
      <c r="Y349" s="933"/>
      <c r="Z349" s="933"/>
      <c r="AA349" s="933"/>
      <c r="AB349" s="933"/>
      <c r="AC349" s="933"/>
      <c r="AD349" s="933"/>
      <c r="AE349" s="933"/>
    </row>
    <row r="350" spans="1:31" ht="12.75">
      <c r="A350" s="933"/>
      <c r="B350" s="933"/>
      <c r="C350" s="933"/>
      <c r="D350" s="933"/>
      <c r="E350" s="933"/>
      <c r="F350" s="933"/>
      <c r="G350" s="933"/>
      <c r="H350" s="933"/>
      <c r="I350" s="933"/>
      <c r="J350" s="933"/>
      <c r="K350" s="933"/>
      <c r="L350" s="933"/>
      <c r="M350" s="933"/>
      <c r="N350" s="933"/>
      <c r="O350" s="933"/>
      <c r="P350" s="933"/>
      <c r="Q350" s="933"/>
      <c r="R350" s="933"/>
      <c r="S350" s="933"/>
      <c r="T350" s="933"/>
      <c r="U350" s="933"/>
      <c r="V350" s="933"/>
      <c r="W350" s="933"/>
      <c r="X350" s="933"/>
      <c r="Y350" s="933"/>
      <c r="Z350" s="933"/>
      <c r="AA350" s="933"/>
      <c r="AB350" s="933"/>
      <c r="AC350" s="933"/>
      <c r="AD350" s="933"/>
      <c r="AE350" s="933"/>
    </row>
    <row r="351" spans="1:31" ht="12.75">
      <c r="A351" s="933"/>
      <c r="B351" s="933"/>
      <c r="C351" s="933"/>
      <c r="D351" s="933"/>
      <c r="E351" s="933"/>
      <c r="F351" s="933"/>
      <c r="G351" s="933"/>
      <c r="H351" s="933"/>
      <c r="I351" s="933"/>
      <c r="J351" s="933"/>
      <c r="K351" s="933"/>
      <c r="L351" s="933"/>
      <c r="M351" s="933"/>
      <c r="N351" s="933"/>
      <c r="O351" s="933"/>
      <c r="P351" s="933"/>
      <c r="Q351" s="933"/>
      <c r="R351" s="933"/>
      <c r="S351" s="933"/>
      <c r="T351" s="933"/>
      <c r="U351" s="933"/>
      <c r="V351" s="933"/>
      <c r="W351" s="933"/>
      <c r="X351" s="933"/>
      <c r="Y351" s="933"/>
      <c r="Z351" s="933"/>
      <c r="AA351" s="933"/>
      <c r="AB351" s="933"/>
      <c r="AC351" s="933"/>
      <c r="AD351" s="933"/>
      <c r="AE351" s="933"/>
    </row>
    <row r="352" spans="1:31" ht="12.75">
      <c r="A352" s="933"/>
      <c r="B352" s="933"/>
      <c r="C352" s="933"/>
      <c r="D352" s="933"/>
      <c r="E352" s="933"/>
      <c r="F352" s="933"/>
      <c r="G352" s="933"/>
      <c r="H352" s="933"/>
      <c r="I352" s="933"/>
      <c r="J352" s="933"/>
      <c r="K352" s="933"/>
      <c r="L352" s="933"/>
      <c r="M352" s="933"/>
      <c r="N352" s="933"/>
      <c r="O352" s="933"/>
      <c r="P352" s="933"/>
      <c r="Q352" s="933"/>
      <c r="R352" s="933"/>
      <c r="S352" s="933"/>
      <c r="T352" s="933"/>
      <c r="U352" s="933"/>
      <c r="V352" s="933"/>
      <c r="W352" s="933"/>
      <c r="X352" s="933"/>
      <c r="Y352" s="933"/>
      <c r="Z352" s="933"/>
      <c r="AA352" s="933"/>
      <c r="AB352" s="933"/>
      <c r="AC352" s="933"/>
      <c r="AD352" s="933"/>
      <c r="AE352" s="933"/>
    </row>
    <row r="353" spans="1:31" ht="12.75">
      <c r="A353" s="933"/>
      <c r="B353" s="933"/>
      <c r="C353" s="933"/>
      <c r="D353" s="933"/>
      <c r="E353" s="933"/>
      <c r="F353" s="933"/>
      <c r="G353" s="933"/>
      <c r="H353" s="933"/>
      <c r="I353" s="933"/>
      <c r="J353" s="933"/>
      <c r="K353" s="933"/>
      <c r="L353" s="933"/>
      <c r="M353" s="933"/>
      <c r="N353" s="933"/>
      <c r="O353" s="933"/>
      <c r="P353" s="933"/>
      <c r="Q353" s="933"/>
      <c r="R353" s="933"/>
      <c r="S353" s="933"/>
      <c r="T353" s="933"/>
      <c r="U353" s="933"/>
      <c r="V353" s="933"/>
      <c r="W353" s="933"/>
      <c r="X353" s="933"/>
      <c r="Y353" s="933"/>
      <c r="Z353" s="933"/>
      <c r="AA353" s="933"/>
      <c r="AB353" s="933"/>
      <c r="AC353" s="933"/>
      <c r="AD353" s="933"/>
      <c r="AE353" s="933"/>
    </row>
    <row r="354" spans="1:31" ht="12.75">
      <c r="A354" s="933"/>
      <c r="B354" s="933"/>
      <c r="C354" s="933"/>
      <c r="D354" s="933"/>
      <c r="E354" s="933"/>
      <c r="F354" s="933"/>
      <c r="G354" s="933"/>
      <c r="H354" s="933"/>
      <c r="I354" s="933"/>
      <c r="J354" s="933"/>
      <c r="K354" s="933"/>
      <c r="L354" s="933"/>
      <c r="M354" s="933"/>
      <c r="N354" s="933"/>
      <c r="O354" s="933"/>
      <c r="P354" s="933"/>
      <c r="Q354" s="933"/>
      <c r="R354" s="933"/>
      <c r="S354" s="933"/>
      <c r="T354" s="933"/>
      <c r="U354" s="933"/>
      <c r="V354" s="933"/>
      <c r="W354" s="933"/>
      <c r="X354" s="933"/>
      <c r="Y354" s="933"/>
      <c r="Z354" s="933"/>
      <c r="AA354" s="933"/>
      <c r="AB354" s="933"/>
      <c r="AC354" s="933"/>
      <c r="AD354" s="933"/>
      <c r="AE354" s="933"/>
    </row>
    <row r="355" spans="1:31" ht="12.75">
      <c r="A355" s="933"/>
      <c r="B355" s="933"/>
      <c r="C355" s="933"/>
      <c r="D355" s="933"/>
      <c r="E355" s="933"/>
      <c r="F355" s="933"/>
      <c r="G355" s="933"/>
      <c r="H355" s="933"/>
      <c r="I355" s="933"/>
      <c r="J355" s="933"/>
      <c r="K355" s="933"/>
      <c r="L355" s="933"/>
      <c r="M355" s="933"/>
      <c r="N355" s="933"/>
      <c r="O355" s="933"/>
      <c r="P355" s="933"/>
      <c r="Q355" s="933"/>
      <c r="R355" s="933"/>
      <c r="S355" s="933"/>
      <c r="T355" s="933"/>
      <c r="U355" s="933"/>
      <c r="V355" s="933"/>
      <c r="W355" s="933"/>
      <c r="X355" s="933"/>
      <c r="Y355" s="933"/>
      <c r="Z355" s="933"/>
      <c r="AA355" s="933"/>
      <c r="AB355" s="933"/>
      <c r="AC355" s="933"/>
      <c r="AD355" s="933"/>
      <c r="AE355" s="933"/>
    </row>
    <row r="356" spans="1:31" ht="12.75">
      <c r="A356" s="933"/>
      <c r="B356" s="933"/>
      <c r="C356" s="933"/>
      <c r="D356" s="933"/>
      <c r="E356" s="933"/>
      <c r="F356" s="933"/>
      <c r="G356" s="933"/>
      <c r="H356" s="933"/>
      <c r="I356" s="933"/>
      <c r="J356" s="933"/>
      <c r="K356" s="933"/>
      <c r="L356" s="933"/>
      <c r="M356" s="933"/>
      <c r="N356" s="933"/>
      <c r="O356" s="933"/>
      <c r="P356" s="933"/>
      <c r="Q356" s="933"/>
      <c r="R356" s="933"/>
      <c r="S356" s="933"/>
      <c r="T356" s="933"/>
      <c r="U356" s="933"/>
      <c r="V356" s="933"/>
      <c r="W356" s="933"/>
      <c r="X356" s="933"/>
      <c r="Y356" s="933"/>
      <c r="Z356" s="933"/>
      <c r="AA356" s="933"/>
      <c r="AB356" s="933"/>
      <c r="AC356" s="933"/>
      <c r="AD356" s="933"/>
      <c r="AE356" s="933"/>
    </row>
    <row r="357" spans="1:31" ht="12.75">
      <c r="A357" s="933"/>
      <c r="B357" s="933"/>
      <c r="C357" s="933"/>
      <c r="D357" s="933"/>
      <c r="E357" s="933"/>
      <c r="F357" s="933"/>
      <c r="G357" s="933"/>
      <c r="H357" s="933"/>
      <c r="I357" s="933"/>
      <c r="J357" s="933"/>
      <c r="K357" s="933"/>
      <c r="L357" s="933"/>
      <c r="M357" s="933"/>
      <c r="N357" s="933"/>
      <c r="O357" s="933"/>
      <c r="P357" s="933"/>
      <c r="Q357" s="933"/>
      <c r="R357" s="933"/>
      <c r="S357" s="933"/>
      <c r="T357" s="933"/>
      <c r="U357" s="933"/>
      <c r="V357" s="933"/>
      <c r="W357" s="933"/>
      <c r="X357" s="933"/>
      <c r="Y357" s="933"/>
      <c r="Z357" s="933"/>
      <c r="AA357" s="933"/>
      <c r="AB357" s="933"/>
      <c r="AC357" s="933"/>
      <c r="AD357" s="933"/>
      <c r="AE357" s="933"/>
    </row>
    <row r="358" spans="1:31" ht="12.75">
      <c r="A358" s="933"/>
      <c r="B358" s="933"/>
      <c r="C358" s="933"/>
      <c r="D358" s="933"/>
      <c r="E358" s="933"/>
      <c r="F358" s="933"/>
      <c r="G358" s="933"/>
      <c r="H358" s="933"/>
      <c r="I358" s="933"/>
      <c r="J358" s="933"/>
      <c r="K358" s="933"/>
      <c r="L358" s="933"/>
      <c r="M358" s="933"/>
      <c r="N358" s="933"/>
      <c r="O358" s="933"/>
      <c r="P358" s="933"/>
      <c r="Q358" s="933"/>
      <c r="R358" s="933"/>
      <c r="S358" s="933"/>
      <c r="T358" s="933"/>
      <c r="U358" s="933"/>
      <c r="V358" s="933"/>
      <c r="W358" s="933"/>
      <c r="X358" s="933"/>
      <c r="Y358" s="933"/>
      <c r="Z358" s="933"/>
      <c r="AA358" s="933"/>
      <c r="AB358" s="933"/>
      <c r="AC358" s="933"/>
      <c r="AD358" s="933"/>
      <c r="AE358" s="933"/>
    </row>
    <row r="359" spans="1:31" ht="12.75">
      <c r="A359" s="933"/>
      <c r="B359" s="933"/>
      <c r="C359" s="933"/>
      <c r="D359" s="933"/>
      <c r="E359" s="933"/>
      <c r="F359" s="933"/>
      <c r="G359" s="933"/>
      <c r="H359" s="933"/>
      <c r="I359" s="933"/>
      <c r="J359" s="933"/>
      <c r="K359" s="933"/>
      <c r="L359" s="933"/>
      <c r="M359" s="933"/>
      <c r="N359" s="933"/>
      <c r="O359" s="933"/>
      <c r="P359" s="933"/>
      <c r="Q359" s="933"/>
      <c r="R359" s="933"/>
      <c r="S359" s="933"/>
      <c r="T359" s="933"/>
      <c r="U359" s="933"/>
      <c r="V359" s="933"/>
      <c r="W359" s="933"/>
      <c r="X359" s="933"/>
      <c r="Y359" s="933"/>
      <c r="Z359" s="933"/>
      <c r="AA359" s="933"/>
      <c r="AB359" s="933"/>
      <c r="AC359" s="933"/>
      <c r="AD359" s="933"/>
      <c r="AE359" s="933"/>
    </row>
    <row r="360" spans="1:31" ht="12.75">
      <c r="A360" s="933"/>
      <c r="B360" s="933"/>
      <c r="C360" s="933"/>
      <c r="D360" s="933"/>
      <c r="E360" s="933"/>
      <c r="F360" s="933"/>
      <c r="G360" s="933"/>
      <c r="H360" s="933"/>
      <c r="I360" s="933"/>
      <c r="J360" s="933"/>
      <c r="K360" s="933"/>
      <c r="L360" s="933"/>
      <c r="M360" s="933"/>
      <c r="N360" s="933"/>
      <c r="O360" s="933"/>
      <c r="P360" s="933"/>
      <c r="Q360" s="933"/>
      <c r="R360" s="933"/>
      <c r="S360" s="933"/>
      <c r="T360" s="933"/>
      <c r="U360" s="933"/>
      <c r="V360" s="933"/>
      <c r="W360" s="933"/>
      <c r="X360" s="933"/>
      <c r="Y360" s="933"/>
      <c r="Z360" s="933"/>
      <c r="AA360" s="933"/>
      <c r="AB360" s="933"/>
      <c r="AC360" s="933"/>
      <c r="AD360" s="933"/>
      <c r="AE360" s="933"/>
    </row>
    <row r="361" spans="1:31" ht="12.75">
      <c r="A361" s="933"/>
      <c r="B361" s="933"/>
      <c r="C361" s="933"/>
      <c r="D361" s="933"/>
      <c r="E361" s="933"/>
      <c r="F361" s="933"/>
      <c r="G361" s="933"/>
      <c r="H361" s="933"/>
      <c r="I361" s="933"/>
      <c r="J361" s="933"/>
      <c r="K361" s="933"/>
      <c r="L361" s="933"/>
      <c r="M361" s="933"/>
      <c r="N361" s="933"/>
      <c r="O361" s="933"/>
      <c r="P361" s="933"/>
      <c r="Q361" s="933"/>
      <c r="R361" s="933"/>
      <c r="S361" s="933"/>
      <c r="T361" s="933"/>
      <c r="U361" s="933"/>
      <c r="V361" s="933"/>
      <c r="W361" s="933"/>
      <c r="X361" s="933"/>
      <c r="Y361" s="933"/>
      <c r="Z361" s="933"/>
      <c r="AA361" s="933"/>
      <c r="AB361" s="933"/>
      <c r="AC361" s="933"/>
      <c r="AD361" s="933"/>
      <c r="AE361" s="933"/>
    </row>
    <row r="362" spans="1:31" ht="12.75">
      <c r="A362" s="933"/>
      <c r="B362" s="933"/>
      <c r="C362" s="933"/>
      <c r="D362" s="933"/>
      <c r="E362" s="933"/>
      <c r="F362" s="933"/>
      <c r="G362" s="933"/>
      <c r="H362" s="933"/>
      <c r="I362" s="933"/>
      <c r="J362" s="933"/>
      <c r="K362" s="933"/>
      <c r="L362" s="933"/>
      <c r="M362" s="933"/>
      <c r="N362" s="933"/>
      <c r="O362" s="933"/>
      <c r="P362" s="933"/>
      <c r="Q362" s="933"/>
      <c r="R362" s="933"/>
      <c r="S362" s="933"/>
      <c r="T362" s="933"/>
      <c r="U362" s="933"/>
      <c r="V362" s="933"/>
      <c r="W362" s="933"/>
      <c r="X362" s="933"/>
      <c r="Y362" s="933"/>
      <c r="Z362" s="933"/>
      <c r="AA362" s="933"/>
      <c r="AB362" s="933"/>
      <c r="AC362" s="933"/>
      <c r="AD362" s="933"/>
      <c r="AE362" s="933"/>
    </row>
    <row r="363" spans="1:31" ht="12.75">
      <c r="A363" s="933"/>
      <c r="B363" s="933"/>
      <c r="C363" s="933"/>
      <c r="D363" s="933"/>
      <c r="E363" s="933"/>
      <c r="F363" s="933"/>
      <c r="G363" s="933"/>
      <c r="H363" s="933"/>
      <c r="I363" s="933"/>
      <c r="J363" s="933"/>
      <c r="K363" s="933"/>
      <c r="L363" s="933"/>
      <c r="M363" s="933"/>
      <c r="N363" s="933"/>
      <c r="O363" s="933"/>
      <c r="P363" s="933"/>
      <c r="Q363" s="933"/>
      <c r="R363" s="933"/>
      <c r="S363" s="933"/>
      <c r="T363" s="933"/>
      <c r="U363" s="933"/>
      <c r="V363" s="933"/>
      <c r="W363" s="933"/>
      <c r="X363" s="933"/>
      <c r="Y363" s="933"/>
      <c r="Z363" s="933"/>
      <c r="AA363" s="933"/>
      <c r="AB363" s="933"/>
      <c r="AC363" s="933"/>
      <c r="AD363" s="933"/>
      <c r="AE363" s="933"/>
    </row>
    <row r="364" spans="1:31" ht="12.75">
      <c r="A364" s="933"/>
      <c r="B364" s="933"/>
      <c r="C364" s="933"/>
      <c r="D364" s="933"/>
      <c r="E364" s="933"/>
      <c r="F364" s="933"/>
      <c r="G364" s="933"/>
      <c r="H364" s="933"/>
      <c r="I364" s="933"/>
      <c r="J364" s="933"/>
      <c r="K364" s="933"/>
      <c r="L364" s="933"/>
      <c r="M364" s="933"/>
      <c r="N364" s="933"/>
      <c r="O364" s="933"/>
      <c r="P364" s="933"/>
      <c r="Q364" s="933"/>
      <c r="R364" s="933"/>
      <c r="S364" s="933"/>
      <c r="T364" s="933"/>
      <c r="U364" s="933"/>
      <c r="V364" s="933"/>
      <c r="W364" s="933"/>
      <c r="X364" s="933"/>
      <c r="Y364" s="933"/>
      <c r="Z364" s="933"/>
      <c r="AA364" s="933"/>
      <c r="AB364" s="933"/>
      <c r="AC364" s="933"/>
      <c r="AD364" s="933"/>
      <c r="AE364" s="933"/>
    </row>
    <row r="365" spans="1:31" ht="12.75">
      <c r="A365" s="933"/>
      <c r="B365" s="933"/>
      <c r="C365" s="933"/>
      <c r="D365" s="933"/>
      <c r="E365" s="933"/>
      <c r="F365" s="933"/>
      <c r="G365" s="933"/>
      <c r="H365" s="933"/>
      <c r="I365" s="933"/>
      <c r="J365" s="933"/>
      <c r="K365" s="933"/>
      <c r="L365" s="933"/>
      <c r="M365" s="933"/>
      <c r="N365" s="933"/>
      <c r="O365" s="933"/>
      <c r="P365" s="933"/>
      <c r="Q365" s="933"/>
      <c r="R365" s="933"/>
      <c r="S365" s="933"/>
      <c r="T365" s="933"/>
      <c r="U365" s="933"/>
      <c r="V365" s="933"/>
      <c r="W365" s="933"/>
      <c r="X365" s="933"/>
      <c r="Y365" s="933"/>
      <c r="Z365" s="933"/>
      <c r="AA365" s="933"/>
      <c r="AB365" s="933"/>
      <c r="AC365" s="933"/>
      <c r="AD365" s="933"/>
      <c r="AE365" s="933"/>
    </row>
    <row r="366" spans="1:31" ht="12.75">
      <c r="A366" s="933"/>
      <c r="B366" s="933"/>
      <c r="C366" s="933"/>
      <c r="D366" s="933"/>
      <c r="E366" s="933"/>
      <c r="F366" s="933"/>
      <c r="G366" s="933"/>
      <c r="H366" s="933"/>
      <c r="I366" s="933"/>
      <c r="J366" s="933"/>
      <c r="K366" s="933"/>
      <c r="L366" s="933"/>
      <c r="M366" s="933"/>
      <c r="N366" s="933"/>
      <c r="O366" s="933"/>
      <c r="P366" s="933"/>
      <c r="Q366" s="933"/>
      <c r="R366" s="933"/>
      <c r="S366" s="933"/>
      <c r="T366" s="933"/>
      <c r="U366" s="933"/>
      <c r="V366" s="933"/>
      <c r="W366" s="933"/>
      <c r="X366" s="933"/>
      <c r="Y366" s="933"/>
      <c r="Z366" s="933"/>
      <c r="AA366" s="933"/>
      <c r="AB366" s="933"/>
      <c r="AC366" s="933"/>
      <c r="AD366" s="933"/>
      <c r="AE366" s="933"/>
    </row>
    <row r="367" spans="1:31" ht="12.75">
      <c r="A367" s="933"/>
      <c r="B367" s="933"/>
      <c r="C367" s="933"/>
      <c r="D367" s="933"/>
      <c r="E367" s="933"/>
      <c r="F367" s="933"/>
      <c r="G367" s="933"/>
      <c r="H367" s="933"/>
      <c r="I367" s="933"/>
      <c r="J367" s="933"/>
      <c r="K367" s="933"/>
      <c r="L367" s="933"/>
      <c r="M367" s="933"/>
      <c r="N367" s="933"/>
      <c r="O367" s="933"/>
      <c r="P367" s="933"/>
      <c r="Q367" s="933"/>
      <c r="R367" s="933"/>
      <c r="S367" s="933"/>
      <c r="T367" s="933"/>
      <c r="U367" s="933"/>
      <c r="V367" s="933"/>
      <c r="W367" s="933"/>
      <c r="X367" s="933"/>
      <c r="Y367" s="933"/>
      <c r="Z367" s="933"/>
      <c r="AA367" s="933"/>
      <c r="AB367" s="933"/>
      <c r="AC367" s="933"/>
      <c r="AD367" s="933"/>
      <c r="AE367" s="933"/>
    </row>
    <row r="368" spans="1:31" ht="12.75">
      <c r="A368" s="933"/>
      <c r="B368" s="933"/>
      <c r="C368" s="933"/>
      <c r="D368" s="933"/>
      <c r="E368" s="933"/>
      <c r="F368" s="933"/>
      <c r="G368" s="933"/>
      <c r="H368" s="933"/>
      <c r="I368" s="933"/>
      <c r="J368" s="933"/>
      <c r="K368" s="933"/>
      <c r="L368" s="933"/>
      <c r="M368" s="933"/>
      <c r="N368" s="933"/>
      <c r="O368" s="933"/>
      <c r="P368" s="933"/>
      <c r="Q368" s="933"/>
      <c r="R368" s="933"/>
      <c r="S368" s="933"/>
      <c r="T368" s="933"/>
      <c r="U368" s="933"/>
      <c r="V368" s="933"/>
      <c r="W368" s="933"/>
      <c r="X368" s="933"/>
      <c r="Y368" s="933"/>
      <c r="Z368" s="933"/>
      <c r="AA368" s="933"/>
      <c r="AB368" s="933"/>
      <c r="AC368" s="933"/>
      <c r="AD368" s="933"/>
      <c r="AE368" s="933"/>
    </row>
    <row r="369" spans="1:31" ht="12.75">
      <c r="A369" s="933"/>
      <c r="B369" s="933"/>
      <c r="C369" s="933"/>
      <c r="D369" s="933"/>
      <c r="E369" s="933"/>
      <c r="F369" s="933"/>
      <c r="G369" s="933"/>
      <c r="H369" s="933"/>
      <c r="I369" s="933"/>
      <c r="J369" s="933"/>
      <c r="K369" s="933"/>
      <c r="L369" s="933"/>
      <c r="M369" s="933"/>
      <c r="N369" s="933"/>
      <c r="O369" s="933"/>
      <c r="P369" s="933"/>
      <c r="Q369" s="933"/>
      <c r="R369" s="933"/>
      <c r="S369" s="933"/>
      <c r="T369" s="933"/>
      <c r="U369" s="933"/>
      <c r="V369" s="933"/>
      <c r="W369" s="933"/>
      <c r="X369" s="933"/>
      <c r="Y369" s="933"/>
      <c r="Z369" s="933"/>
      <c r="AA369" s="933"/>
      <c r="AB369" s="933"/>
      <c r="AC369" s="933"/>
      <c r="AD369" s="933"/>
      <c r="AE369" s="933"/>
    </row>
    <row r="370" spans="1:31" ht="12.75">
      <c r="A370" s="933"/>
      <c r="B370" s="933"/>
      <c r="C370" s="933"/>
      <c r="D370" s="933"/>
      <c r="E370" s="933"/>
      <c r="F370" s="933"/>
      <c r="G370" s="933"/>
      <c r="H370" s="933"/>
      <c r="I370" s="933"/>
      <c r="J370" s="933"/>
      <c r="K370" s="933"/>
      <c r="L370" s="933"/>
      <c r="M370" s="933"/>
      <c r="N370" s="933"/>
      <c r="O370" s="933"/>
      <c r="P370" s="933"/>
      <c r="Q370" s="933"/>
      <c r="R370" s="933"/>
      <c r="S370" s="933"/>
      <c r="T370" s="933"/>
      <c r="U370" s="933"/>
      <c r="V370" s="933"/>
      <c r="W370" s="933"/>
      <c r="X370" s="933"/>
      <c r="Y370" s="933"/>
      <c r="Z370" s="933"/>
      <c r="AA370" s="933"/>
      <c r="AB370" s="933"/>
      <c r="AC370" s="933"/>
      <c r="AD370" s="933"/>
      <c r="AE370" s="933"/>
    </row>
    <row r="371" spans="1:31" ht="12.75">
      <c r="A371" s="933"/>
      <c r="B371" s="933"/>
      <c r="C371" s="933"/>
      <c r="D371" s="933"/>
      <c r="E371" s="933"/>
      <c r="F371" s="933"/>
      <c r="G371" s="933"/>
      <c r="H371" s="933"/>
      <c r="I371" s="933"/>
      <c r="J371" s="933"/>
      <c r="K371" s="933"/>
      <c r="L371" s="933"/>
      <c r="M371" s="933"/>
      <c r="N371" s="933"/>
      <c r="O371" s="933"/>
      <c r="P371" s="933"/>
      <c r="Q371" s="933"/>
      <c r="R371" s="933"/>
      <c r="S371" s="933"/>
      <c r="T371" s="933"/>
      <c r="U371" s="933"/>
      <c r="V371" s="933"/>
      <c r="W371" s="933"/>
      <c r="X371" s="933"/>
      <c r="Y371" s="933"/>
      <c r="Z371" s="933"/>
      <c r="AA371" s="933"/>
      <c r="AB371" s="933"/>
      <c r="AC371" s="933"/>
      <c r="AD371" s="933"/>
      <c r="AE371" s="933"/>
    </row>
    <row r="372" spans="1:31" ht="12.75">
      <c r="A372" s="933"/>
      <c r="B372" s="933"/>
      <c r="C372" s="933"/>
      <c r="D372" s="933"/>
      <c r="E372" s="933"/>
      <c r="F372" s="933"/>
      <c r="G372" s="933"/>
      <c r="H372" s="933"/>
      <c r="I372" s="933"/>
      <c r="J372" s="933"/>
      <c r="K372" s="933"/>
      <c r="L372" s="933"/>
      <c r="M372" s="933"/>
      <c r="N372" s="933"/>
      <c r="O372" s="933"/>
      <c r="P372" s="933"/>
      <c r="Q372" s="933"/>
      <c r="R372" s="933"/>
      <c r="S372" s="933"/>
      <c r="T372" s="933"/>
      <c r="U372" s="933"/>
      <c r="V372" s="933"/>
      <c r="W372" s="933"/>
      <c r="X372" s="933"/>
      <c r="Y372" s="933"/>
      <c r="Z372" s="933"/>
      <c r="AA372" s="933"/>
      <c r="AB372" s="933"/>
      <c r="AC372" s="933"/>
      <c r="AD372" s="933"/>
      <c r="AE372" s="933"/>
    </row>
    <row r="373" spans="1:31" ht="12.75">
      <c r="A373" s="933"/>
      <c r="B373" s="933"/>
      <c r="C373" s="933"/>
      <c r="D373" s="933"/>
      <c r="E373" s="933"/>
      <c r="F373" s="933"/>
      <c r="G373" s="933"/>
      <c r="H373" s="933"/>
      <c r="I373" s="933"/>
      <c r="J373" s="933"/>
      <c r="K373" s="933"/>
      <c r="L373" s="933"/>
      <c r="M373" s="933"/>
      <c r="N373" s="933"/>
      <c r="O373" s="933"/>
      <c r="P373" s="933"/>
      <c r="Q373" s="933"/>
      <c r="R373" s="933"/>
      <c r="S373" s="933"/>
      <c r="T373" s="933"/>
      <c r="U373" s="933"/>
      <c r="V373" s="933"/>
      <c r="W373" s="933"/>
      <c r="X373" s="933"/>
      <c r="Y373" s="933"/>
      <c r="Z373" s="933"/>
      <c r="AA373" s="933"/>
      <c r="AB373" s="933"/>
      <c r="AC373" s="933"/>
      <c r="AD373" s="933"/>
      <c r="AE373" s="933"/>
    </row>
    <row r="374" spans="1:31" ht="12.75">
      <c r="A374" s="933"/>
      <c r="B374" s="933"/>
      <c r="C374" s="933"/>
      <c r="D374" s="933"/>
      <c r="E374" s="933"/>
      <c r="F374" s="933"/>
      <c r="G374" s="933"/>
      <c r="H374" s="933"/>
      <c r="I374" s="933"/>
      <c r="J374" s="933"/>
      <c r="K374" s="933"/>
      <c r="L374" s="933"/>
      <c r="M374" s="933"/>
      <c r="N374" s="933"/>
      <c r="O374" s="933"/>
      <c r="P374" s="933"/>
      <c r="Q374" s="933"/>
      <c r="R374" s="933"/>
      <c r="S374" s="933"/>
      <c r="T374" s="933"/>
      <c r="U374" s="933"/>
      <c r="V374" s="933"/>
      <c r="W374" s="933"/>
      <c r="X374" s="933"/>
      <c r="Y374" s="933"/>
      <c r="Z374" s="933"/>
      <c r="AA374" s="933"/>
      <c r="AB374" s="933"/>
      <c r="AC374" s="933"/>
      <c r="AD374" s="933"/>
      <c r="AE374" s="933"/>
    </row>
    <row r="375" spans="1:31" ht="12.75">
      <c r="A375" s="933"/>
      <c r="B375" s="933"/>
      <c r="C375" s="933"/>
      <c r="D375" s="933"/>
      <c r="E375" s="933"/>
      <c r="F375" s="933"/>
      <c r="G375" s="933"/>
      <c r="H375" s="933"/>
      <c r="I375" s="933"/>
      <c r="J375" s="933"/>
      <c r="K375" s="933"/>
      <c r="L375" s="933"/>
      <c r="M375" s="933"/>
      <c r="N375" s="933"/>
      <c r="O375" s="933"/>
      <c r="P375" s="933"/>
      <c r="Q375" s="933"/>
      <c r="R375" s="933"/>
      <c r="S375" s="933"/>
      <c r="T375" s="933"/>
      <c r="U375" s="933"/>
      <c r="V375" s="933"/>
      <c r="W375" s="933"/>
      <c r="X375" s="933"/>
      <c r="Y375" s="933"/>
      <c r="Z375" s="933"/>
      <c r="AA375" s="933"/>
      <c r="AB375" s="933"/>
      <c r="AC375" s="933"/>
      <c r="AD375" s="933"/>
      <c r="AE375" s="933"/>
    </row>
    <row r="376" spans="1:31" ht="12.75">
      <c r="A376" s="933"/>
      <c r="B376" s="933"/>
      <c r="C376" s="933"/>
      <c r="D376" s="933"/>
      <c r="E376" s="933"/>
      <c r="F376" s="933"/>
      <c r="G376" s="933"/>
      <c r="H376" s="933"/>
      <c r="I376" s="933"/>
      <c r="J376" s="933"/>
      <c r="K376" s="933"/>
      <c r="L376" s="933"/>
      <c r="M376" s="933"/>
      <c r="N376" s="933"/>
      <c r="O376" s="933"/>
      <c r="P376" s="933"/>
      <c r="Q376" s="933"/>
      <c r="R376" s="933"/>
      <c r="S376" s="933"/>
      <c r="T376" s="933"/>
      <c r="U376" s="933"/>
      <c r="V376" s="933"/>
      <c r="W376" s="933"/>
      <c r="X376" s="933"/>
      <c r="Y376" s="933"/>
      <c r="Z376" s="933"/>
      <c r="AA376" s="933"/>
      <c r="AB376" s="933"/>
      <c r="AC376" s="933"/>
      <c r="AD376" s="933"/>
      <c r="AE376" s="933"/>
    </row>
    <row r="377" spans="1:31" ht="12.75">
      <c r="A377" s="933"/>
      <c r="B377" s="933"/>
      <c r="C377" s="933"/>
      <c r="D377" s="933"/>
      <c r="E377" s="933"/>
      <c r="F377" s="933"/>
      <c r="G377" s="933"/>
      <c r="H377" s="933"/>
      <c r="I377" s="933"/>
      <c r="J377" s="933"/>
      <c r="K377" s="933"/>
      <c r="L377" s="933"/>
      <c r="M377" s="933"/>
      <c r="N377" s="933"/>
      <c r="O377" s="933"/>
      <c r="P377" s="933"/>
      <c r="Q377" s="933"/>
      <c r="R377" s="933"/>
      <c r="S377" s="933"/>
      <c r="T377" s="933"/>
      <c r="U377" s="933"/>
      <c r="V377" s="933"/>
      <c r="W377" s="933"/>
      <c r="X377" s="933"/>
      <c r="Y377" s="933"/>
      <c r="Z377" s="933"/>
      <c r="AA377" s="933"/>
      <c r="AB377" s="933"/>
      <c r="AC377" s="933"/>
      <c r="AD377" s="933"/>
      <c r="AE377" s="933"/>
    </row>
    <row r="378" spans="1:31" ht="12.75">
      <c r="A378" s="933"/>
      <c r="B378" s="933"/>
      <c r="C378" s="933"/>
      <c r="D378" s="933"/>
      <c r="E378" s="933"/>
      <c r="F378" s="933"/>
      <c r="G378" s="933"/>
      <c r="H378" s="933"/>
      <c r="I378" s="933"/>
      <c r="J378" s="933"/>
      <c r="K378" s="933"/>
      <c r="L378" s="933"/>
      <c r="M378" s="933"/>
      <c r="N378" s="933"/>
      <c r="O378" s="933"/>
      <c r="P378" s="933"/>
      <c r="Q378" s="933"/>
      <c r="R378" s="933"/>
      <c r="S378" s="933"/>
      <c r="T378" s="933"/>
      <c r="U378" s="933"/>
      <c r="V378" s="933"/>
      <c r="W378" s="933"/>
      <c r="X378" s="933"/>
      <c r="Y378" s="933"/>
      <c r="Z378" s="933"/>
      <c r="AA378" s="933"/>
      <c r="AB378" s="933"/>
      <c r="AC378" s="933"/>
      <c r="AD378" s="933"/>
      <c r="AE378" s="933"/>
    </row>
    <row r="379" spans="1:31" ht="12.75">
      <c r="A379" s="933"/>
      <c r="B379" s="933"/>
      <c r="C379" s="933"/>
      <c r="D379" s="933"/>
      <c r="E379" s="933"/>
      <c r="F379" s="933"/>
      <c r="G379" s="933"/>
      <c r="H379" s="933"/>
      <c r="I379" s="933"/>
      <c r="J379" s="933"/>
      <c r="K379" s="933"/>
      <c r="L379" s="933"/>
      <c r="M379" s="933"/>
      <c r="N379" s="933"/>
      <c r="O379" s="933"/>
      <c r="P379" s="933"/>
      <c r="Q379" s="933"/>
      <c r="R379" s="933"/>
      <c r="S379" s="933"/>
      <c r="T379" s="933"/>
      <c r="U379" s="933"/>
      <c r="V379" s="933"/>
      <c r="W379" s="933"/>
      <c r="X379" s="933"/>
      <c r="Y379" s="933"/>
      <c r="Z379" s="933"/>
      <c r="AA379" s="933"/>
      <c r="AB379" s="933"/>
      <c r="AC379" s="933"/>
      <c r="AD379" s="933"/>
      <c r="AE379" s="933"/>
    </row>
    <row r="380" spans="1:31" ht="12.75">
      <c r="A380" s="933"/>
      <c r="B380" s="933"/>
      <c r="C380" s="933"/>
      <c r="D380" s="933"/>
      <c r="E380" s="933"/>
      <c r="F380" s="933"/>
      <c r="G380" s="933"/>
      <c r="H380" s="933"/>
      <c r="I380" s="933"/>
      <c r="J380" s="933"/>
      <c r="K380" s="933"/>
      <c r="L380" s="933"/>
      <c r="M380" s="933"/>
      <c r="N380" s="933"/>
      <c r="O380" s="933"/>
      <c r="P380" s="933"/>
      <c r="Q380" s="933"/>
      <c r="R380" s="933"/>
      <c r="S380" s="933"/>
      <c r="T380" s="933"/>
      <c r="U380" s="933"/>
      <c r="V380" s="933"/>
      <c r="W380" s="933"/>
      <c r="X380" s="933"/>
      <c r="Y380" s="933"/>
      <c r="Z380" s="933"/>
      <c r="AA380" s="933"/>
      <c r="AB380" s="933"/>
      <c r="AC380" s="933"/>
      <c r="AD380" s="933"/>
      <c r="AE380" s="933"/>
    </row>
    <row r="381" spans="1:31" ht="12.75">
      <c r="A381" s="933"/>
      <c r="B381" s="933"/>
      <c r="C381" s="933"/>
      <c r="D381" s="933"/>
      <c r="E381" s="933"/>
      <c r="F381" s="933"/>
      <c r="G381" s="933"/>
      <c r="H381" s="933"/>
      <c r="I381" s="933"/>
      <c r="J381" s="933"/>
      <c r="K381" s="933"/>
      <c r="L381" s="933"/>
      <c r="M381" s="933"/>
      <c r="N381" s="933"/>
      <c r="O381" s="933"/>
      <c r="P381" s="933"/>
      <c r="Q381" s="933"/>
      <c r="R381" s="933"/>
      <c r="S381" s="933"/>
      <c r="T381" s="933"/>
      <c r="U381" s="933"/>
      <c r="V381" s="933"/>
      <c r="W381" s="933"/>
      <c r="X381" s="933"/>
      <c r="Y381" s="933"/>
      <c r="Z381" s="933"/>
      <c r="AA381" s="933"/>
      <c r="AB381" s="933"/>
      <c r="AC381" s="933"/>
      <c r="AD381" s="933"/>
      <c r="AE381" s="933"/>
    </row>
    <row r="382" spans="1:31" ht="12.75">
      <c r="A382" s="933"/>
      <c r="B382" s="933"/>
      <c r="C382" s="933"/>
      <c r="D382" s="933"/>
      <c r="E382" s="933"/>
      <c r="F382" s="933"/>
      <c r="G382" s="933"/>
      <c r="H382" s="933"/>
      <c r="I382" s="933"/>
      <c r="J382" s="933"/>
      <c r="K382" s="933"/>
      <c r="L382" s="933"/>
      <c r="M382" s="933"/>
      <c r="N382" s="933"/>
      <c r="O382" s="933"/>
      <c r="P382" s="933"/>
      <c r="Q382" s="933"/>
      <c r="R382" s="933"/>
      <c r="S382" s="933"/>
      <c r="T382" s="933"/>
      <c r="U382" s="933"/>
      <c r="V382" s="933"/>
      <c r="W382" s="933"/>
      <c r="X382" s="933"/>
      <c r="Y382" s="933"/>
      <c r="Z382" s="933"/>
      <c r="AA382" s="933"/>
      <c r="AB382" s="933"/>
      <c r="AC382" s="933"/>
      <c r="AD382" s="933"/>
      <c r="AE382" s="933"/>
    </row>
    <row r="383" spans="1:31" ht="12.75">
      <c r="A383" s="933"/>
      <c r="B383" s="933"/>
      <c r="C383" s="933"/>
      <c r="D383" s="933"/>
      <c r="E383" s="933"/>
      <c r="F383" s="933"/>
      <c r="G383" s="933"/>
      <c r="H383" s="933"/>
      <c r="I383" s="933"/>
      <c r="J383" s="933"/>
      <c r="K383" s="933"/>
      <c r="L383" s="933"/>
      <c r="M383" s="933"/>
      <c r="N383" s="933"/>
      <c r="O383" s="933"/>
      <c r="P383" s="933"/>
      <c r="Q383" s="933"/>
      <c r="R383" s="933"/>
      <c r="S383" s="933"/>
      <c r="T383" s="933"/>
      <c r="U383" s="933"/>
      <c r="V383" s="933"/>
      <c r="W383" s="933"/>
      <c r="X383" s="933"/>
      <c r="Y383" s="933"/>
      <c r="Z383" s="933"/>
      <c r="AA383" s="933"/>
      <c r="AB383" s="933"/>
      <c r="AC383" s="933"/>
      <c r="AD383" s="933"/>
      <c r="AE383" s="933"/>
    </row>
    <row r="384" spans="1:31" ht="12.75">
      <c r="A384" s="933"/>
      <c r="B384" s="933"/>
      <c r="C384" s="933"/>
      <c r="D384" s="933"/>
      <c r="E384" s="933"/>
      <c r="F384" s="933"/>
      <c r="G384" s="933"/>
      <c r="H384" s="933"/>
      <c r="I384" s="933"/>
      <c r="J384" s="933"/>
      <c r="K384" s="933"/>
      <c r="L384" s="933"/>
      <c r="M384" s="933"/>
      <c r="N384" s="933"/>
      <c r="O384" s="933"/>
      <c r="P384" s="933"/>
      <c r="Q384" s="933"/>
      <c r="R384" s="933"/>
      <c r="S384" s="933"/>
      <c r="T384" s="933"/>
      <c r="U384" s="933"/>
      <c r="V384" s="933"/>
      <c r="W384" s="933"/>
      <c r="X384" s="933"/>
      <c r="Y384" s="933"/>
      <c r="Z384" s="933"/>
      <c r="AA384" s="933"/>
      <c r="AB384" s="933"/>
      <c r="AC384" s="933"/>
      <c r="AD384" s="933"/>
      <c r="AE384" s="933"/>
    </row>
    <row r="385" spans="1:31" ht="12.75">
      <c r="A385" s="933"/>
      <c r="B385" s="933"/>
      <c r="C385" s="933"/>
      <c r="D385" s="933"/>
      <c r="E385" s="933"/>
      <c r="F385" s="933"/>
      <c r="G385" s="933"/>
      <c r="H385" s="933"/>
      <c r="I385" s="933"/>
      <c r="J385" s="933"/>
      <c r="K385" s="933"/>
      <c r="L385" s="933"/>
      <c r="M385" s="933"/>
      <c r="N385" s="933"/>
      <c r="O385" s="933"/>
      <c r="P385" s="933"/>
      <c r="Q385" s="933"/>
      <c r="R385" s="933"/>
      <c r="S385" s="933"/>
      <c r="T385" s="933"/>
      <c r="U385" s="933"/>
      <c r="V385" s="933"/>
      <c r="W385" s="933"/>
      <c r="X385" s="933"/>
      <c r="Y385" s="933"/>
      <c r="Z385" s="933"/>
      <c r="AA385" s="933"/>
      <c r="AB385" s="933"/>
      <c r="AC385" s="933"/>
      <c r="AD385" s="933"/>
      <c r="AE385" s="933"/>
    </row>
    <row r="386" spans="1:31" ht="12.75">
      <c r="A386" s="933"/>
      <c r="B386" s="933"/>
      <c r="C386" s="933"/>
      <c r="D386" s="933"/>
      <c r="E386" s="933"/>
      <c r="F386" s="933"/>
      <c r="G386" s="933"/>
      <c r="H386" s="933"/>
      <c r="I386" s="933"/>
      <c r="J386" s="933"/>
      <c r="K386" s="933"/>
      <c r="L386" s="933"/>
      <c r="M386" s="933"/>
      <c r="N386" s="933"/>
      <c r="O386" s="933"/>
      <c r="P386" s="933"/>
      <c r="Q386" s="933"/>
      <c r="R386" s="933"/>
      <c r="S386" s="933"/>
      <c r="T386" s="933"/>
      <c r="U386" s="933"/>
      <c r="V386" s="933"/>
      <c r="W386" s="933"/>
      <c r="X386" s="933"/>
      <c r="Y386" s="933"/>
      <c r="Z386" s="933"/>
      <c r="AA386" s="933"/>
      <c r="AB386" s="933"/>
      <c r="AC386" s="933"/>
      <c r="AD386" s="933"/>
      <c r="AE386" s="933"/>
    </row>
    <row r="387" spans="1:31" ht="12.75">
      <c r="A387" s="933"/>
      <c r="B387" s="933"/>
      <c r="C387" s="933"/>
      <c r="D387" s="933"/>
      <c r="E387" s="933"/>
      <c r="F387" s="933"/>
      <c r="G387" s="933"/>
      <c r="H387" s="933"/>
      <c r="I387" s="933"/>
      <c r="J387" s="933"/>
      <c r="K387" s="933"/>
      <c r="L387" s="933"/>
      <c r="M387" s="933"/>
      <c r="N387" s="933"/>
      <c r="O387" s="933"/>
      <c r="P387" s="933"/>
      <c r="Q387" s="933"/>
      <c r="R387" s="933"/>
      <c r="S387" s="933"/>
      <c r="T387" s="933"/>
      <c r="U387" s="933"/>
      <c r="V387" s="933"/>
      <c r="W387" s="933"/>
      <c r="X387" s="933"/>
      <c r="Y387" s="933"/>
      <c r="Z387" s="933"/>
      <c r="AA387" s="933"/>
      <c r="AB387" s="933"/>
      <c r="AC387" s="933"/>
      <c r="AD387" s="933"/>
      <c r="AE387" s="933"/>
    </row>
    <row r="388" spans="1:31" ht="12.75">
      <c r="A388" s="933"/>
      <c r="B388" s="933"/>
      <c r="C388" s="933"/>
      <c r="D388" s="933"/>
      <c r="E388" s="933"/>
      <c r="F388" s="933"/>
      <c r="G388" s="933"/>
      <c r="H388" s="933"/>
      <c r="I388" s="933"/>
      <c r="J388" s="933"/>
      <c r="K388" s="933"/>
      <c r="L388" s="933"/>
      <c r="M388" s="933"/>
      <c r="N388" s="933"/>
      <c r="O388" s="933"/>
      <c r="P388" s="933"/>
      <c r="Q388" s="933"/>
      <c r="R388" s="933"/>
      <c r="S388" s="933"/>
      <c r="T388" s="933"/>
      <c r="U388" s="933"/>
      <c r="V388" s="933"/>
      <c r="W388" s="933"/>
      <c r="X388" s="933"/>
      <c r="Y388" s="933"/>
      <c r="Z388" s="933"/>
      <c r="AA388" s="933"/>
      <c r="AB388" s="933"/>
      <c r="AC388" s="933"/>
      <c r="AD388" s="933"/>
      <c r="AE388" s="933"/>
    </row>
    <row r="389" spans="1:31" ht="12.75">
      <c r="A389" s="933"/>
      <c r="B389" s="933"/>
      <c r="C389" s="933"/>
      <c r="D389" s="933"/>
      <c r="E389" s="933"/>
      <c r="F389" s="933"/>
      <c r="G389" s="933"/>
      <c r="H389" s="933"/>
      <c r="I389" s="933"/>
      <c r="J389" s="933"/>
      <c r="K389" s="933"/>
      <c r="L389" s="933"/>
      <c r="M389" s="933"/>
      <c r="N389" s="933"/>
      <c r="O389" s="933"/>
      <c r="P389" s="933"/>
      <c r="Q389" s="933"/>
      <c r="R389" s="933"/>
      <c r="S389" s="933"/>
      <c r="T389" s="933"/>
      <c r="U389" s="933"/>
      <c r="V389" s="933"/>
      <c r="W389" s="933"/>
      <c r="X389" s="933"/>
      <c r="Y389" s="933"/>
      <c r="Z389" s="933"/>
      <c r="AA389" s="933"/>
      <c r="AB389" s="933"/>
      <c r="AC389" s="933"/>
      <c r="AD389" s="933"/>
      <c r="AE389" s="933"/>
    </row>
    <row r="390" spans="1:31" ht="12.75">
      <c r="A390" s="933"/>
      <c r="B390" s="933"/>
      <c r="C390" s="933"/>
      <c r="D390" s="933"/>
      <c r="E390" s="933"/>
      <c r="F390" s="933"/>
      <c r="G390" s="933"/>
      <c r="H390" s="933"/>
      <c r="I390" s="933"/>
      <c r="J390" s="933"/>
      <c r="K390" s="933"/>
      <c r="L390" s="933"/>
      <c r="M390" s="933"/>
      <c r="N390" s="933"/>
      <c r="O390" s="933"/>
      <c r="P390" s="933"/>
      <c r="Q390" s="933"/>
      <c r="R390" s="933"/>
      <c r="S390" s="933"/>
      <c r="T390" s="933"/>
      <c r="U390" s="933"/>
      <c r="V390" s="933"/>
      <c r="W390" s="933"/>
      <c r="X390" s="933"/>
      <c r="Y390" s="933"/>
      <c r="Z390" s="933"/>
      <c r="AA390" s="933"/>
      <c r="AB390" s="933"/>
      <c r="AC390" s="933"/>
      <c r="AD390" s="933"/>
      <c r="AE390" s="933"/>
    </row>
    <row r="391" spans="1:31" ht="12.75">
      <c r="A391" s="933"/>
      <c r="B391" s="933"/>
      <c r="C391" s="933"/>
      <c r="D391" s="933"/>
      <c r="E391" s="933"/>
      <c r="F391" s="933"/>
      <c r="G391" s="933"/>
      <c r="H391" s="933"/>
      <c r="I391" s="933"/>
      <c r="J391" s="933"/>
      <c r="K391" s="933"/>
      <c r="L391" s="933"/>
      <c r="M391" s="933"/>
      <c r="N391" s="933"/>
      <c r="O391" s="933"/>
      <c r="P391" s="933"/>
      <c r="Q391" s="933"/>
      <c r="R391" s="933"/>
      <c r="S391" s="933"/>
      <c r="T391" s="933"/>
      <c r="U391" s="933"/>
      <c r="V391" s="933"/>
      <c r="W391" s="933"/>
      <c r="X391" s="933"/>
      <c r="Y391" s="933"/>
      <c r="Z391" s="933"/>
      <c r="AA391" s="933"/>
      <c r="AB391" s="933"/>
      <c r="AC391" s="933"/>
      <c r="AD391" s="933"/>
      <c r="AE391" s="933"/>
    </row>
    <row r="392" spans="1:31" ht="12.75">
      <c r="A392" s="933"/>
      <c r="B392" s="933"/>
      <c r="C392" s="933"/>
      <c r="D392" s="933"/>
      <c r="E392" s="933"/>
      <c r="F392" s="933"/>
      <c r="G392" s="933"/>
      <c r="H392" s="933"/>
      <c r="I392" s="933"/>
      <c r="J392" s="933"/>
      <c r="K392" s="933"/>
      <c r="L392" s="933"/>
      <c r="M392" s="933"/>
      <c r="N392" s="933"/>
      <c r="O392" s="933"/>
      <c r="P392" s="933"/>
      <c r="Q392" s="933"/>
      <c r="R392" s="933"/>
      <c r="S392" s="933"/>
      <c r="T392" s="933"/>
      <c r="U392" s="933"/>
      <c r="V392" s="933"/>
      <c r="W392" s="933"/>
      <c r="X392" s="933"/>
      <c r="Y392" s="933"/>
      <c r="Z392" s="933"/>
      <c r="AA392" s="933"/>
      <c r="AB392" s="933"/>
      <c r="AC392" s="933"/>
      <c r="AD392" s="933"/>
      <c r="AE392" s="933"/>
    </row>
    <row r="393" spans="1:31" ht="12.75">
      <c r="A393" s="933"/>
      <c r="B393" s="933"/>
      <c r="C393" s="933"/>
      <c r="D393" s="933"/>
      <c r="E393" s="933"/>
      <c r="F393" s="933"/>
      <c r="G393" s="933"/>
      <c r="H393" s="933"/>
      <c r="I393" s="933"/>
      <c r="J393" s="933"/>
      <c r="K393" s="933"/>
      <c r="L393" s="933"/>
      <c r="M393" s="933"/>
      <c r="N393" s="933"/>
      <c r="O393" s="933"/>
      <c r="P393" s="933"/>
      <c r="Q393" s="933"/>
      <c r="R393" s="933"/>
      <c r="S393" s="933"/>
      <c r="T393" s="933"/>
      <c r="U393" s="933"/>
      <c r="V393" s="933"/>
      <c r="W393" s="933"/>
      <c r="X393" s="933"/>
      <c r="Y393" s="933"/>
      <c r="Z393" s="933"/>
      <c r="AA393" s="933"/>
      <c r="AB393" s="933"/>
      <c r="AC393" s="933"/>
      <c r="AD393" s="933"/>
      <c r="AE393" s="933"/>
    </row>
    <row r="394" spans="1:31" ht="12.75">
      <c r="A394" s="933"/>
      <c r="B394" s="933"/>
      <c r="C394" s="933"/>
      <c r="D394" s="933"/>
      <c r="E394" s="933"/>
      <c r="F394" s="933"/>
      <c r="G394" s="933"/>
      <c r="H394" s="933"/>
      <c r="I394" s="933"/>
      <c r="J394" s="933"/>
      <c r="K394" s="933"/>
      <c r="L394" s="933"/>
      <c r="M394" s="933"/>
      <c r="N394" s="933"/>
      <c r="O394" s="933"/>
      <c r="P394" s="933"/>
      <c r="Q394" s="933"/>
      <c r="R394" s="933"/>
      <c r="S394" s="933"/>
      <c r="T394" s="933"/>
      <c r="U394" s="933"/>
      <c r="V394" s="933"/>
      <c r="W394" s="933"/>
      <c r="X394" s="933"/>
      <c r="Y394" s="933"/>
      <c r="Z394" s="933"/>
      <c r="AA394" s="933"/>
      <c r="AB394" s="933"/>
      <c r="AC394" s="933"/>
      <c r="AD394" s="933"/>
      <c r="AE394" s="933"/>
    </row>
    <row r="395" spans="1:31" ht="12.75">
      <c r="A395" s="933"/>
      <c r="B395" s="933"/>
      <c r="C395" s="933"/>
      <c r="D395" s="933"/>
      <c r="E395" s="933"/>
      <c r="F395" s="933"/>
      <c r="G395" s="933"/>
      <c r="H395" s="933"/>
      <c r="I395" s="933"/>
      <c r="J395" s="933"/>
      <c r="K395" s="933"/>
      <c r="L395" s="933"/>
      <c r="M395" s="933"/>
      <c r="N395" s="933"/>
      <c r="O395" s="933"/>
      <c r="P395" s="933"/>
      <c r="Q395" s="933"/>
      <c r="R395" s="933"/>
      <c r="S395" s="933"/>
      <c r="T395" s="933"/>
      <c r="U395" s="933"/>
      <c r="V395" s="933"/>
      <c r="W395" s="933"/>
      <c r="X395" s="933"/>
      <c r="Y395" s="933"/>
      <c r="Z395" s="933"/>
      <c r="AA395" s="933"/>
      <c r="AB395" s="933"/>
      <c r="AC395" s="933"/>
      <c r="AD395" s="933"/>
      <c r="AE395" s="933"/>
    </row>
    <row r="396" spans="1:31" ht="12.75">
      <c r="A396" s="933"/>
      <c r="B396" s="933"/>
      <c r="C396" s="933"/>
      <c r="D396" s="933"/>
      <c r="E396" s="933"/>
      <c r="F396" s="933"/>
      <c r="G396" s="933"/>
      <c r="H396" s="933"/>
      <c r="I396" s="933"/>
      <c r="J396" s="933"/>
      <c r="K396" s="933"/>
      <c r="L396" s="933"/>
      <c r="M396" s="933"/>
      <c r="N396" s="933"/>
      <c r="O396" s="933"/>
      <c r="P396" s="933"/>
      <c r="Q396" s="933"/>
      <c r="R396" s="933"/>
      <c r="S396" s="933"/>
      <c r="T396" s="933"/>
      <c r="U396" s="933"/>
      <c r="V396" s="933"/>
      <c r="W396" s="933"/>
      <c r="X396" s="933"/>
      <c r="Y396" s="933"/>
      <c r="Z396" s="933"/>
      <c r="AA396" s="933"/>
      <c r="AB396" s="933"/>
      <c r="AC396" s="933"/>
      <c r="AD396" s="933"/>
      <c r="AE396" s="933"/>
    </row>
    <row r="397" spans="1:31" ht="12.75">
      <c r="A397" s="933"/>
      <c r="B397" s="933"/>
      <c r="C397" s="933"/>
      <c r="D397" s="933"/>
      <c r="E397" s="933"/>
      <c r="F397" s="933"/>
      <c r="G397" s="933"/>
      <c r="H397" s="933"/>
      <c r="I397" s="933"/>
      <c r="J397" s="933"/>
      <c r="K397" s="933"/>
      <c r="L397" s="933"/>
      <c r="M397" s="933"/>
      <c r="N397" s="933"/>
      <c r="O397" s="933"/>
      <c r="P397" s="933"/>
      <c r="Q397" s="933"/>
      <c r="R397" s="933"/>
      <c r="S397" s="933"/>
      <c r="T397" s="933"/>
      <c r="U397" s="933"/>
      <c r="V397" s="933"/>
      <c r="W397" s="933"/>
      <c r="X397" s="933"/>
      <c r="Y397" s="933"/>
      <c r="Z397" s="933"/>
      <c r="AA397" s="933"/>
      <c r="AB397" s="933"/>
      <c r="AC397" s="933"/>
      <c r="AD397" s="933"/>
      <c r="AE397" s="933"/>
    </row>
    <row r="398" spans="1:31" ht="12.75">
      <c r="A398" s="933"/>
      <c r="B398" s="933"/>
      <c r="C398" s="933"/>
      <c r="D398" s="933"/>
      <c r="E398" s="933"/>
      <c r="F398" s="933"/>
      <c r="G398" s="933"/>
      <c r="H398" s="933"/>
      <c r="I398" s="933"/>
      <c r="J398" s="933"/>
      <c r="K398" s="933"/>
      <c r="L398" s="933"/>
      <c r="M398" s="933"/>
      <c r="N398" s="933"/>
      <c r="O398" s="933"/>
      <c r="P398" s="933"/>
      <c r="Q398" s="933"/>
      <c r="R398" s="933"/>
      <c r="S398" s="933"/>
      <c r="T398" s="933"/>
      <c r="U398" s="933"/>
      <c r="V398" s="933"/>
      <c r="W398" s="933"/>
      <c r="X398" s="933"/>
      <c r="Y398" s="933"/>
      <c r="Z398" s="933"/>
      <c r="AA398" s="933"/>
      <c r="AB398" s="933"/>
      <c r="AC398" s="933"/>
      <c r="AD398" s="933"/>
      <c r="AE398" s="933"/>
    </row>
    <row r="399" spans="1:31" ht="12.75">
      <c r="A399" s="933"/>
      <c r="B399" s="933"/>
      <c r="C399" s="933"/>
      <c r="D399" s="933"/>
      <c r="E399" s="933"/>
      <c r="F399" s="933"/>
      <c r="G399" s="933"/>
      <c r="H399" s="933"/>
      <c r="I399" s="933"/>
      <c r="J399" s="933"/>
      <c r="K399" s="933"/>
      <c r="L399" s="933"/>
      <c r="M399" s="933"/>
      <c r="N399" s="933"/>
      <c r="O399" s="933"/>
      <c r="P399" s="933"/>
      <c r="Q399" s="933"/>
      <c r="R399" s="933"/>
      <c r="S399" s="933"/>
      <c r="T399" s="933"/>
      <c r="U399" s="933"/>
      <c r="V399" s="933"/>
      <c r="W399" s="933"/>
      <c r="X399" s="933"/>
      <c r="Y399" s="933"/>
      <c r="Z399" s="933"/>
      <c r="AA399" s="933"/>
      <c r="AB399" s="933"/>
      <c r="AC399" s="933"/>
      <c r="AD399" s="933"/>
      <c r="AE399" s="933"/>
    </row>
    <row r="400" spans="1:31" ht="12.75">
      <c r="A400" s="933"/>
      <c r="B400" s="933"/>
      <c r="C400" s="933"/>
      <c r="D400" s="933"/>
      <c r="E400" s="933"/>
      <c r="F400" s="933"/>
      <c r="G400" s="933"/>
      <c r="H400" s="933"/>
      <c r="I400" s="933"/>
      <c r="J400" s="933"/>
      <c r="K400" s="933"/>
      <c r="L400" s="933"/>
      <c r="M400" s="933"/>
      <c r="N400" s="933"/>
      <c r="O400" s="933"/>
      <c r="P400" s="933"/>
      <c r="Q400" s="933"/>
      <c r="R400" s="933"/>
      <c r="S400" s="933"/>
      <c r="T400" s="933"/>
      <c r="U400" s="933"/>
      <c r="V400" s="933"/>
      <c r="W400" s="933"/>
      <c r="X400" s="933"/>
      <c r="Y400" s="933"/>
      <c r="Z400" s="933"/>
      <c r="AA400" s="933"/>
      <c r="AB400" s="933"/>
      <c r="AC400" s="933"/>
      <c r="AD400" s="933"/>
      <c r="AE400" s="933"/>
    </row>
    <row r="401" spans="1:31" ht="12.75">
      <c r="A401" s="933"/>
      <c r="B401" s="933"/>
      <c r="C401" s="933"/>
      <c r="D401" s="933"/>
      <c r="E401" s="933"/>
      <c r="F401" s="933"/>
      <c r="G401" s="933"/>
      <c r="H401" s="933"/>
      <c r="I401" s="933"/>
      <c r="J401" s="933"/>
      <c r="K401" s="933"/>
      <c r="L401" s="933"/>
      <c r="M401" s="933"/>
      <c r="N401" s="933"/>
      <c r="O401" s="933"/>
      <c r="P401" s="933"/>
      <c r="Q401" s="933"/>
      <c r="R401" s="933"/>
      <c r="S401" s="933"/>
      <c r="T401" s="933"/>
      <c r="U401" s="933"/>
      <c r="V401" s="933"/>
      <c r="W401" s="933"/>
      <c r="X401" s="933"/>
      <c r="Y401" s="933"/>
      <c r="Z401" s="933"/>
      <c r="AA401" s="933"/>
      <c r="AB401" s="933"/>
      <c r="AC401" s="933"/>
      <c r="AD401" s="933"/>
      <c r="AE401" s="933"/>
    </row>
    <row r="402" spans="1:31" ht="12.75">
      <c r="A402" s="933"/>
      <c r="B402" s="933"/>
      <c r="C402" s="933"/>
      <c r="D402" s="933"/>
      <c r="E402" s="933"/>
      <c r="F402" s="933"/>
      <c r="G402" s="933"/>
      <c r="H402" s="933"/>
      <c r="I402" s="933"/>
      <c r="J402" s="933"/>
      <c r="K402" s="933"/>
      <c r="L402" s="933"/>
      <c r="M402" s="933"/>
      <c r="N402" s="933"/>
      <c r="O402" s="933"/>
      <c r="P402" s="933"/>
      <c r="Q402" s="933"/>
      <c r="R402" s="933"/>
      <c r="S402" s="933"/>
      <c r="T402" s="933"/>
      <c r="U402" s="933"/>
      <c r="V402" s="933"/>
      <c r="W402" s="933"/>
      <c r="X402" s="933"/>
      <c r="Y402" s="933"/>
      <c r="Z402" s="933"/>
      <c r="AA402" s="933"/>
      <c r="AB402" s="933"/>
      <c r="AC402" s="933"/>
      <c r="AD402" s="933"/>
      <c r="AE402" s="933"/>
    </row>
    <row r="403" spans="1:31" ht="12.75">
      <c r="A403" s="933"/>
      <c r="B403" s="933"/>
      <c r="C403" s="933"/>
      <c r="D403" s="933"/>
      <c r="E403" s="933"/>
      <c r="F403" s="933"/>
      <c r="G403" s="933"/>
      <c r="H403" s="933"/>
      <c r="I403" s="933"/>
      <c r="J403" s="933"/>
      <c r="K403" s="933"/>
      <c r="L403" s="933"/>
      <c r="M403" s="933"/>
      <c r="N403" s="933"/>
      <c r="O403" s="933"/>
      <c r="P403" s="933"/>
      <c r="Q403" s="933"/>
      <c r="R403" s="933"/>
      <c r="S403" s="933"/>
      <c r="T403" s="933"/>
      <c r="U403" s="933"/>
      <c r="V403" s="933"/>
      <c r="W403" s="933"/>
      <c r="X403" s="933"/>
      <c r="Y403" s="933"/>
      <c r="Z403" s="933"/>
      <c r="AA403" s="933"/>
      <c r="AB403" s="933"/>
      <c r="AC403" s="933"/>
      <c r="AD403" s="933"/>
      <c r="AE403" s="933"/>
    </row>
    <row r="404" spans="1:31" ht="12.75">
      <c r="A404" s="933"/>
      <c r="B404" s="933"/>
      <c r="C404" s="933"/>
      <c r="D404" s="933"/>
      <c r="E404" s="933"/>
      <c r="F404" s="933"/>
      <c r="G404" s="933"/>
      <c r="H404" s="933"/>
      <c r="I404" s="933"/>
      <c r="J404" s="933"/>
      <c r="K404" s="933"/>
      <c r="L404" s="933"/>
      <c r="M404" s="933"/>
      <c r="N404" s="933"/>
      <c r="O404" s="933"/>
      <c r="P404" s="933"/>
      <c r="Q404" s="933"/>
      <c r="R404" s="933"/>
      <c r="S404" s="933"/>
      <c r="T404" s="933"/>
      <c r="U404" s="933"/>
      <c r="V404" s="933"/>
      <c r="W404" s="933"/>
      <c r="X404" s="933"/>
      <c r="Y404" s="933"/>
      <c r="Z404" s="933"/>
      <c r="AA404" s="933"/>
      <c r="AB404" s="933"/>
      <c r="AC404" s="933"/>
      <c r="AD404" s="933"/>
      <c r="AE404" s="933"/>
    </row>
    <row r="405" spans="1:31" ht="12.75">
      <c r="A405" s="933"/>
      <c r="B405" s="933"/>
      <c r="C405" s="933"/>
      <c r="D405" s="933"/>
      <c r="E405" s="933"/>
      <c r="F405" s="933"/>
      <c r="G405" s="933"/>
      <c r="H405" s="933"/>
      <c r="I405" s="933"/>
      <c r="J405" s="933"/>
      <c r="K405" s="933"/>
      <c r="L405" s="933"/>
      <c r="M405" s="933"/>
      <c r="N405" s="933"/>
      <c r="O405" s="933"/>
      <c r="P405" s="933"/>
      <c r="Q405" s="933"/>
      <c r="R405" s="933"/>
      <c r="S405" s="933"/>
      <c r="T405" s="933"/>
      <c r="U405" s="933"/>
      <c r="V405" s="933"/>
      <c r="W405" s="933"/>
      <c r="X405" s="933"/>
      <c r="Y405" s="933"/>
      <c r="Z405" s="933"/>
      <c r="AA405" s="933"/>
      <c r="AB405" s="933"/>
      <c r="AC405" s="933"/>
      <c r="AD405" s="933"/>
      <c r="AE405" s="933"/>
    </row>
    <row r="406" spans="1:31" ht="12.75">
      <c r="A406" s="933"/>
      <c r="B406" s="933"/>
      <c r="C406" s="933"/>
      <c r="D406" s="933"/>
      <c r="E406" s="933"/>
      <c r="F406" s="933"/>
      <c r="G406" s="933"/>
      <c r="H406" s="933"/>
      <c r="I406" s="933"/>
      <c r="J406" s="933"/>
      <c r="K406" s="933"/>
      <c r="L406" s="933"/>
      <c r="M406" s="933"/>
      <c r="N406" s="933"/>
      <c r="O406" s="933"/>
      <c r="P406" s="933"/>
      <c r="Q406" s="933"/>
      <c r="R406" s="933"/>
      <c r="S406" s="933"/>
      <c r="T406" s="933"/>
      <c r="U406" s="933"/>
      <c r="V406" s="933"/>
      <c r="W406" s="933"/>
      <c r="X406" s="933"/>
      <c r="Y406" s="933"/>
      <c r="Z406" s="933"/>
      <c r="AA406" s="933"/>
      <c r="AB406" s="933"/>
      <c r="AC406" s="933"/>
      <c r="AD406" s="933"/>
      <c r="AE406" s="933"/>
    </row>
    <row r="407" spans="1:31" ht="12.75">
      <c r="A407" s="933"/>
      <c r="B407" s="933"/>
      <c r="C407" s="933"/>
      <c r="D407" s="933"/>
      <c r="E407" s="933"/>
      <c r="F407" s="933"/>
      <c r="G407" s="933"/>
      <c r="H407" s="933"/>
      <c r="I407" s="933"/>
      <c r="J407" s="933"/>
      <c r="K407" s="933"/>
      <c r="L407" s="933"/>
      <c r="M407" s="933"/>
      <c r="N407" s="933"/>
      <c r="O407" s="933"/>
      <c r="P407" s="933"/>
      <c r="Q407" s="933"/>
      <c r="R407" s="933"/>
      <c r="S407" s="933"/>
      <c r="T407" s="933"/>
      <c r="U407" s="933"/>
      <c r="V407" s="933"/>
      <c r="W407" s="933"/>
      <c r="X407" s="933"/>
      <c r="Y407" s="933"/>
      <c r="Z407" s="933"/>
      <c r="AA407" s="933"/>
      <c r="AB407" s="933"/>
      <c r="AC407" s="933"/>
      <c r="AD407" s="933"/>
      <c r="AE407" s="933"/>
    </row>
    <row r="408" spans="1:31" ht="12.75">
      <c r="A408" s="933"/>
      <c r="B408" s="933"/>
      <c r="C408" s="933"/>
      <c r="D408" s="933"/>
      <c r="E408" s="933"/>
      <c r="F408" s="933"/>
      <c r="G408" s="933"/>
      <c r="H408" s="933"/>
      <c r="I408" s="933"/>
      <c r="J408" s="933"/>
      <c r="K408" s="933"/>
      <c r="L408" s="933"/>
      <c r="M408" s="933"/>
      <c r="N408" s="933"/>
      <c r="O408" s="933"/>
      <c r="P408" s="933"/>
      <c r="Q408" s="933"/>
      <c r="R408" s="933"/>
      <c r="S408" s="933"/>
      <c r="T408" s="933"/>
      <c r="U408" s="933"/>
      <c r="V408" s="933"/>
      <c r="W408" s="933"/>
      <c r="X408" s="933"/>
      <c r="Y408" s="933"/>
      <c r="Z408" s="933"/>
      <c r="AA408" s="933"/>
      <c r="AB408" s="933"/>
      <c r="AC408" s="933"/>
      <c r="AD408" s="933"/>
      <c r="AE408" s="933"/>
    </row>
    <row r="409" spans="1:31" ht="12.75">
      <c r="A409" s="933"/>
      <c r="B409" s="933"/>
      <c r="C409" s="933"/>
      <c r="D409" s="933"/>
      <c r="E409" s="933"/>
      <c r="F409" s="933"/>
      <c r="G409" s="933"/>
      <c r="H409" s="933"/>
      <c r="I409" s="933"/>
      <c r="J409" s="933"/>
      <c r="K409" s="933"/>
      <c r="L409" s="933"/>
      <c r="M409" s="933"/>
      <c r="N409" s="933"/>
      <c r="O409" s="933"/>
      <c r="P409" s="933"/>
      <c r="Q409" s="933"/>
      <c r="R409" s="933"/>
      <c r="S409" s="933"/>
      <c r="T409" s="933"/>
      <c r="U409" s="933"/>
      <c r="V409" s="933"/>
      <c r="W409" s="933"/>
      <c r="X409" s="933"/>
      <c r="Y409" s="933"/>
      <c r="Z409" s="933"/>
      <c r="AA409" s="933"/>
      <c r="AB409" s="933"/>
      <c r="AC409" s="933"/>
      <c r="AD409" s="933"/>
      <c r="AE409" s="933"/>
    </row>
    <row r="410" spans="1:31" ht="12.75">
      <c r="A410" s="933"/>
      <c r="B410" s="933"/>
      <c r="C410" s="933"/>
      <c r="D410" s="933"/>
      <c r="E410" s="933"/>
      <c r="F410" s="933"/>
      <c r="G410" s="933"/>
      <c r="H410" s="933"/>
      <c r="I410" s="933"/>
      <c r="J410" s="933"/>
      <c r="K410" s="933"/>
      <c r="L410" s="933"/>
      <c r="M410" s="933"/>
      <c r="N410" s="933"/>
      <c r="O410" s="933"/>
      <c r="P410" s="933"/>
      <c r="Q410" s="933"/>
      <c r="R410" s="933"/>
      <c r="S410" s="933"/>
      <c r="T410" s="933"/>
      <c r="U410" s="933"/>
      <c r="V410" s="933"/>
      <c r="W410" s="933"/>
      <c r="X410" s="933"/>
      <c r="Y410" s="933"/>
      <c r="Z410" s="933"/>
      <c r="AA410" s="933"/>
      <c r="AB410" s="933"/>
      <c r="AC410" s="933"/>
      <c r="AD410" s="933"/>
      <c r="AE410" s="933"/>
    </row>
    <row r="411" spans="1:31" ht="12.75">
      <c r="A411" s="933"/>
      <c r="B411" s="933"/>
      <c r="C411" s="933"/>
      <c r="D411" s="933"/>
      <c r="E411" s="933"/>
      <c r="F411" s="933"/>
      <c r="G411" s="933"/>
      <c r="H411" s="933"/>
      <c r="I411" s="933"/>
      <c r="J411" s="933"/>
      <c r="K411" s="933"/>
      <c r="L411" s="933"/>
      <c r="M411" s="933"/>
      <c r="N411" s="933"/>
      <c r="O411" s="933"/>
      <c r="P411" s="933"/>
      <c r="Q411" s="933"/>
      <c r="R411" s="933"/>
      <c r="S411" s="933"/>
      <c r="T411" s="933"/>
      <c r="U411" s="933"/>
      <c r="V411" s="933"/>
      <c r="W411" s="933"/>
      <c r="X411" s="933"/>
      <c r="Y411" s="933"/>
      <c r="Z411" s="933"/>
      <c r="AA411" s="933"/>
      <c r="AB411" s="933"/>
      <c r="AC411" s="933"/>
      <c r="AD411" s="933"/>
      <c r="AE411" s="933"/>
    </row>
    <row r="412" spans="1:31" ht="12.75">
      <c r="A412" s="933"/>
      <c r="B412" s="933"/>
      <c r="C412" s="933"/>
      <c r="D412" s="933"/>
      <c r="E412" s="933"/>
      <c r="F412" s="933"/>
      <c r="G412" s="933"/>
      <c r="H412" s="933"/>
      <c r="I412" s="933"/>
      <c r="J412" s="933"/>
      <c r="K412" s="933"/>
      <c r="L412" s="933"/>
      <c r="M412" s="933"/>
      <c r="N412" s="933"/>
      <c r="O412" s="933"/>
      <c r="P412" s="933"/>
      <c r="Q412" s="933"/>
      <c r="R412" s="933"/>
      <c r="S412" s="933"/>
      <c r="T412" s="933"/>
      <c r="U412" s="933"/>
      <c r="V412" s="933"/>
      <c r="W412" s="933"/>
      <c r="X412" s="933"/>
      <c r="Y412" s="933"/>
      <c r="Z412" s="933"/>
      <c r="AA412" s="933"/>
      <c r="AB412" s="933"/>
      <c r="AC412" s="933"/>
      <c r="AD412" s="933"/>
      <c r="AE412" s="933"/>
    </row>
    <row r="413" spans="1:31" ht="12.75">
      <c r="A413" s="933"/>
      <c r="B413" s="933"/>
      <c r="C413" s="933"/>
      <c r="D413" s="933"/>
      <c r="E413" s="933"/>
      <c r="F413" s="933"/>
      <c r="G413" s="933"/>
      <c r="H413" s="933"/>
      <c r="I413" s="933"/>
      <c r="J413" s="933"/>
      <c r="K413" s="933"/>
      <c r="L413" s="933"/>
      <c r="M413" s="933"/>
      <c r="N413" s="933"/>
      <c r="O413" s="933"/>
      <c r="P413" s="933"/>
      <c r="Q413" s="933"/>
      <c r="R413" s="933"/>
      <c r="S413" s="933"/>
      <c r="T413" s="933"/>
      <c r="U413" s="933"/>
      <c r="V413" s="933"/>
      <c r="W413" s="933"/>
      <c r="X413" s="933"/>
      <c r="Y413" s="933"/>
      <c r="Z413" s="933"/>
      <c r="AA413" s="933"/>
      <c r="AB413" s="933"/>
      <c r="AC413" s="933"/>
      <c r="AD413" s="933"/>
      <c r="AE413" s="933"/>
    </row>
    <row r="414" spans="1:31" ht="12.75">
      <c r="A414" s="933"/>
      <c r="B414" s="933"/>
      <c r="C414" s="933"/>
      <c r="D414" s="933"/>
      <c r="E414" s="933"/>
      <c r="F414" s="933"/>
      <c r="G414" s="933"/>
      <c r="H414" s="933"/>
      <c r="I414" s="933"/>
      <c r="J414" s="933"/>
      <c r="K414" s="933"/>
      <c r="L414" s="933"/>
      <c r="M414" s="933"/>
      <c r="N414" s="933"/>
      <c r="O414" s="933"/>
      <c r="P414" s="933"/>
      <c r="Q414" s="933"/>
      <c r="R414" s="933"/>
      <c r="S414" s="933"/>
      <c r="T414" s="933"/>
      <c r="U414" s="933"/>
      <c r="V414" s="933"/>
      <c r="W414" s="933"/>
      <c r="X414" s="933"/>
      <c r="Y414" s="933"/>
      <c r="Z414" s="933"/>
      <c r="AA414" s="933"/>
      <c r="AB414" s="933"/>
      <c r="AC414" s="933"/>
      <c r="AD414" s="933"/>
      <c r="AE414" s="933"/>
    </row>
    <row r="415" spans="1:31" ht="12.75">
      <c r="A415" s="933"/>
      <c r="B415" s="933"/>
      <c r="C415" s="933"/>
      <c r="D415" s="933"/>
      <c r="E415" s="933"/>
      <c r="F415" s="933"/>
      <c r="G415" s="933"/>
      <c r="H415" s="933"/>
      <c r="I415" s="933"/>
      <c r="J415" s="933"/>
      <c r="K415" s="933"/>
      <c r="L415" s="933"/>
      <c r="M415" s="933"/>
      <c r="N415" s="933"/>
      <c r="O415" s="933"/>
      <c r="P415" s="933"/>
      <c r="Q415" s="933"/>
      <c r="R415" s="933"/>
      <c r="S415" s="933"/>
      <c r="T415" s="933"/>
      <c r="U415" s="933"/>
      <c r="V415" s="933"/>
      <c r="W415" s="933"/>
      <c r="X415" s="933"/>
      <c r="Y415" s="933"/>
      <c r="Z415" s="933"/>
      <c r="AA415" s="933"/>
      <c r="AB415" s="933"/>
      <c r="AC415" s="933"/>
      <c r="AD415" s="933"/>
      <c r="AE415" s="933"/>
    </row>
    <row r="416" spans="1:31" ht="12.75">
      <c r="A416" s="933"/>
      <c r="B416" s="933"/>
      <c r="C416" s="933"/>
      <c r="D416" s="933"/>
      <c r="E416" s="933"/>
      <c r="F416" s="933"/>
      <c r="G416" s="933"/>
      <c r="H416" s="933"/>
      <c r="I416" s="933"/>
      <c r="J416" s="933"/>
      <c r="K416" s="933"/>
      <c r="L416" s="933"/>
      <c r="M416" s="933"/>
      <c r="N416" s="933"/>
      <c r="O416" s="933"/>
      <c r="P416" s="933"/>
      <c r="Q416" s="933"/>
      <c r="R416" s="933"/>
      <c r="S416" s="933"/>
      <c r="T416" s="933"/>
      <c r="U416" s="933"/>
      <c r="V416" s="933"/>
      <c r="W416" s="933"/>
      <c r="X416" s="933"/>
      <c r="Y416" s="933"/>
      <c r="Z416" s="933"/>
      <c r="AA416" s="933"/>
      <c r="AB416" s="933"/>
      <c r="AC416" s="933"/>
      <c r="AD416" s="933"/>
      <c r="AE416" s="933"/>
    </row>
    <row r="417" spans="1:31" ht="12.75">
      <c r="A417" s="933"/>
      <c r="B417" s="933"/>
      <c r="C417" s="933"/>
      <c r="D417" s="933"/>
      <c r="E417" s="933"/>
      <c r="F417" s="933"/>
      <c r="G417" s="933"/>
      <c r="H417" s="933"/>
      <c r="I417" s="933"/>
      <c r="J417" s="933"/>
      <c r="K417" s="933"/>
      <c r="L417" s="933"/>
      <c r="M417" s="933"/>
      <c r="N417" s="933"/>
      <c r="O417" s="933"/>
      <c r="P417" s="933"/>
      <c r="Q417" s="933"/>
      <c r="R417" s="933"/>
      <c r="S417" s="933"/>
      <c r="T417" s="933"/>
      <c r="U417" s="933"/>
      <c r="V417" s="933"/>
      <c r="W417" s="933"/>
      <c r="X417" s="933"/>
      <c r="Y417" s="933"/>
      <c r="Z417" s="933"/>
      <c r="AA417" s="933"/>
      <c r="AB417" s="933"/>
      <c r="AC417" s="933"/>
      <c r="AD417" s="933"/>
      <c r="AE417" s="933"/>
    </row>
    <row r="418" spans="1:31" ht="12.75">
      <c r="A418" s="933"/>
      <c r="B418" s="933"/>
      <c r="C418" s="933"/>
      <c r="D418" s="933"/>
      <c r="E418" s="933"/>
      <c r="F418" s="933"/>
      <c r="G418" s="933"/>
      <c r="H418" s="933"/>
      <c r="I418" s="933"/>
      <c r="J418" s="933"/>
      <c r="K418" s="933"/>
      <c r="L418" s="933"/>
      <c r="M418" s="933"/>
      <c r="N418" s="933"/>
      <c r="O418" s="933"/>
      <c r="P418" s="933"/>
      <c r="Q418" s="933"/>
      <c r="R418" s="933"/>
      <c r="S418" s="933"/>
      <c r="T418" s="933"/>
      <c r="U418" s="933"/>
      <c r="V418" s="933"/>
      <c r="W418" s="933"/>
      <c r="X418" s="933"/>
      <c r="Y418" s="933"/>
      <c r="Z418" s="933"/>
      <c r="AA418" s="933"/>
      <c r="AB418" s="933"/>
      <c r="AC418" s="933"/>
      <c r="AD418" s="933"/>
      <c r="AE418" s="933"/>
    </row>
    <row r="419" spans="1:31" ht="12.75">
      <c r="A419" s="933"/>
      <c r="B419" s="933"/>
      <c r="C419" s="933"/>
      <c r="D419" s="933"/>
      <c r="E419" s="933"/>
      <c r="F419" s="933"/>
      <c r="G419" s="933"/>
      <c r="H419" s="933"/>
      <c r="I419" s="933"/>
      <c r="J419" s="933"/>
      <c r="K419" s="933"/>
      <c r="L419" s="933"/>
      <c r="M419" s="933"/>
      <c r="N419" s="933"/>
      <c r="O419" s="933"/>
      <c r="P419" s="933"/>
      <c r="Q419" s="933"/>
      <c r="R419" s="933"/>
      <c r="S419" s="933"/>
      <c r="T419" s="933"/>
      <c r="U419" s="933"/>
      <c r="V419" s="933"/>
      <c r="W419" s="933"/>
      <c r="X419" s="933"/>
      <c r="Y419" s="933"/>
      <c r="Z419" s="933"/>
      <c r="AA419" s="933"/>
      <c r="AB419" s="933"/>
      <c r="AC419" s="933"/>
      <c r="AD419" s="933"/>
      <c r="AE419" s="933"/>
    </row>
    <row r="420" spans="1:31" ht="12.75">
      <c r="A420" s="933"/>
      <c r="B420" s="933"/>
      <c r="C420" s="933"/>
      <c r="D420" s="933"/>
      <c r="E420" s="933"/>
      <c r="F420" s="933"/>
      <c r="G420" s="933"/>
      <c r="H420" s="933"/>
      <c r="I420" s="933"/>
      <c r="J420" s="933"/>
      <c r="K420" s="933"/>
      <c r="L420" s="933"/>
      <c r="M420" s="933"/>
      <c r="N420" s="933"/>
      <c r="O420" s="933"/>
      <c r="P420" s="933"/>
      <c r="Q420" s="933"/>
      <c r="R420" s="933"/>
      <c r="S420" s="933"/>
      <c r="T420" s="933"/>
      <c r="U420" s="933"/>
      <c r="V420" s="933"/>
      <c r="W420" s="933"/>
      <c r="X420" s="933"/>
      <c r="Y420" s="933"/>
      <c r="Z420" s="933"/>
      <c r="AA420" s="933"/>
      <c r="AB420" s="933"/>
      <c r="AC420" s="933"/>
      <c r="AD420" s="933"/>
      <c r="AE420" s="933"/>
    </row>
    <row r="421" spans="1:31" ht="12.75">
      <c r="A421" s="933"/>
      <c r="B421" s="933"/>
      <c r="C421" s="933"/>
      <c r="D421" s="933"/>
      <c r="E421" s="933"/>
      <c r="F421" s="933"/>
      <c r="G421" s="933"/>
      <c r="H421" s="933"/>
      <c r="I421" s="933"/>
      <c r="J421" s="933"/>
      <c r="K421" s="933"/>
      <c r="L421" s="933"/>
      <c r="M421" s="933"/>
      <c r="N421" s="933"/>
      <c r="O421" s="933"/>
      <c r="P421" s="933"/>
      <c r="Q421" s="933"/>
      <c r="R421" s="933"/>
      <c r="S421" s="933"/>
      <c r="T421" s="933"/>
      <c r="U421" s="933"/>
      <c r="V421" s="933"/>
      <c r="W421" s="933"/>
      <c r="X421" s="933"/>
      <c r="Y421" s="933"/>
      <c r="Z421" s="933"/>
      <c r="AA421" s="933"/>
      <c r="AB421" s="933"/>
      <c r="AC421" s="933"/>
      <c r="AD421" s="933"/>
      <c r="AE421" s="933"/>
    </row>
    <row r="422" spans="1:31" ht="12.75">
      <c r="A422" s="933"/>
      <c r="B422" s="933"/>
      <c r="C422" s="933"/>
      <c r="D422" s="933"/>
      <c r="E422" s="933"/>
      <c r="F422" s="933"/>
      <c r="G422" s="933"/>
      <c r="H422" s="933"/>
      <c r="I422" s="933"/>
      <c r="J422" s="933"/>
      <c r="K422" s="933"/>
      <c r="L422" s="933"/>
      <c r="M422" s="933"/>
      <c r="N422" s="933"/>
      <c r="O422" s="933"/>
      <c r="P422" s="933"/>
      <c r="Q422" s="933"/>
      <c r="R422" s="933"/>
      <c r="S422" s="933"/>
      <c r="T422" s="933"/>
      <c r="U422" s="933"/>
      <c r="V422" s="933"/>
      <c r="W422" s="933"/>
      <c r="X422" s="933"/>
      <c r="Y422" s="933"/>
      <c r="Z422" s="933"/>
      <c r="AA422" s="933"/>
      <c r="AB422" s="933"/>
      <c r="AC422" s="933"/>
      <c r="AD422" s="933"/>
      <c r="AE422" s="933"/>
    </row>
    <row r="423" spans="1:31" ht="12.75">
      <c r="A423" s="933"/>
      <c r="B423" s="933"/>
      <c r="C423" s="933"/>
      <c r="D423" s="933"/>
      <c r="E423" s="933"/>
      <c r="F423" s="933"/>
      <c r="G423" s="933"/>
      <c r="H423" s="933"/>
      <c r="I423" s="933"/>
      <c r="J423" s="933"/>
      <c r="K423" s="933"/>
      <c r="L423" s="933"/>
      <c r="M423" s="933"/>
      <c r="N423" s="933"/>
      <c r="O423" s="933"/>
      <c r="P423" s="933"/>
      <c r="Q423" s="933"/>
      <c r="R423" s="933"/>
      <c r="S423" s="933"/>
      <c r="T423" s="933"/>
      <c r="U423" s="933"/>
      <c r="V423" s="933"/>
      <c r="W423" s="933"/>
      <c r="X423" s="933"/>
      <c r="Y423" s="933"/>
      <c r="Z423" s="933"/>
      <c r="AA423" s="933"/>
      <c r="AB423" s="933"/>
      <c r="AC423" s="933"/>
      <c r="AD423" s="933"/>
      <c r="AE423" s="933"/>
    </row>
    <row r="424" spans="1:31" ht="12.75">
      <c r="A424" s="933"/>
      <c r="B424" s="933"/>
      <c r="C424" s="933"/>
      <c r="D424" s="933"/>
      <c r="E424" s="933"/>
      <c r="F424" s="933"/>
      <c r="G424" s="933"/>
      <c r="H424" s="933"/>
      <c r="I424" s="933"/>
      <c r="J424" s="933"/>
      <c r="K424" s="933"/>
      <c r="L424" s="933"/>
      <c r="M424" s="933"/>
      <c r="N424" s="933"/>
      <c r="O424" s="933"/>
      <c r="P424" s="933"/>
      <c r="Q424" s="933"/>
      <c r="R424" s="933"/>
      <c r="S424" s="933"/>
      <c r="T424" s="933"/>
      <c r="U424" s="933"/>
      <c r="V424" s="933"/>
      <c r="W424" s="933"/>
      <c r="X424" s="933"/>
      <c r="Y424" s="933"/>
      <c r="Z424" s="933"/>
      <c r="AA424" s="933"/>
      <c r="AB424" s="933"/>
      <c r="AC424" s="933"/>
      <c r="AD424" s="933"/>
      <c r="AE424" s="933"/>
    </row>
    <row r="425" spans="1:31" ht="12.75">
      <c r="A425" s="933"/>
      <c r="B425" s="933"/>
      <c r="C425" s="933"/>
      <c r="D425" s="933"/>
      <c r="E425" s="933"/>
      <c r="F425" s="933"/>
      <c r="G425" s="933"/>
      <c r="H425" s="933"/>
      <c r="I425" s="933"/>
      <c r="J425" s="933"/>
      <c r="K425" s="933"/>
      <c r="L425" s="933"/>
      <c r="M425" s="933"/>
      <c r="N425" s="933"/>
      <c r="O425" s="933"/>
      <c r="P425" s="933"/>
      <c r="Q425" s="933"/>
      <c r="R425" s="933"/>
      <c r="S425" s="933"/>
      <c r="T425" s="933"/>
      <c r="U425" s="933"/>
      <c r="V425" s="933"/>
      <c r="W425" s="933"/>
      <c r="X425" s="933"/>
      <c r="Y425" s="933"/>
      <c r="Z425" s="933"/>
      <c r="AA425" s="933"/>
      <c r="AB425" s="933"/>
      <c r="AC425" s="933"/>
      <c r="AD425" s="933"/>
      <c r="AE425" s="933"/>
    </row>
    <row r="426" spans="1:31" ht="12.75">
      <c r="A426" s="933"/>
      <c r="B426" s="933"/>
      <c r="C426" s="933"/>
      <c r="D426" s="933"/>
      <c r="E426" s="933"/>
      <c r="F426" s="933"/>
      <c r="G426" s="933"/>
      <c r="H426" s="933"/>
      <c r="I426" s="933"/>
      <c r="J426" s="933"/>
      <c r="K426" s="933"/>
      <c r="L426" s="933"/>
      <c r="M426" s="933"/>
      <c r="N426" s="933"/>
      <c r="O426" s="933"/>
      <c r="P426" s="933"/>
      <c r="Q426" s="933"/>
      <c r="R426" s="933"/>
      <c r="S426" s="933"/>
      <c r="T426" s="933"/>
      <c r="U426" s="933"/>
      <c r="V426" s="933"/>
      <c r="W426" s="933"/>
      <c r="X426" s="933"/>
      <c r="Y426" s="933"/>
      <c r="Z426" s="933"/>
      <c r="AA426" s="933"/>
      <c r="AB426" s="933"/>
      <c r="AC426" s="933"/>
      <c r="AD426" s="933"/>
      <c r="AE426" s="933"/>
    </row>
    <row r="427" spans="1:31" ht="12.75">
      <c r="A427" s="933"/>
      <c r="B427" s="933"/>
      <c r="C427" s="933"/>
      <c r="D427" s="933"/>
      <c r="E427" s="933"/>
      <c r="F427" s="933"/>
      <c r="G427" s="933"/>
      <c r="H427" s="933"/>
      <c r="I427" s="933"/>
      <c r="J427" s="933"/>
      <c r="K427" s="933"/>
      <c r="L427" s="933"/>
      <c r="M427" s="933"/>
      <c r="N427" s="933"/>
      <c r="O427" s="933"/>
      <c r="P427" s="933"/>
      <c r="Q427" s="933"/>
      <c r="R427" s="933"/>
      <c r="S427" s="933"/>
      <c r="T427" s="933"/>
      <c r="U427" s="933"/>
      <c r="V427" s="933"/>
      <c r="W427" s="933"/>
      <c r="X427" s="933"/>
      <c r="Y427" s="933"/>
      <c r="Z427" s="933"/>
      <c r="AA427" s="933"/>
      <c r="AB427" s="933"/>
      <c r="AC427" s="933"/>
      <c r="AD427" s="933"/>
      <c r="AE427" s="933"/>
    </row>
    <row r="428" spans="1:31" ht="12.75">
      <c r="A428" s="933"/>
      <c r="B428" s="933"/>
      <c r="C428" s="933"/>
      <c r="D428" s="933"/>
      <c r="E428" s="933"/>
      <c r="F428" s="933"/>
      <c r="G428" s="933"/>
      <c r="H428" s="933"/>
      <c r="I428" s="933"/>
      <c r="J428" s="933"/>
      <c r="K428" s="933"/>
      <c r="L428" s="933"/>
      <c r="M428" s="933"/>
      <c r="N428" s="933"/>
      <c r="O428" s="933"/>
      <c r="P428" s="933"/>
      <c r="Q428" s="933"/>
      <c r="R428" s="933"/>
      <c r="S428" s="933"/>
      <c r="T428" s="933"/>
      <c r="U428" s="933"/>
      <c r="V428" s="933"/>
      <c r="W428" s="933"/>
      <c r="X428" s="933"/>
      <c r="Y428" s="933"/>
      <c r="Z428" s="933"/>
      <c r="AA428" s="933"/>
      <c r="AB428" s="933"/>
      <c r="AC428" s="933"/>
      <c r="AD428" s="933"/>
      <c r="AE428" s="933"/>
    </row>
    <row r="429" spans="1:31" ht="12.75">
      <c r="A429" s="933"/>
      <c r="B429" s="933"/>
      <c r="C429" s="933"/>
      <c r="D429" s="933"/>
      <c r="E429" s="933"/>
      <c r="F429" s="933"/>
      <c r="G429" s="933"/>
      <c r="H429" s="933"/>
      <c r="I429" s="933"/>
      <c r="J429" s="933"/>
      <c r="K429" s="933"/>
      <c r="L429" s="933"/>
      <c r="M429" s="933"/>
      <c r="N429" s="933"/>
      <c r="O429" s="933"/>
      <c r="P429" s="933"/>
      <c r="Q429" s="933"/>
      <c r="R429" s="933"/>
      <c r="S429" s="933"/>
      <c r="T429" s="933"/>
      <c r="U429" s="933"/>
      <c r="V429" s="933"/>
      <c r="W429" s="933"/>
      <c r="X429" s="933"/>
      <c r="Y429" s="933"/>
      <c r="Z429" s="933"/>
      <c r="AA429" s="933"/>
      <c r="AB429" s="933"/>
      <c r="AC429" s="933"/>
      <c r="AD429" s="933"/>
      <c r="AE429" s="933"/>
    </row>
    <row r="430" spans="1:31" ht="12.75">
      <c r="A430" s="933"/>
      <c r="B430" s="933"/>
      <c r="C430" s="933"/>
      <c r="D430" s="933"/>
      <c r="E430" s="933"/>
      <c r="F430" s="933"/>
      <c r="G430" s="933"/>
      <c r="H430" s="933"/>
      <c r="I430" s="933"/>
      <c r="J430" s="933"/>
      <c r="K430" s="933"/>
      <c r="L430" s="933"/>
      <c r="M430" s="933"/>
      <c r="N430" s="933"/>
      <c r="O430" s="933"/>
      <c r="P430" s="933"/>
      <c r="Q430" s="933"/>
      <c r="R430" s="933"/>
      <c r="S430" s="933"/>
      <c r="T430" s="933"/>
      <c r="U430" s="933"/>
      <c r="V430" s="933"/>
      <c r="W430" s="933"/>
      <c r="X430" s="933"/>
      <c r="Y430" s="933"/>
      <c r="Z430" s="933"/>
      <c r="AA430" s="933"/>
      <c r="AB430" s="933"/>
      <c r="AC430" s="933"/>
      <c r="AD430" s="933"/>
      <c r="AE430" s="933"/>
    </row>
    <row r="431" spans="1:31" ht="12.75">
      <c r="A431" s="933"/>
      <c r="B431" s="933"/>
      <c r="C431" s="933"/>
      <c r="D431" s="933"/>
      <c r="E431" s="933"/>
      <c r="F431" s="933"/>
      <c r="G431" s="933"/>
      <c r="H431" s="933"/>
      <c r="I431" s="933"/>
      <c r="J431" s="933"/>
      <c r="K431" s="933"/>
      <c r="L431" s="933"/>
      <c r="M431" s="933"/>
      <c r="N431" s="933"/>
      <c r="O431" s="933"/>
      <c r="P431" s="933"/>
      <c r="Q431" s="933"/>
      <c r="R431" s="933"/>
      <c r="S431" s="933"/>
      <c r="T431" s="933"/>
      <c r="U431" s="933"/>
      <c r="V431" s="933"/>
      <c r="W431" s="933"/>
      <c r="X431" s="933"/>
      <c r="Y431" s="933"/>
      <c r="Z431" s="933"/>
      <c r="AA431" s="933"/>
      <c r="AB431" s="933"/>
      <c r="AC431" s="933"/>
      <c r="AD431" s="933"/>
      <c r="AE431" s="933"/>
    </row>
    <row r="432" spans="1:31" ht="12.75">
      <c r="A432" s="933"/>
      <c r="B432" s="933"/>
      <c r="C432" s="933"/>
      <c r="D432" s="933"/>
      <c r="E432" s="933"/>
      <c r="F432" s="933"/>
      <c r="G432" s="933"/>
      <c r="H432" s="933"/>
      <c r="I432" s="933"/>
      <c r="J432" s="933"/>
      <c r="K432" s="933"/>
      <c r="L432" s="933"/>
      <c r="M432" s="933"/>
      <c r="N432" s="933"/>
      <c r="O432" s="933"/>
      <c r="P432" s="933"/>
      <c r="Q432" s="933"/>
      <c r="R432" s="933"/>
      <c r="S432" s="933"/>
      <c r="T432" s="933"/>
      <c r="U432" s="933"/>
      <c r="V432" s="933"/>
      <c r="W432" s="933"/>
      <c r="X432" s="933"/>
      <c r="Y432" s="933"/>
      <c r="Z432" s="933"/>
      <c r="AA432" s="933"/>
      <c r="AB432" s="933"/>
      <c r="AC432" s="933"/>
      <c r="AD432" s="933"/>
      <c r="AE432" s="933"/>
    </row>
    <row r="433" spans="1:31" ht="12.75">
      <c r="A433" s="933"/>
      <c r="B433" s="933"/>
      <c r="C433" s="933"/>
      <c r="D433" s="933"/>
      <c r="E433" s="933"/>
      <c r="F433" s="933"/>
      <c r="G433" s="933"/>
      <c r="H433" s="933"/>
      <c r="I433" s="933"/>
      <c r="J433" s="933"/>
      <c r="K433" s="933"/>
      <c r="L433" s="933"/>
      <c r="M433" s="933"/>
      <c r="N433" s="933"/>
      <c r="O433" s="933"/>
      <c r="P433" s="933"/>
      <c r="Q433" s="933"/>
      <c r="R433" s="933"/>
      <c r="S433" s="933"/>
      <c r="T433" s="933"/>
      <c r="U433" s="933"/>
      <c r="V433" s="933"/>
      <c r="W433" s="933"/>
      <c r="X433" s="933"/>
      <c r="Y433" s="933"/>
      <c r="Z433" s="933"/>
      <c r="AA433" s="933"/>
      <c r="AB433" s="933"/>
      <c r="AC433" s="933"/>
      <c r="AD433" s="933"/>
      <c r="AE433" s="933"/>
    </row>
    <row r="434" spans="1:31" ht="12.75">
      <c r="A434" s="933"/>
      <c r="B434" s="933"/>
      <c r="C434" s="933"/>
      <c r="D434" s="933"/>
      <c r="E434" s="933"/>
      <c r="F434" s="933"/>
      <c r="G434" s="933"/>
      <c r="H434" s="933"/>
      <c r="I434" s="933"/>
      <c r="J434" s="933"/>
      <c r="K434" s="933"/>
      <c r="L434" s="933"/>
      <c r="M434" s="933"/>
      <c r="N434" s="933"/>
      <c r="O434" s="933"/>
      <c r="P434" s="933"/>
      <c r="Q434" s="933"/>
      <c r="R434" s="933"/>
      <c r="S434" s="933"/>
      <c r="T434" s="933"/>
      <c r="U434" s="933"/>
      <c r="V434" s="933"/>
      <c r="W434" s="933"/>
      <c r="X434" s="933"/>
      <c r="Y434" s="933"/>
      <c r="Z434" s="933"/>
      <c r="AA434" s="933"/>
      <c r="AB434" s="933"/>
      <c r="AC434" s="933"/>
      <c r="AD434" s="933"/>
      <c r="AE434" s="933"/>
    </row>
    <row r="435" spans="1:31" ht="12.75">
      <c r="A435" s="933"/>
      <c r="B435" s="933"/>
      <c r="C435" s="933"/>
      <c r="D435" s="933"/>
      <c r="E435" s="933"/>
      <c r="F435" s="933"/>
      <c r="G435" s="933"/>
      <c r="H435" s="933"/>
      <c r="I435" s="933"/>
      <c r="J435" s="933"/>
      <c r="K435" s="933"/>
      <c r="L435" s="933"/>
      <c r="M435" s="933"/>
      <c r="N435" s="933"/>
      <c r="O435" s="933"/>
      <c r="P435" s="933"/>
      <c r="Q435" s="933"/>
      <c r="R435" s="933"/>
      <c r="S435" s="933"/>
      <c r="T435" s="933"/>
      <c r="U435" s="933"/>
      <c r="V435" s="933"/>
      <c r="W435" s="933"/>
      <c r="X435" s="933"/>
      <c r="Y435" s="933"/>
      <c r="Z435" s="933"/>
      <c r="AA435" s="933"/>
      <c r="AB435" s="933"/>
      <c r="AC435" s="933"/>
      <c r="AD435" s="933"/>
      <c r="AE435" s="933"/>
    </row>
    <row r="436" spans="1:31" ht="12.75">
      <c r="A436" s="933"/>
      <c r="B436" s="933"/>
      <c r="C436" s="933"/>
      <c r="D436" s="933"/>
      <c r="E436" s="933"/>
      <c r="F436" s="933"/>
      <c r="G436" s="933"/>
      <c r="H436" s="933"/>
      <c r="I436" s="933"/>
      <c r="J436" s="933"/>
      <c r="K436" s="933"/>
      <c r="L436" s="933"/>
      <c r="M436" s="933"/>
      <c r="N436" s="933"/>
      <c r="O436" s="933"/>
      <c r="P436" s="933"/>
      <c r="Q436" s="933"/>
      <c r="R436" s="933"/>
      <c r="S436" s="933"/>
      <c r="T436" s="933"/>
      <c r="U436" s="933"/>
      <c r="V436" s="933"/>
      <c r="W436" s="933"/>
      <c r="X436" s="933"/>
      <c r="Y436" s="933"/>
      <c r="Z436" s="933"/>
      <c r="AA436" s="933"/>
      <c r="AB436" s="933"/>
      <c r="AC436" s="933"/>
      <c r="AD436" s="933"/>
      <c r="AE436" s="933"/>
    </row>
    <row r="437" spans="1:31" ht="12.75">
      <c r="A437" s="933"/>
      <c r="B437" s="933"/>
      <c r="C437" s="933"/>
      <c r="D437" s="933"/>
      <c r="E437" s="933"/>
      <c r="F437" s="933"/>
      <c r="G437" s="933"/>
      <c r="H437" s="933"/>
      <c r="I437" s="933"/>
      <c r="J437" s="933"/>
      <c r="K437" s="933"/>
      <c r="L437" s="933"/>
      <c r="M437" s="933"/>
      <c r="N437" s="933"/>
      <c r="O437" s="933"/>
      <c r="P437" s="933"/>
      <c r="Q437" s="933"/>
      <c r="R437" s="933"/>
      <c r="S437" s="933"/>
      <c r="T437" s="933"/>
      <c r="U437" s="933"/>
      <c r="V437" s="933"/>
      <c r="W437" s="933"/>
      <c r="X437" s="933"/>
      <c r="Y437" s="933"/>
      <c r="Z437" s="933"/>
      <c r="AA437" s="933"/>
      <c r="AB437" s="933"/>
      <c r="AC437" s="933"/>
      <c r="AD437" s="933"/>
      <c r="AE437" s="933"/>
    </row>
    <row r="438" spans="1:31" ht="12.75">
      <c r="A438" s="933"/>
      <c r="B438" s="933"/>
      <c r="C438" s="933"/>
      <c r="D438" s="933"/>
      <c r="E438" s="933"/>
      <c r="F438" s="933"/>
      <c r="G438" s="933"/>
      <c r="H438" s="933"/>
      <c r="I438" s="933"/>
      <c r="J438" s="933"/>
      <c r="K438" s="933"/>
      <c r="L438" s="933"/>
      <c r="M438" s="933"/>
      <c r="N438" s="933"/>
      <c r="O438" s="933"/>
      <c r="P438" s="933"/>
      <c r="Q438" s="933"/>
      <c r="R438" s="933"/>
      <c r="S438" s="933"/>
      <c r="T438" s="933"/>
      <c r="U438" s="933"/>
      <c r="V438" s="933"/>
      <c r="W438" s="933"/>
      <c r="X438" s="933"/>
      <c r="Y438" s="933"/>
      <c r="Z438" s="933"/>
      <c r="AA438" s="933"/>
      <c r="AB438" s="933"/>
      <c r="AC438" s="933"/>
      <c r="AD438" s="933"/>
      <c r="AE438" s="933"/>
    </row>
    <row r="439" spans="1:31" ht="12.75">
      <c r="A439" s="933"/>
      <c r="B439" s="933"/>
      <c r="C439" s="933"/>
      <c r="D439" s="933"/>
      <c r="E439" s="933"/>
      <c r="F439" s="933"/>
      <c r="G439" s="933"/>
      <c r="H439" s="933"/>
      <c r="I439" s="933"/>
      <c r="J439" s="933"/>
      <c r="K439" s="933"/>
      <c r="L439" s="933"/>
      <c r="M439" s="933"/>
      <c r="N439" s="933"/>
      <c r="O439" s="933"/>
      <c r="P439" s="933"/>
      <c r="Q439" s="933"/>
      <c r="R439" s="933"/>
      <c r="S439" s="933"/>
      <c r="T439" s="933"/>
      <c r="U439" s="933"/>
      <c r="V439" s="933"/>
      <c r="W439" s="933"/>
      <c r="X439" s="933"/>
      <c r="Y439" s="933"/>
      <c r="Z439" s="933"/>
      <c r="AA439" s="933"/>
      <c r="AB439" s="933"/>
      <c r="AC439" s="933"/>
      <c r="AD439" s="933"/>
      <c r="AE439" s="933"/>
    </row>
    <row r="440" spans="1:31" ht="12.75">
      <c r="A440" s="933"/>
      <c r="B440" s="933"/>
      <c r="C440" s="933"/>
      <c r="D440" s="933"/>
      <c r="E440" s="933"/>
      <c r="F440" s="933"/>
      <c r="G440" s="933"/>
      <c r="H440" s="933"/>
      <c r="I440" s="933"/>
      <c r="J440" s="933"/>
      <c r="K440" s="933"/>
      <c r="L440" s="933"/>
      <c r="M440" s="933"/>
      <c r="N440" s="933"/>
      <c r="O440" s="933"/>
      <c r="P440" s="933"/>
      <c r="Q440" s="933"/>
      <c r="R440" s="933"/>
      <c r="S440" s="933"/>
      <c r="T440" s="933"/>
      <c r="U440" s="933"/>
      <c r="V440" s="933"/>
      <c r="W440" s="933"/>
      <c r="X440" s="933"/>
      <c r="Y440" s="933"/>
      <c r="Z440" s="933"/>
      <c r="AA440" s="933"/>
      <c r="AB440" s="933"/>
      <c r="AC440" s="933"/>
      <c r="AD440" s="933"/>
      <c r="AE440" s="933"/>
    </row>
    <row r="441" spans="1:31" ht="12.75">
      <c r="A441" s="933"/>
      <c r="B441" s="933"/>
      <c r="C441" s="933"/>
      <c r="D441" s="933"/>
      <c r="E441" s="933"/>
      <c r="F441" s="933"/>
      <c r="G441" s="933"/>
      <c r="H441" s="933"/>
      <c r="I441" s="933"/>
      <c r="J441" s="933"/>
      <c r="K441" s="933"/>
      <c r="L441" s="933"/>
      <c r="M441" s="933"/>
      <c r="N441" s="933"/>
      <c r="O441" s="933"/>
      <c r="P441" s="933"/>
      <c r="Q441" s="933"/>
      <c r="R441" s="933"/>
      <c r="S441" s="933"/>
      <c r="T441" s="933"/>
      <c r="U441" s="933"/>
      <c r="V441" s="933"/>
      <c r="W441" s="933"/>
      <c r="X441" s="933"/>
      <c r="Y441" s="933"/>
      <c r="Z441" s="933"/>
      <c r="AA441" s="933"/>
      <c r="AB441" s="933"/>
      <c r="AC441" s="933"/>
      <c r="AD441" s="933"/>
      <c r="AE441" s="933"/>
    </row>
    <row r="442" spans="1:31" ht="12.75">
      <c r="A442" s="933"/>
      <c r="B442" s="933"/>
      <c r="C442" s="933"/>
      <c r="D442" s="933"/>
      <c r="E442" s="933"/>
      <c r="F442" s="933"/>
      <c r="G442" s="933"/>
      <c r="H442" s="933"/>
      <c r="I442" s="933"/>
      <c r="J442" s="933"/>
      <c r="K442" s="933"/>
      <c r="L442" s="933"/>
      <c r="M442" s="933"/>
      <c r="N442" s="933"/>
      <c r="O442" s="933"/>
      <c r="P442" s="933"/>
      <c r="Q442" s="933"/>
      <c r="R442" s="933"/>
      <c r="S442" s="933"/>
      <c r="T442" s="933"/>
      <c r="U442" s="933"/>
      <c r="V442" s="933"/>
      <c r="W442" s="933"/>
      <c r="X442" s="933"/>
      <c r="Y442" s="933"/>
      <c r="Z442" s="933"/>
      <c r="AA442" s="933"/>
      <c r="AB442" s="933"/>
      <c r="AC442" s="933"/>
      <c r="AD442" s="933"/>
      <c r="AE442" s="933"/>
    </row>
    <row r="443" spans="1:31" ht="12.75">
      <c r="A443" s="933"/>
      <c r="B443" s="933"/>
      <c r="C443" s="933"/>
      <c r="D443" s="933"/>
      <c r="E443" s="933"/>
      <c r="F443" s="933"/>
      <c r="G443" s="933"/>
      <c r="H443" s="933"/>
      <c r="I443" s="933"/>
      <c r="J443" s="933"/>
      <c r="K443" s="933"/>
      <c r="L443" s="933"/>
      <c r="M443" s="933"/>
      <c r="N443" s="933"/>
      <c r="O443" s="933"/>
      <c r="P443" s="933"/>
      <c r="Q443" s="933"/>
      <c r="R443" s="933"/>
      <c r="S443" s="933"/>
      <c r="T443" s="933"/>
      <c r="U443" s="933"/>
      <c r="V443" s="933"/>
      <c r="W443" s="933"/>
      <c r="X443" s="933"/>
      <c r="Y443" s="933"/>
      <c r="Z443" s="933"/>
      <c r="AA443" s="933"/>
      <c r="AB443" s="933"/>
      <c r="AC443" s="933"/>
      <c r="AD443" s="933"/>
      <c r="AE443" s="933"/>
    </row>
    <row r="444" spans="1:31" ht="12.75">
      <c r="A444" s="933"/>
      <c r="B444" s="933"/>
      <c r="C444" s="933"/>
      <c r="D444" s="933"/>
      <c r="E444" s="933"/>
      <c r="F444" s="933"/>
      <c r="G444" s="933"/>
      <c r="H444" s="933"/>
      <c r="I444" s="933"/>
      <c r="J444" s="933"/>
      <c r="K444" s="933"/>
      <c r="L444" s="933"/>
      <c r="M444" s="933"/>
      <c r="N444" s="933"/>
      <c r="O444" s="933"/>
      <c r="P444" s="933"/>
      <c r="Q444" s="933"/>
      <c r="R444" s="933"/>
      <c r="S444" s="933"/>
      <c r="T444" s="933"/>
      <c r="U444" s="933"/>
      <c r="V444" s="933"/>
      <c r="W444" s="933"/>
      <c r="X444" s="933"/>
      <c r="Y444" s="933"/>
      <c r="Z444" s="933"/>
      <c r="AA444" s="933"/>
      <c r="AB444" s="933"/>
      <c r="AC444" s="933"/>
      <c r="AD444" s="933"/>
      <c r="AE444" s="933"/>
    </row>
    <row r="445" spans="1:31" ht="12.75">
      <c r="A445" s="933"/>
      <c r="B445" s="933"/>
      <c r="C445" s="933"/>
      <c r="D445" s="933"/>
      <c r="E445" s="933"/>
      <c r="F445" s="933"/>
      <c r="G445" s="933"/>
      <c r="H445" s="933"/>
      <c r="I445" s="933"/>
      <c r="J445" s="933"/>
      <c r="K445" s="933"/>
      <c r="L445" s="933"/>
      <c r="M445" s="933"/>
      <c r="N445" s="933"/>
      <c r="O445" s="933"/>
      <c r="P445" s="933"/>
      <c r="Q445" s="933"/>
      <c r="R445" s="933"/>
      <c r="S445" s="933"/>
      <c r="T445" s="933"/>
      <c r="U445" s="933"/>
      <c r="V445" s="933"/>
      <c r="W445" s="933"/>
      <c r="X445" s="933"/>
      <c r="Y445" s="933"/>
      <c r="Z445" s="933"/>
      <c r="AA445" s="933"/>
      <c r="AB445" s="933"/>
      <c r="AC445" s="933"/>
      <c r="AD445" s="933"/>
      <c r="AE445" s="933"/>
    </row>
    <row r="446" spans="1:31" ht="12.75">
      <c r="A446" s="933"/>
      <c r="B446" s="933"/>
      <c r="C446" s="933"/>
      <c r="D446" s="933"/>
      <c r="E446" s="933"/>
      <c r="F446" s="933"/>
      <c r="G446" s="933"/>
      <c r="H446" s="933"/>
      <c r="I446" s="933"/>
      <c r="J446" s="933"/>
      <c r="K446" s="933"/>
      <c r="L446" s="933"/>
      <c r="M446" s="933"/>
      <c r="N446" s="933"/>
      <c r="O446" s="933"/>
      <c r="P446" s="933"/>
      <c r="Q446" s="933"/>
      <c r="R446" s="933"/>
      <c r="S446" s="933"/>
      <c r="T446" s="933"/>
      <c r="U446" s="933"/>
      <c r="V446" s="933"/>
      <c r="W446" s="933"/>
      <c r="X446" s="933"/>
      <c r="Y446" s="933"/>
      <c r="Z446" s="933"/>
      <c r="AA446" s="933"/>
      <c r="AB446" s="933"/>
      <c r="AC446" s="933"/>
      <c r="AD446" s="933"/>
      <c r="AE446" s="933"/>
    </row>
    <row r="447" spans="1:31" ht="12.75">
      <c r="A447" s="933"/>
      <c r="B447" s="933"/>
      <c r="C447" s="933"/>
      <c r="D447" s="933"/>
      <c r="E447" s="933"/>
      <c r="F447" s="933"/>
      <c r="G447" s="933"/>
      <c r="H447" s="933"/>
      <c r="I447" s="933"/>
      <c r="J447" s="933"/>
      <c r="K447" s="933"/>
      <c r="L447" s="933"/>
      <c r="M447" s="933"/>
      <c r="N447" s="933"/>
      <c r="O447" s="933"/>
      <c r="P447" s="933"/>
      <c r="Q447" s="933"/>
      <c r="R447" s="933"/>
      <c r="S447" s="933"/>
      <c r="T447" s="933"/>
      <c r="U447" s="933"/>
      <c r="V447" s="933"/>
      <c r="W447" s="933"/>
      <c r="X447" s="933"/>
      <c r="Y447" s="933"/>
      <c r="Z447" s="933"/>
      <c r="AA447" s="933"/>
      <c r="AB447" s="933"/>
      <c r="AC447" s="933"/>
      <c r="AD447" s="933"/>
      <c r="AE447" s="933"/>
    </row>
    <row r="448" spans="1:31" ht="12.75">
      <c r="A448" s="933"/>
      <c r="B448" s="933"/>
      <c r="C448" s="933"/>
      <c r="D448" s="933"/>
      <c r="E448" s="933"/>
      <c r="F448" s="933"/>
      <c r="G448" s="933"/>
      <c r="H448" s="933"/>
      <c r="I448" s="933"/>
      <c r="J448" s="933"/>
      <c r="K448" s="933"/>
      <c r="L448" s="933"/>
      <c r="M448" s="933"/>
      <c r="N448" s="933"/>
      <c r="O448" s="933"/>
      <c r="P448" s="933"/>
      <c r="Q448" s="933"/>
      <c r="R448" s="933"/>
      <c r="S448" s="933"/>
      <c r="T448" s="933"/>
      <c r="U448" s="933"/>
      <c r="V448" s="933"/>
      <c r="W448" s="933"/>
      <c r="X448" s="933"/>
      <c r="Y448" s="933"/>
      <c r="Z448" s="933"/>
      <c r="AA448" s="933"/>
      <c r="AB448" s="933"/>
      <c r="AC448" s="933"/>
      <c r="AD448" s="933"/>
      <c r="AE448" s="933"/>
    </row>
    <row r="449" spans="1:31" ht="12.75">
      <c r="A449" s="933"/>
      <c r="B449" s="933"/>
      <c r="C449" s="933"/>
      <c r="D449" s="933"/>
      <c r="E449" s="933"/>
      <c r="F449" s="933"/>
      <c r="G449" s="933"/>
      <c r="H449" s="933"/>
      <c r="I449" s="933"/>
      <c r="J449" s="933"/>
      <c r="K449" s="933"/>
      <c r="L449" s="933"/>
      <c r="M449" s="933"/>
      <c r="N449" s="933"/>
      <c r="O449" s="933"/>
      <c r="P449" s="933"/>
      <c r="Q449" s="933"/>
      <c r="R449" s="933"/>
      <c r="S449" s="933"/>
      <c r="T449" s="933"/>
      <c r="U449" s="933"/>
      <c r="V449" s="933"/>
      <c r="W449" s="933"/>
      <c r="X449" s="933"/>
      <c r="Y449" s="933"/>
      <c r="Z449" s="933"/>
      <c r="AA449" s="933"/>
      <c r="AB449" s="933"/>
      <c r="AC449" s="933"/>
      <c r="AD449" s="933"/>
      <c r="AE449" s="933"/>
    </row>
    <row r="450" spans="1:31" ht="12.75">
      <c r="A450" s="933"/>
      <c r="B450" s="933"/>
      <c r="C450" s="933"/>
      <c r="D450" s="933"/>
      <c r="E450" s="933"/>
      <c r="F450" s="933"/>
      <c r="G450" s="933"/>
      <c r="H450" s="933"/>
      <c r="I450" s="933"/>
      <c r="J450" s="933"/>
      <c r="K450" s="933"/>
      <c r="L450" s="933"/>
      <c r="M450" s="933"/>
      <c r="N450" s="933"/>
      <c r="O450" s="933"/>
      <c r="P450" s="933"/>
      <c r="Q450" s="933"/>
      <c r="R450" s="933"/>
      <c r="S450" s="933"/>
      <c r="T450" s="933"/>
      <c r="U450" s="933"/>
      <c r="V450" s="933"/>
      <c r="W450" s="933"/>
      <c r="X450" s="933"/>
      <c r="Y450" s="933"/>
      <c r="Z450" s="933"/>
      <c r="AA450" s="933"/>
      <c r="AB450" s="933"/>
      <c r="AC450" s="933"/>
      <c r="AD450" s="933"/>
      <c r="AE450" s="933"/>
    </row>
    <row r="451" spans="1:31" ht="12.75">
      <c r="A451" s="933"/>
      <c r="B451" s="933"/>
      <c r="C451" s="933"/>
      <c r="D451" s="933"/>
      <c r="E451" s="933"/>
      <c r="F451" s="933"/>
      <c r="G451" s="933"/>
      <c r="H451" s="933"/>
      <c r="I451" s="933"/>
      <c r="J451" s="933"/>
      <c r="K451" s="933"/>
      <c r="L451" s="933"/>
      <c r="M451" s="933"/>
      <c r="N451" s="933"/>
      <c r="O451" s="933"/>
      <c r="P451" s="933"/>
      <c r="Q451" s="933"/>
      <c r="R451" s="933"/>
      <c r="S451" s="933"/>
      <c r="T451" s="933"/>
      <c r="U451" s="933"/>
      <c r="V451" s="933"/>
      <c r="W451" s="933"/>
      <c r="X451" s="933"/>
      <c r="Y451" s="933"/>
      <c r="Z451" s="933"/>
      <c r="AA451" s="933"/>
      <c r="AB451" s="933"/>
      <c r="AC451" s="933"/>
      <c r="AD451" s="933"/>
      <c r="AE451" s="933"/>
    </row>
    <row r="452" spans="1:31" ht="12.75">
      <c r="A452" s="933"/>
      <c r="B452" s="933"/>
      <c r="C452" s="933"/>
      <c r="D452" s="933"/>
      <c r="E452" s="933"/>
      <c r="F452" s="933"/>
      <c r="G452" s="933"/>
      <c r="H452" s="933"/>
      <c r="I452" s="933"/>
      <c r="J452" s="933"/>
      <c r="K452" s="933"/>
      <c r="L452" s="933"/>
      <c r="M452" s="933"/>
      <c r="N452" s="933"/>
      <c r="O452" s="933"/>
      <c r="P452" s="933"/>
      <c r="Q452" s="933"/>
      <c r="R452" s="933"/>
      <c r="S452" s="933"/>
      <c r="T452" s="933"/>
      <c r="U452" s="933"/>
      <c r="V452" s="933"/>
      <c r="W452" s="933"/>
      <c r="X452" s="933"/>
      <c r="Y452" s="933"/>
      <c r="Z452" s="933"/>
      <c r="AA452" s="933"/>
      <c r="AB452" s="933"/>
      <c r="AC452" s="933"/>
      <c r="AD452" s="933"/>
      <c r="AE452" s="933"/>
    </row>
    <row r="453" spans="1:31" ht="12.75">
      <c r="A453" s="933"/>
      <c r="B453" s="933"/>
      <c r="C453" s="933"/>
      <c r="D453" s="933"/>
      <c r="E453" s="933"/>
      <c r="F453" s="933"/>
      <c r="G453" s="933"/>
      <c r="H453" s="933"/>
      <c r="I453" s="933"/>
      <c r="J453" s="933"/>
      <c r="K453" s="933"/>
      <c r="L453" s="933"/>
      <c r="M453" s="933"/>
      <c r="N453" s="933"/>
      <c r="O453" s="933"/>
      <c r="P453" s="933"/>
      <c r="Q453" s="933"/>
      <c r="R453" s="933"/>
      <c r="S453" s="933"/>
      <c r="T453" s="933"/>
      <c r="U453" s="933"/>
      <c r="V453" s="933"/>
      <c r="W453" s="933"/>
      <c r="X453" s="933"/>
      <c r="Y453" s="933"/>
      <c r="Z453" s="933"/>
      <c r="AA453" s="933"/>
      <c r="AB453" s="933"/>
      <c r="AC453" s="933"/>
      <c r="AD453" s="933"/>
      <c r="AE453" s="933"/>
    </row>
    <row r="454" spans="1:31" ht="12.75">
      <c r="A454" s="933"/>
      <c r="B454" s="933"/>
      <c r="C454" s="933"/>
      <c r="D454" s="933"/>
      <c r="E454" s="933"/>
      <c r="F454" s="933"/>
      <c r="G454" s="933"/>
      <c r="H454" s="933"/>
      <c r="I454" s="933"/>
      <c r="J454" s="933"/>
      <c r="K454" s="933"/>
      <c r="L454" s="933"/>
      <c r="M454" s="933"/>
      <c r="N454" s="933"/>
      <c r="O454" s="933"/>
      <c r="P454" s="933"/>
      <c r="Q454" s="933"/>
      <c r="R454" s="933"/>
      <c r="S454" s="933"/>
      <c r="T454" s="933"/>
      <c r="U454" s="933"/>
      <c r="V454" s="933"/>
      <c r="W454" s="933"/>
      <c r="X454" s="933"/>
      <c r="Y454" s="933"/>
      <c r="Z454" s="933"/>
      <c r="AA454" s="933"/>
      <c r="AB454" s="933"/>
      <c r="AC454" s="933"/>
      <c r="AD454" s="933"/>
      <c r="AE454" s="933"/>
    </row>
    <row r="455" spans="1:31" ht="12.75">
      <c r="A455" s="933"/>
      <c r="B455" s="933"/>
      <c r="C455" s="933"/>
      <c r="D455" s="933"/>
      <c r="E455" s="933"/>
      <c r="F455" s="933"/>
      <c r="G455" s="933"/>
      <c r="H455" s="933"/>
      <c r="I455" s="933"/>
      <c r="J455" s="933"/>
      <c r="K455" s="933"/>
      <c r="L455" s="933"/>
      <c r="M455" s="933"/>
      <c r="N455" s="933"/>
      <c r="O455" s="933"/>
      <c r="P455" s="933"/>
      <c r="Q455" s="933"/>
      <c r="R455" s="933"/>
      <c r="S455" s="933"/>
      <c r="T455" s="933"/>
      <c r="U455" s="933"/>
      <c r="V455" s="933"/>
      <c r="W455" s="933"/>
      <c r="X455" s="933"/>
      <c r="Y455" s="933"/>
      <c r="Z455" s="933"/>
      <c r="AA455" s="933"/>
      <c r="AB455" s="933"/>
      <c r="AC455" s="933"/>
      <c r="AD455" s="933"/>
      <c r="AE455" s="933"/>
    </row>
    <row r="456" spans="1:31" ht="12.75">
      <c r="A456" s="933"/>
      <c r="B456" s="933"/>
      <c r="C456" s="933"/>
      <c r="D456" s="933"/>
      <c r="E456" s="933"/>
      <c r="F456" s="933"/>
      <c r="G456" s="933"/>
      <c r="H456" s="933"/>
      <c r="I456" s="933"/>
      <c r="J456" s="933"/>
      <c r="K456" s="933"/>
      <c r="L456" s="933"/>
      <c r="M456" s="933"/>
      <c r="N456" s="933"/>
      <c r="O456" s="933"/>
      <c r="P456" s="933"/>
      <c r="Q456" s="933"/>
      <c r="R456" s="933"/>
      <c r="S456" s="933"/>
      <c r="T456" s="933"/>
      <c r="U456" s="933"/>
      <c r="V456" s="933"/>
      <c r="W456" s="933"/>
      <c r="X456" s="933"/>
      <c r="Y456" s="933"/>
      <c r="Z456" s="933"/>
      <c r="AA456" s="933"/>
      <c r="AB456" s="933"/>
      <c r="AC456" s="933"/>
      <c r="AD456" s="933"/>
      <c r="AE456" s="933"/>
    </row>
    <row r="457" spans="1:31" ht="12.75">
      <c r="A457" s="933"/>
      <c r="B457" s="933"/>
      <c r="C457" s="933"/>
      <c r="D457" s="933"/>
      <c r="E457" s="933"/>
      <c r="F457" s="933"/>
      <c r="G457" s="933"/>
      <c r="H457" s="933"/>
      <c r="I457" s="933"/>
      <c r="J457" s="933"/>
      <c r="K457" s="933"/>
      <c r="L457" s="933"/>
      <c r="M457" s="933"/>
      <c r="N457" s="933"/>
      <c r="O457" s="933"/>
      <c r="P457" s="933"/>
      <c r="Q457" s="933"/>
      <c r="R457" s="933"/>
      <c r="S457" s="933"/>
      <c r="T457" s="933"/>
      <c r="U457" s="933"/>
      <c r="V457" s="933"/>
      <c r="W457" s="933"/>
      <c r="X457" s="933"/>
      <c r="Y457" s="933"/>
      <c r="Z457" s="933"/>
      <c r="AA457" s="933"/>
      <c r="AB457" s="933"/>
      <c r="AC457" s="933"/>
      <c r="AD457" s="933"/>
      <c r="AE457" s="933"/>
    </row>
    <row r="458" spans="1:31" ht="12.75">
      <c r="A458" s="933"/>
      <c r="B458" s="933"/>
      <c r="C458" s="933"/>
      <c r="D458" s="933"/>
      <c r="E458" s="933"/>
      <c r="F458" s="933"/>
      <c r="G458" s="933"/>
      <c r="H458" s="933"/>
      <c r="I458" s="933"/>
      <c r="J458" s="933"/>
      <c r="K458" s="933"/>
      <c r="L458" s="933"/>
      <c r="M458" s="933"/>
      <c r="N458" s="933"/>
      <c r="O458" s="933"/>
      <c r="P458" s="933"/>
      <c r="Q458" s="933"/>
      <c r="R458" s="933"/>
      <c r="S458" s="933"/>
      <c r="T458" s="933"/>
      <c r="U458" s="933"/>
      <c r="V458" s="933"/>
      <c r="W458" s="933"/>
      <c r="X458" s="933"/>
      <c r="Y458" s="933"/>
      <c r="Z458" s="933"/>
      <c r="AA458" s="933"/>
      <c r="AB458" s="933"/>
      <c r="AC458" s="933"/>
      <c r="AD458" s="933"/>
      <c r="AE458" s="933"/>
    </row>
    <row r="459" spans="1:31" ht="12.75">
      <c r="A459" s="933"/>
      <c r="B459" s="933"/>
      <c r="C459" s="933"/>
      <c r="D459" s="933"/>
      <c r="E459" s="933"/>
      <c r="F459" s="933"/>
      <c r="G459" s="933"/>
      <c r="H459" s="933"/>
      <c r="I459" s="933"/>
      <c r="J459" s="933"/>
      <c r="K459" s="933"/>
      <c r="L459" s="933"/>
      <c r="M459" s="933"/>
      <c r="N459" s="933"/>
      <c r="O459" s="933"/>
      <c r="P459" s="933"/>
      <c r="Q459" s="933"/>
      <c r="R459" s="933"/>
      <c r="S459" s="933"/>
      <c r="T459" s="933"/>
      <c r="U459" s="933"/>
      <c r="V459" s="933"/>
      <c r="W459" s="933"/>
      <c r="X459" s="933"/>
      <c r="Y459" s="933"/>
      <c r="Z459" s="933"/>
      <c r="AA459" s="933"/>
      <c r="AB459" s="933"/>
      <c r="AC459" s="933"/>
      <c r="AD459" s="933"/>
      <c r="AE459" s="933"/>
    </row>
    <row r="460" spans="1:31" ht="12.75">
      <c r="A460" s="933"/>
      <c r="B460" s="933"/>
      <c r="C460" s="933"/>
      <c r="D460" s="933"/>
      <c r="E460" s="933"/>
      <c r="F460" s="933"/>
      <c r="G460" s="933"/>
      <c r="H460" s="933"/>
      <c r="I460" s="933"/>
      <c r="J460" s="933"/>
      <c r="K460" s="933"/>
      <c r="L460" s="933"/>
      <c r="M460" s="933"/>
      <c r="N460" s="933"/>
      <c r="O460" s="933"/>
      <c r="P460" s="933"/>
      <c r="Q460" s="933"/>
      <c r="R460" s="933"/>
      <c r="S460" s="933"/>
      <c r="T460" s="933"/>
      <c r="U460" s="933"/>
      <c r="V460" s="933"/>
      <c r="W460" s="933"/>
      <c r="X460" s="933"/>
      <c r="Y460" s="933"/>
      <c r="Z460" s="933"/>
      <c r="AA460" s="933"/>
      <c r="AB460" s="933"/>
      <c r="AC460" s="933"/>
      <c r="AD460" s="933"/>
      <c r="AE460" s="933"/>
    </row>
    <row r="461" spans="1:31" ht="12.75">
      <c r="A461" s="933"/>
      <c r="B461" s="933"/>
      <c r="C461" s="933"/>
      <c r="D461" s="933"/>
      <c r="E461" s="933"/>
      <c r="F461" s="933"/>
      <c r="G461" s="933"/>
      <c r="H461" s="933"/>
      <c r="I461" s="933"/>
      <c r="J461" s="933"/>
      <c r="K461" s="933"/>
      <c r="L461" s="933"/>
      <c r="M461" s="933"/>
      <c r="N461" s="933"/>
      <c r="O461" s="933"/>
      <c r="P461" s="933"/>
      <c r="Q461" s="933"/>
      <c r="R461" s="933"/>
      <c r="S461" s="933"/>
      <c r="T461" s="933"/>
      <c r="U461" s="933"/>
      <c r="V461" s="933"/>
      <c r="W461" s="933"/>
      <c r="X461" s="933"/>
      <c r="Y461" s="933"/>
      <c r="Z461" s="933"/>
      <c r="AA461" s="933"/>
      <c r="AB461" s="933"/>
      <c r="AC461" s="933"/>
      <c r="AD461" s="933"/>
      <c r="AE461" s="933"/>
    </row>
    <row r="462" spans="1:31" ht="12.75">
      <c r="A462" s="933"/>
      <c r="B462" s="933"/>
      <c r="C462" s="933"/>
      <c r="D462" s="933"/>
      <c r="E462" s="933"/>
      <c r="F462" s="933"/>
      <c r="G462" s="933"/>
      <c r="H462" s="933"/>
      <c r="I462" s="933"/>
      <c r="J462" s="933"/>
      <c r="K462" s="933"/>
      <c r="L462" s="933"/>
      <c r="M462" s="933"/>
      <c r="N462" s="933"/>
      <c r="O462" s="933"/>
      <c r="P462" s="933"/>
      <c r="Q462" s="933"/>
      <c r="R462" s="933"/>
      <c r="S462" s="933"/>
      <c r="T462" s="933"/>
      <c r="U462" s="933"/>
      <c r="V462" s="933"/>
      <c r="W462" s="933"/>
      <c r="X462" s="933"/>
      <c r="Y462" s="933"/>
      <c r="Z462" s="933"/>
      <c r="AA462" s="933"/>
      <c r="AB462" s="933"/>
      <c r="AC462" s="933"/>
      <c r="AD462" s="933"/>
      <c r="AE462" s="933"/>
    </row>
    <row r="463" spans="1:31" ht="12.75">
      <c r="A463" s="933"/>
      <c r="B463" s="933"/>
      <c r="C463" s="933"/>
      <c r="D463" s="933"/>
      <c r="E463" s="933"/>
      <c r="F463" s="933"/>
      <c r="G463" s="933"/>
      <c r="H463" s="933"/>
      <c r="I463" s="933"/>
      <c r="J463" s="933"/>
      <c r="K463" s="933"/>
      <c r="L463" s="933"/>
      <c r="M463" s="933"/>
      <c r="N463" s="933"/>
      <c r="O463" s="933"/>
      <c r="P463" s="933"/>
      <c r="Q463" s="933"/>
      <c r="R463" s="933"/>
      <c r="S463" s="933"/>
      <c r="T463" s="933"/>
      <c r="U463" s="933"/>
      <c r="V463" s="933"/>
      <c r="W463" s="933"/>
      <c r="X463" s="933"/>
      <c r="Y463" s="933"/>
      <c r="Z463" s="933"/>
      <c r="AA463" s="933"/>
      <c r="AB463" s="933"/>
      <c r="AC463" s="933"/>
      <c r="AD463" s="933"/>
      <c r="AE463" s="933"/>
    </row>
    <row r="464" spans="1:31" ht="12.75">
      <c r="A464" s="933"/>
      <c r="B464" s="933"/>
      <c r="C464" s="933"/>
      <c r="D464" s="933"/>
      <c r="E464" s="933"/>
      <c r="F464" s="933"/>
      <c r="G464" s="933"/>
      <c r="H464" s="933"/>
      <c r="I464" s="933"/>
      <c r="J464" s="933"/>
      <c r="K464" s="933"/>
      <c r="L464" s="933"/>
      <c r="M464" s="933"/>
      <c r="N464" s="933"/>
      <c r="O464" s="933"/>
      <c r="P464" s="933"/>
      <c r="Q464" s="933"/>
      <c r="R464" s="933"/>
      <c r="S464" s="933"/>
      <c r="T464" s="933"/>
      <c r="U464" s="933"/>
      <c r="V464" s="933"/>
      <c r="W464" s="933"/>
      <c r="X464" s="933"/>
      <c r="Y464" s="933"/>
      <c r="Z464" s="933"/>
      <c r="AA464" s="933"/>
      <c r="AB464" s="933"/>
      <c r="AC464" s="933"/>
      <c r="AD464" s="933"/>
      <c r="AE464" s="933"/>
    </row>
    <row r="465" spans="1:31" ht="12.75">
      <c r="A465" s="933"/>
      <c r="B465" s="933"/>
      <c r="C465" s="933"/>
      <c r="D465" s="933"/>
      <c r="E465" s="933"/>
      <c r="F465" s="933"/>
      <c r="G465" s="933"/>
      <c r="H465" s="933"/>
      <c r="I465" s="933"/>
      <c r="J465" s="933"/>
      <c r="K465" s="933"/>
      <c r="L465" s="933"/>
      <c r="M465" s="933"/>
      <c r="N465" s="933"/>
      <c r="O465" s="933"/>
      <c r="P465" s="933"/>
      <c r="Q465" s="933"/>
      <c r="R465" s="933"/>
      <c r="S465" s="933"/>
      <c r="T465" s="933"/>
      <c r="U465" s="933"/>
      <c r="V465" s="933"/>
      <c r="W465" s="933"/>
      <c r="X465" s="933"/>
      <c r="Y465" s="933"/>
      <c r="Z465" s="933"/>
      <c r="AA465" s="933"/>
      <c r="AB465" s="933"/>
      <c r="AC465" s="933"/>
      <c r="AD465" s="933"/>
      <c r="AE465" s="933"/>
    </row>
    <row r="466" spans="1:31" ht="12.75">
      <c r="A466" s="933"/>
      <c r="B466" s="933"/>
      <c r="C466" s="933"/>
      <c r="D466" s="933"/>
      <c r="E466" s="933"/>
      <c r="F466" s="933"/>
      <c r="G466" s="933"/>
      <c r="H466" s="933"/>
      <c r="I466" s="933"/>
      <c r="J466" s="933"/>
      <c r="K466" s="933"/>
      <c r="L466" s="933"/>
      <c r="M466" s="933"/>
      <c r="N466" s="933"/>
      <c r="O466" s="933"/>
      <c r="P466" s="933"/>
      <c r="Q466" s="933"/>
      <c r="R466" s="933"/>
      <c r="S466" s="933"/>
      <c r="T466" s="933"/>
      <c r="U466" s="933"/>
      <c r="V466" s="933"/>
      <c r="W466" s="933"/>
      <c r="X466" s="933"/>
      <c r="Y466" s="933"/>
      <c r="Z466" s="933"/>
      <c r="AA466" s="933"/>
      <c r="AB466" s="933"/>
      <c r="AC466" s="933"/>
      <c r="AD466" s="933"/>
      <c r="AE466" s="933"/>
    </row>
    <row r="467" spans="1:31" ht="12.75">
      <c r="A467" s="933"/>
      <c r="B467" s="933"/>
      <c r="C467" s="933"/>
      <c r="D467" s="933"/>
      <c r="E467" s="933"/>
      <c r="F467" s="933"/>
      <c r="G467" s="933"/>
      <c r="H467" s="933"/>
      <c r="I467" s="933"/>
      <c r="J467" s="933"/>
      <c r="K467" s="933"/>
      <c r="L467" s="933"/>
      <c r="M467" s="933"/>
      <c r="N467" s="933"/>
      <c r="O467" s="933"/>
      <c r="P467" s="933"/>
      <c r="Q467" s="933"/>
      <c r="R467" s="933"/>
      <c r="S467" s="933"/>
      <c r="T467" s="933"/>
      <c r="U467" s="933"/>
      <c r="V467" s="933"/>
      <c r="W467" s="933"/>
      <c r="X467" s="933"/>
      <c r="Y467" s="933"/>
      <c r="Z467" s="933"/>
      <c r="AA467" s="933"/>
      <c r="AB467" s="933"/>
      <c r="AC467" s="933"/>
      <c r="AD467" s="933"/>
      <c r="AE467" s="933"/>
    </row>
    <row r="468" spans="1:31" ht="12.75">
      <c r="A468" s="933"/>
      <c r="B468" s="933"/>
      <c r="C468" s="933"/>
      <c r="D468" s="933"/>
      <c r="E468" s="933"/>
      <c r="F468" s="933"/>
      <c r="G468" s="933"/>
      <c r="H468" s="933"/>
      <c r="I468" s="933"/>
      <c r="J468" s="933"/>
      <c r="K468" s="933"/>
      <c r="L468" s="933"/>
      <c r="M468" s="933"/>
      <c r="N468" s="933"/>
      <c r="O468" s="933"/>
      <c r="P468" s="933"/>
      <c r="Q468" s="933"/>
      <c r="R468" s="933"/>
      <c r="S468" s="933"/>
      <c r="T468" s="933"/>
      <c r="U468" s="933"/>
      <c r="V468" s="933"/>
      <c r="W468" s="933"/>
      <c r="X468" s="933"/>
      <c r="Y468" s="933"/>
      <c r="Z468" s="933"/>
      <c r="AA468" s="933"/>
      <c r="AB468" s="933"/>
      <c r="AC468" s="933"/>
      <c r="AD468" s="933"/>
      <c r="AE468" s="933"/>
    </row>
    <row r="469" spans="1:31" ht="12.75">
      <c r="A469" s="933"/>
      <c r="B469" s="933"/>
      <c r="C469" s="933"/>
      <c r="D469" s="933"/>
      <c r="E469" s="933"/>
      <c r="F469" s="933"/>
      <c r="G469" s="933"/>
      <c r="H469" s="933"/>
      <c r="I469" s="933"/>
      <c r="J469" s="933"/>
      <c r="K469" s="933"/>
      <c r="L469" s="933"/>
      <c r="M469" s="933"/>
      <c r="N469" s="933"/>
      <c r="O469" s="933"/>
      <c r="P469" s="933"/>
      <c r="Q469" s="933"/>
      <c r="R469" s="933"/>
      <c r="S469" s="933"/>
      <c r="T469" s="933"/>
      <c r="U469" s="933"/>
      <c r="V469" s="933"/>
      <c r="W469" s="933"/>
      <c r="X469" s="933"/>
      <c r="Y469" s="933"/>
      <c r="Z469" s="933"/>
      <c r="AA469" s="933"/>
      <c r="AB469" s="933"/>
      <c r="AC469" s="933"/>
      <c r="AD469" s="933"/>
      <c r="AE469" s="933"/>
    </row>
    <row r="470" spans="1:31" ht="12.75">
      <c r="A470" s="933"/>
      <c r="B470" s="933"/>
      <c r="C470" s="933"/>
      <c r="D470" s="933"/>
      <c r="E470" s="933"/>
      <c r="F470" s="933"/>
      <c r="G470" s="933"/>
      <c r="H470" s="933"/>
      <c r="I470" s="933"/>
      <c r="J470" s="933"/>
      <c r="K470" s="933"/>
      <c r="L470" s="933"/>
      <c r="M470" s="933"/>
      <c r="N470" s="933"/>
      <c r="O470" s="933"/>
      <c r="P470" s="933"/>
      <c r="Q470" s="933"/>
      <c r="R470" s="933"/>
      <c r="S470" s="933"/>
      <c r="T470" s="933"/>
      <c r="U470" s="933"/>
      <c r="V470" s="933"/>
      <c r="W470" s="933"/>
      <c r="X470" s="933"/>
      <c r="Y470" s="933"/>
      <c r="Z470" s="933"/>
      <c r="AA470" s="933"/>
      <c r="AB470" s="933"/>
      <c r="AC470" s="933"/>
      <c r="AD470" s="933"/>
      <c r="AE470" s="933"/>
    </row>
    <row r="471" spans="1:31" ht="12.75">
      <c r="A471" s="933"/>
      <c r="B471" s="933"/>
      <c r="C471" s="933"/>
      <c r="D471" s="933"/>
      <c r="E471" s="933"/>
      <c r="F471" s="933"/>
      <c r="G471" s="933"/>
      <c r="H471" s="933"/>
      <c r="I471" s="933"/>
      <c r="J471" s="933"/>
      <c r="K471" s="933"/>
      <c r="L471" s="933"/>
      <c r="M471" s="933"/>
      <c r="N471" s="933"/>
      <c r="O471" s="933"/>
      <c r="P471" s="933"/>
      <c r="Q471" s="933"/>
      <c r="R471" s="933"/>
      <c r="S471" s="933"/>
      <c r="T471" s="933"/>
      <c r="U471" s="933"/>
      <c r="V471" s="933"/>
      <c r="W471" s="933"/>
      <c r="X471" s="933"/>
      <c r="Y471" s="933"/>
      <c r="Z471" s="933"/>
      <c r="AA471" s="933"/>
      <c r="AB471" s="933"/>
      <c r="AC471" s="933"/>
      <c r="AD471" s="933"/>
      <c r="AE471" s="933"/>
    </row>
    <row r="472" spans="1:31" ht="12.75">
      <c r="A472" s="933"/>
      <c r="B472" s="933"/>
      <c r="C472" s="933"/>
      <c r="D472" s="933"/>
      <c r="E472" s="933"/>
      <c r="F472" s="933"/>
      <c r="G472" s="933"/>
      <c r="H472" s="933"/>
      <c r="I472" s="933"/>
      <c r="J472" s="933"/>
      <c r="K472" s="933"/>
      <c r="L472" s="933"/>
      <c r="M472" s="933"/>
      <c r="N472" s="933"/>
      <c r="O472" s="933"/>
      <c r="P472" s="933"/>
      <c r="Q472" s="933"/>
      <c r="R472" s="933"/>
      <c r="S472" s="933"/>
      <c r="T472" s="933"/>
      <c r="U472" s="933"/>
      <c r="V472" s="933"/>
      <c r="W472" s="933"/>
      <c r="X472" s="933"/>
      <c r="Y472" s="933"/>
      <c r="Z472" s="933"/>
      <c r="AA472" s="933"/>
      <c r="AB472" s="933"/>
      <c r="AC472" s="933"/>
      <c r="AD472" s="933"/>
      <c r="AE472" s="933"/>
    </row>
    <row r="473" spans="1:31" ht="12.75">
      <c r="A473" s="933"/>
      <c r="B473" s="933"/>
      <c r="C473" s="933"/>
      <c r="D473" s="933"/>
      <c r="E473" s="933"/>
      <c r="F473" s="933"/>
      <c r="G473" s="933"/>
      <c r="H473" s="933"/>
      <c r="I473" s="933"/>
      <c r="J473" s="933"/>
      <c r="K473" s="933"/>
      <c r="L473" s="933"/>
      <c r="M473" s="933"/>
      <c r="N473" s="933"/>
      <c r="O473" s="933"/>
      <c r="P473" s="933"/>
      <c r="Q473" s="933"/>
      <c r="R473" s="933"/>
      <c r="S473" s="933"/>
      <c r="T473" s="933"/>
      <c r="U473" s="933"/>
      <c r="V473" s="933"/>
      <c r="W473" s="933"/>
      <c r="X473" s="933"/>
      <c r="Y473" s="933"/>
      <c r="Z473" s="933"/>
      <c r="AA473" s="933"/>
      <c r="AB473" s="933"/>
      <c r="AC473" s="933"/>
      <c r="AD473" s="933"/>
      <c r="AE473" s="933"/>
    </row>
    <row r="474" spans="1:31" ht="12.75">
      <c r="A474" s="933"/>
      <c r="B474" s="933"/>
      <c r="C474" s="933"/>
      <c r="D474" s="933"/>
      <c r="E474" s="933"/>
      <c r="F474" s="933"/>
      <c r="G474" s="933"/>
      <c r="H474" s="933"/>
      <c r="I474" s="933"/>
      <c r="J474" s="933"/>
      <c r="K474" s="933"/>
      <c r="L474" s="933"/>
      <c r="M474" s="933"/>
      <c r="N474" s="933"/>
      <c r="O474" s="933"/>
      <c r="P474" s="933"/>
      <c r="Q474" s="933"/>
      <c r="R474" s="933"/>
      <c r="S474" s="933"/>
      <c r="T474" s="933"/>
      <c r="U474" s="933"/>
      <c r="V474" s="933"/>
      <c r="W474" s="933"/>
      <c r="X474" s="933"/>
      <c r="Y474" s="933"/>
      <c r="Z474" s="933"/>
      <c r="AA474" s="933"/>
      <c r="AB474" s="933"/>
      <c r="AC474" s="933"/>
      <c r="AD474" s="933"/>
      <c r="AE474" s="933"/>
    </row>
    <row r="475" spans="1:31" ht="12.75">
      <c r="A475" s="933"/>
      <c r="B475" s="933"/>
      <c r="C475" s="933"/>
      <c r="D475" s="933"/>
      <c r="E475" s="933"/>
      <c r="F475" s="933"/>
      <c r="G475" s="933"/>
      <c r="H475" s="933"/>
      <c r="I475" s="933"/>
      <c r="J475" s="933"/>
      <c r="K475" s="933"/>
      <c r="L475" s="933"/>
      <c r="M475" s="933"/>
      <c r="N475" s="933"/>
      <c r="O475" s="933"/>
      <c r="P475" s="933"/>
      <c r="Q475" s="933"/>
      <c r="R475" s="933"/>
      <c r="S475" s="933"/>
      <c r="T475" s="933"/>
      <c r="U475" s="933"/>
      <c r="V475" s="933"/>
      <c r="W475" s="933"/>
      <c r="X475" s="933"/>
      <c r="Y475" s="933"/>
      <c r="Z475" s="933"/>
      <c r="AA475" s="933"/>
      <c r="AB475" s="933"/>
      <c r="AC475" s="933"/>
      <c r="AD475" s="933"/>
      <c r="AE475" s="933"/>
    </row>
    <row r="476" spans="1:31" ht="12.75">
      <c r="A476" s="933"/>
      <c r="B476" s="933"/>
      <c r="C476" s="933"/>
      <c r="D476" s="933"/>
      <c r="E476" s="933"/>
      <c r="F476" s="933"/>
      <c r="G476" s="933"/>
      <c r="H476" s="933"/>
      <c r="I476" s="933"/>
      <c r="J476" s="933"/>
      <c r="K476" s="933"/>
      <c r="L476" s="933"/>
      <c r="M476" s="933"/>
      <c r="N476" s="933"/>
      <c r="O476" s="933"/>
      <c r="P476" s="933"/>
      <c r="Q476" s="933"/>
      <c r="R476" s="933"/>
      <c r="S476" s="933"/>
      <c r="T476" s="933"/>
      <c r="U476" s="933"/>
      <c r="V476" s="933"/>
      <c r="W476" s="933"/>
      <c r="X476" s="933"/>
      <c r="Y476" s="933"/>
      <c r="Z476" s="933"/>
      <c r="AA476" s="933"/>
      <c r="AB476" s="933"/>
      <c r="AC476" s="933"/>
      <c r="AD476" s="933"/>
      <c r="AE476" s="933"/>
    </row>
    <row r="477" spans="1:31" ht="12.75">
      <c r="A477" s="933"/>
      <c r="B477" s="933"/>
      <c r="C477" s="933"/>
      <c r="D477" s="933"/>
      <c r="E477" s="933"/>
      <c r="F477" s="933"/>
      <c r="G477" s="933"/>
      <c r="H477" s="933"/>
      <c r="I477" s="933"/>
      <c r="J477" s="933"/>
      <c r="K477" s="933"/>
      <c r="L477" s="933"/>
      <c r="M477" s="933"/>
      <c r="N477" s="933"/>
      <c r="O477" s="933"/>
      <c r="P477" s="933"/>
      <c r="Q477" s="933"/>
      <c r="R477" s="933"/>
      <c r="S477" s="933"/>
      <c r="T477" s="933"/>
      <c r="U477" s="933"/>
      <c r="V477" s="933"/>
      <c r="W477" s="933"/>
      <c r="X477" s="933"/>
      <c r="Y477" s="933"/>
      <c r="Z477" s="933"/>
      <c r="AA477" s="933"/>
      <c r="AB477" s="933"/>
      <c r="AC477" s="933"/>
      <c r="AD477" s="933"/>
      <c r="AE477" s="933"/>
    </row>
    <row r="478" spans="1:31" ht="12.75">
      <c r="A478" s="933"/>
      <c r="B478" s="933"/>
      <c r="C478" s="933"/>
      <c r="D478" s="933"/>
      <c r="E478" s="933"/>
      <c r="F478" s="933"/>
      <c r="G478" s="933"/>
      <c r="H478" s="933"/>
      <c r="I478" s="933"/>
      <c r="J478" s="933"/>
      <c r="K478" s="933"/>
      <c r="L478" s="933"/>
      <c r="M478" s="933"/>
      <c r="N478" s="933"/>
      <c r="O478" s="933"/>
      <c r="P478" s="933"/>
      <c r="Q478" s="933"/>
      <c r="R478" s="933"/>
      <c r="S478" s="933"/>
      <c r="T478" s="933"/>
      <c r="U478" s="933"/>
      <c r="V478" s="933"/>
      <c r="W478" s="933"/>
      <c r="X478" s="933"/>
      <c r="Y478" s="933"/>
      <c r="Z478" s="933"/>
      <c r="AA478" s="933"/>
      <c r="AB478" s="933"/>
      <c r="AC478" s="933"/>
      <c r="AD478" s="933"/>
      <c r="AE478" s="933"/>
    </row>
    <row r="479" spans="1:31" ht="12.75">
      <c r="A479" s="933"/>
      <c r="B479" s="933"/>
      <c r="C479" s="933"/>
      <c r="D479" s="933"/>
      <c r="E479" s="933"/>
      <c r="F479" s="933"/>
      <c r="G479" s="933"/>
      <c r="H479" s="933"/>
      <c r="I479" s="933"/>
      <c r="J479" s="933"/>
      <c r="K479" s="933"/>
      <c r="L479" s="933"/>
      <c r="M479" s="933"/>
      <c r="N479" s="933"/>
      <c r="O479" s="933"/>
      <c r="P479" s="933"/>
      <c r="Q479" s="933"/>
      <c r="R479" s="933"/>
      <c r="S479" s="933"/>
      <c r="T479" s="933"/>
      <c r="U479" s="933"/>
      <c r="V479" s="933"/>
      <c r="W479" s="933"/>
      <c r="X479" s="933"/>
      <c r="Y479" s="933"/>
      <c r="Z479" s="933"/>
      <c r="AA479" s="933"/>
      <c r="AB479" s="933"/>
      <c r="AC479" s="933"/>
      <c r="AD479" s="933"/>
      <c r="AE479" s="933"/>
    </row>
    <row r="480" spans="1:31" ht="12.75">
      <c r="A480" s="933"/>
      <c r="B480" s="933"/>
      <c r="C480" s="933"/>
      <c r="D480" s="933"/>
      <c r="E480" s="933"/>
      <c r="F480" s="933"/>
      <c r="G480" s="933"/>
      <c r="H480" s="933"/>
      <c r="I480" s="933"/>
      <c r="J480" s="933"/>
      <c r="K480" s="933"/>
      <c r="L480" s="933"/>
      <c r="M480" s="933"/>
      <c r="N480" s="933"/>
      <c r="O480" s="933"/>
      <c r="P480" s="933"/>
      <c r="Q480" s="933"/>
      <c r="R480" s="933"/>
      <c r="S480" s="933"/>
      <c r="T480" s="933"/>
      <c r="U480" s="933"/>
      <c r="V480" s="933"/>
      <c r="W480" s="933"/>
      <c r="X480" s="933"/>
      <c r="Y480" s="933"/>
      <c r="Z480" s="933"/>
      <c r="AA480" s="933"/>
      <c r="AB480" s="933"/>
      <c r="AC480" s="933"/>
      <c r="AD480" s="933"/>
      <c r="AE480" s="933"/>
    </row>
    <row r="481" spans="1:31" ht="12.75">
      <c r="A481" s="933"/>
      <c r="B481" s="933"/>
      <c r="C481" s="933"/>
      <c r="D481" s="933"/>
      <c r="E481" s="933"/>
      <c r="F481" s="933"/>
      <c r="G481" s="933"/>
      <c r="H481" s="933"/>
      <c r="I481" s="933"/>
      <c r="J481" s="933"/>
      <c r="K481" s="933"/>
      <c r="L481" s="933"/>
      <c r="M481" s="933"/>
      <c r="N481" s="933"/>
      <c r="O481" s="933"/>
      <c r="P481" s="933"/>
      <c r="Q481" s="933"/>
      <c r="R481" s="933"/>
      <c r="S481" s="933"/>
      <c r="T481" s="933"/>
      <c r="U481" s="933"/>
      <c r="V481" s="933"/>
      <c r="W481" s="933"/>
      <c r="X481" s="933"/>
      <c r="Y481" s="933"/>
      <c r="Z481" s="933"/>
      <c r="AA481" s="933"/>
      <c r="AB481" s="933"/>
      <c r="AC481" s="933"/>
      <c r="AD481" s="933"/>
      <c r="AE481" s="933"/>
    </row>
    <row r="482" spans="1:31" ht="12.75">
      <c r="A482" s="933"/>
      <c r="B482" s="933"/>
      <c r="C482" s="933"/>
      <c r="D482" s="933"/>
      <c r="E482" s="933"/>
      <c r="F482" s="933"/>
      <c r="G482" s="933"/>
      <c r="H482" s="933"/>
      <c r="I482" s="933"/>
      <c r="J482" s="933"/>
      <c r="K482" s="933"/>
      <c r="L482" s="933"/>
      <c r="M482" s="933"/>
      <c r="N482" s="933"/>
      <c r="O482" s="933"/>
      <c r="P482" s="933"/>
      <c r="Q482" s="933"/>
      <c r="R482" s="933"/>
      <c r="S482" s="933"/>
      <c r="T482" s="933"/>
      <c r="U482" s="933"/>
      <c r="V482" s="933"/>
      <c r="W482" s="933"/>
      <c r="X482" s="933"/>
      <c r="Y482" s="933"/>
      <c r="Z482" s="933"/>
      <c r="AA482" s="933"/>
      <c r="AB482" s="933"/>
      <c r="AC482" s="933"/>
      <c r="AD482" s="933"/>
      <c r="AE482" s="933"/>
    </row>
    <row r="483" spans="1:31" ht="12.75">
      <c r="A483" s="933"/>
      <c r="B483" s="933"/>
      <c r="C483" s="933"/>
      <c r="D483" s="933"/>
      <c r="E483" s="933"/>
      <c r="F483" s="933"/>
      <c r="G483" s="933"/>
      <c r="H483" s="933"/>
      <c r="I483" s="933"/>
      <c r="J483" s="933"/>
      <c r="K483" s="933"/>
      <c r="L483" s="933"/>
      <c r="M483" s="933"/>
      <c r="N483" s="933"/>
      <c r="O483" s="933"/>
      <c r="P483" s="933"/>
      <c r="Q483" s="933"/>
      <c r="R483" s="933"/>
      <c r="S483" s="933"/>
      <c r="T483" s="933"/>
      <c r="U483" s="933"/>
      <c r="V483" s="933"/>
      <c r="W483" s="933"/>
      <c r="X483" s="933"/>
      <c r="Y483" s="933"/>
      <c r="Z483" s="933"/>
      <c r="AA483" s="933"/>
      <c r="AB483" s="933"/>
      <c r="AC483" s="933"/>
      <c r="AD483" s="933"/>
      <c r="AE483" s="933"/>
    </row>
    <row r="484" spans="1:31" ht="12.75">
      <c r="A484" s="933"/>
      <c r="B484" s="933"/>
      <c r="C484" s="933"/>
      <c r="D484" s="933"/>
      <c r="E484" s="933"/>
      <c r="F484" s="933"/>
      <c r="G484" s="933"/>
      <c r="H484" s="933"/>
      <c r="I484" s="933"/>
      <c r="J484" s="933"/>
      <c r="K484" s="933"/>
      <c r="L484" s="933"/>
      <c r="M484" s="933"/>
      <c r="N484" s="933"/>
      <c r="O484" s="933"/>
      <c r="P484" s="933"/>
      <c r="Q484" s="933"/>
      <c r="R484" s="933"/>
      <c r="S484" s="933"/>
      <c r="T484" s="933"/>
      <c r="U484" s="933"/>
      <c r="V484" s="933"/>
      <c r="W484" s="933"/>
      <c r="X484" s="933"/>
      <c r="Y484" s="933"/>
      <c r="Z484" s="933"/>
      <c r="AA484" s="933"/>
      <c r="AB484" s="933"/>
      <c r="AC484" s="933"/>
      <c r="AD484" s="933"/>
      <c r="AE484" s="933"/>
    </row>
    <row r="485" spans="1:31" ht="12.75">
      <c r="A485" s="933"/>
      <c r="B485" s="933"/>
      <c r="C485" s="933"/>
      <c r="D485" s="933"/>
      <c r="E485" s="933"/>
      <c r="F485" s="933"/>
      <c r="G485" s="933"/>
      <c r="H485" s="933"/>
      <c r="I485" s="933"/>
      <c r="J485" s="933"/>
      <c r="K485" s="933"/>
      <c r="L485" s="933"/>
      <c r="M485" s="933"/>
      <c r="N485" s="933"/>
      <c r="O485" s="933"/>
      <c r="P485" s="933"/>
      <c r="Q485" s="933"/>
      <c r="R485" s="933"/>
      <c r="S485" s="933"/>
      <c r="T485" s="933"/>
      <c r="U485" s="933"/>
      <c r="V485" s="933"/>
      <c r="W485" s="933"/>
      <c r="X485" s="933"/>
      <c r="Y485" s="933"/>
      <c r="Z485" s="933"/>
      <c r="AA485" s="933"/>
      <c r="AB485" s="933"/>
      <c r="AC485" s="933"/>
      <c r="AD485" s="933"/>
      <c r="AE485" s="933"/>
    </row>
    <row r="486" spans="1:31" ht="12.75">
      <c r="A486" s="933"/>
      <c r="B486" s="933"/>
      <c r="C486" s="933"/>
      <c r="D486" s="933"/>
      <c r="E486" s="933"/>
      <c r="F486" s="933"/>
      <c r="G486" s="933"/>
      <c r="H486" s="933"/>
      <c r="I486" s="933"/>
      <c r="J486" s="933"/>
      <c r="K486" s="933"/>
      <c r="L486" s="933"/>
      <c r="M486" s="933"/>
      <c r="N486" s="933"/>
      <c r="O486" s="933"/>
      <c r="P486" s="933"/>
      <c r="Q486" s="933"/>
      <c r="R486" s="933"/>
      <c r="S486" s="933"/>
      <c r="T486" s="933"/>
      <c r="U486" s="933"/>
      <c r="V486" s="933"/>
      <c r="W486" s="933"/>
      <c r="X486" s="933"/>
      <c r="Y486" s="933"/>
      <c r="Z486" s="933"/>
      <c r="AA486" s="933"/>
      <c r="AB486" s="933"/>
      <c r="AC486" s="933"/>
      <c r="AD486" s="933"/>
      <c r="AE486" s="933"/>
    </row>
    <row r="487" spans="1:31" ht="12.75">
      <c r="A487" s="933"/>
      <c r="B487" s="933"/>
      <c r="C487" s="933"/>
      <c r="D487" s="933"/>
      <c r="E487" s="933"/>
      <c r="F487" s="933"/>
      <c r="G487" s="933"/>
      <c r="H487" s="933"/>
      <c r="I487" s="933"/>
      <c r="J487" s="933"/>
      <c r="K487" s="933"/>
      <c r="L487" s="933"/>
      <c r="M487" s="933"/>
      <c r="N487" s="933"/>
      <c r="O487" s="933"/>
      <c r="P487" s="933"/>
      <c r="Q487" s="933"/>
      <c r="R487" s="933"/>
      <c r="S487" s="933"/>
      <c r="T487" s="933"/>
      <c r="U487" s="933"/>
      <c r="V487" s="933"/>
      <c r="W487" s="933"/>
      <c r="X487" s="933"/>
      <c r="Y487" s="933"/>
      <c r="Z487" s="933"/>
      <c r="AA487" s="933"/>
      <c r="AB487" s="933"/>
      <c r="AC487" s="933"/>
      <c r="AD487" s="933"/>
      <c r="AE487" s="933"/>
    </row>
    <row r="488" spans="1:31" ht="12.75">
      <c r="A488" s="933"/>
      <c r="B488" s="933"/>
      <c r="C488" s="933"/>
      <c r="D488" s="933"/>
      <c r="E488" s="933"/>
      <c r="F488" s="933"/>
      <c r="G488" s="933"/>
      <c r="H488" s="933"/>
      <c r="I488" s="933"/>
      <c r="J488" s="933"/>
      <c r="K488" s="933"/>
      <c r="L488" s="933"/>
      <c r="M488" s="933"/>
      <c r="N488" s="933"/>
      <c r="O488" s="933"/>
      <c r="P488" s="933"/>
      <c r="Q488" s="933"/>
      <c r="R488" s="933"/>
      <c r="S488" s="933"/>
      <c r="T488" s="933"/>
      <c r="U488" s="933"/>
      <c r="V488" s="933"/>
      <c r="W488" s="933"/>
      <c r="X488" s="933"/>
      <c r="Y488" s="933"/>
      <c r="Z488" s="933"/>
      <c r="AA488" s="933"/>
      <c r="AB488" s="933"/>
      <c r="AC488" s="933"/>
      <c r="AD488" s="933"/>
      <c r="AE488" s="933"/>
    </row>
    <row r="489" spans="1:31" ht="12.75">
      <c r="A489" s="933"/>
      <c r="B489" s="933"/>
      <c r="C489" s="933"/>
      <c r="D489" s="933"/>
      <c r="E489" s="933"/>
      <c r="F489" s="933"/>
      <c r="G489" s="933"/>
      <c r="H489" s="933"/>
      <c r="I489" s="933"/>
      <c r="J489" s="933"/>
      <c r="K489" s="933"/>
      <c r="L489" s="933"/>
      <c r="M489" s="933"/>
      <c r="N489" s="933"/>
      <c r="O489" s="933"/>
      <c r="P489" s="933"/>
      <c r="Q489" s="933"/>
      <c r="R489" s="933"/>
      <c r="S489" s="933"/>
      <c r="T489" s="933"/>
      <c r="U489" s="933"/>
      <c r="V489" s="933"/>
      <c r="W489" s="933"/>
      <c r="X489" s="933"/>
      <c r="Y489" s="933"/>
      <c r="Z489" s="933"/>
      <c r="AA489" s="933"/>
      <c r="AB489" s="933"/>
      <c r="AC489" s="933"/>
      <c r="AD489" s="933"/>
      <c r="AE489" s="933"/>
    </row>
    <row r="490" spans="1:31" ht="12.75">
      <c r="A490" s="933"/>
      <c r="B490" s="933"/>
      <c r="C490" s="933"/>
      <c r="D490" s="933"/>
      <c r="E490" s="933"/>
      <c r="F490" s="933"/>
      <c r="G490" s="933"/>
      <c r="H490" s="933"/>
      <c r="I490" s="933"/>
      <c r="J490" s="933"/>
      <c r="K490" s="933"/>
      <c r="L490" s="933"/>
      <c r="M490" s="933"/>
      <c r="N490" s="933"/>
      <c r="O490" s="933"/>
      <c r="P490" s="933"/>
      <c r="Q490" s="933"/>
      <c r="R490" s="933"/>
      <c r="S490" s="933"/>
      <c r="T490" s="933"/>
      <c r="U490" s="933"/>
      <c r="V490" s="933"/>
      <c r="W490" s="933"/>
      <c r="X490" s="933"/>
      <c r="Y490" s="933"/>
      <c r="Z490" s="933"/>
      <c r="AA490" s="933"/>
      <c r="AB490" s="933"/>
      <c r="AC490" s="933"/>
      <c r="AD490" s="933"/>
      <c r="AE490" s="933"/>
    </row>
    <row r="491" spans="1:31" ht="12.75">
      <c r="A491" s="933"/>
      <c r="B491" s="933"/>
      <c r="C491" s="933"/>
      <c r="D491" s="933"/>
      <c r="E491" s="933"/>
      <c r="F491" s="933"/>
      <c r="G491" s="933"/>
      <c r="H491" s="933"/>
      <c r="I491" s="933"/>
      <c r="J491" s="933"/>
      <c r="K491" s="933"/>
      <c r="L491" s="933"/>
      <c r="M491" s="933"/>
      <c r="N491" s="933"/>
      <c r="O491" s="933"/>
      <c r="P491" s="933"/>
      <c r="Q491" s="933"/>
      <c r="R491" s="933"/>
      <c r="S491" s="933"/>
      <c r="T491" s="933"/>
      <c r="U491" s="933"/>
      <c r="V491" s="933"/>
      <c r="W491" s="933"/>
      <c r="X491" s="933"/>
      <c r="Y491" s="933"/>
      <c r="Z491" s="933"/>
      <c r="AA491" s="933"/>
      <c r="AB491" s="933"/>
      <c r="AC491" s="933"/>
      <c r="AD491" s="933"/>
      <c r="AE491" s="933"/>
    </row>
    <row r="492" spans="1:31" ht="12.75">
      <c r="A492" s="933"/>
      <c r="B492" s="933"/>
      <c r="C492" s="933"/>
      <c r="D492" s="933"/>
      <c r="E492" s="933"/>
      <c r="F492" s="933"/>
      <c r="G492" s="933"/>
      <c r="H492" s="933"/>
      <c r="I492" s="933"/>
      <c r="J492" s="933"/>
      <c r="K492" s="933"/>
      <c r="L492" s="933"/>
      <c r="M492" s="933"/>
      <c r="N492" s="933"/>
      <c r="O492" s="933"/>
      <c r="P492" s="933"/>
      <c r="Q492" s="933"/>
      <c r="R492" s="933"/>
      <c r="S492" s="933"/>
      <c r="T492" s="933"/>
      <c r="U492" s="933"/>
      <c r="V492" s="933"/>
      <c r="W492" s="933"/>
      <c r="X492" s="933"/>
      <c r="Y492" s="933"/>
      <c r="Z492" s="933"/>
      <c r="AA492" s="933"/>
      <c r="AB492" s="933"/>
      <c r="AC492" s="933"/>
      <c r="AD492" s="933"/>
      <c r="AE492" s="933"/>
    </row>
    <row r="493" spans="1:31" ht="12.75">
      <c r="A493" s="933"/>
      <c r="B493" s="933"/>
      <c r="C493" s="933"/>
      <c r="D493" s="933"/>
      <c r="E493" s="933"/>
      <c r="F493" s="933"/>
      <c r="G493" s="933"/>
      <c r="H493" s="933"/>
      <c r="I493" s="933"/>
      <c r="J493" s="933"/>
      <c r="K493" s="933"/>
      <c r="L493" s="933"/>
      <c r="M493" s="933"/>
      <c r="N493" s="933"/>
      <c r="O493" s="933"/>
      <c r="P493" s="933"/>
      <c r="Q493" s="933"/>
      <c r="R493" s="933"/>
      <c r="S493" s="933"/>
      <c r="T493" s="933"/>
      <c r="U493" s="933"/>
      <c r="V493" s="933"/>
      <c r="W493" s="933"/>
      <c r="X493" s="933"/>
      <c r="Y493" s="933"/>
      <c r="Z493" s="933"/>
      <c r="AA493" s="933"/>
      <c r="AB493" s="933"/>
      <c r="AC493" s="933"/>
      <c r="AD493" s="933"/>
      <c r="AE493" s="933"/>
    </row>
    <row r="494" spans="1:31" ht="12.75">
      <c r="A494" s="933"/>
      <c r="B494" s="933"/>
      <c r="C494" s="933"/>
      <c r="D494" s="933"/>
      <c r="E494" s="933"/>
      <c r="F494" s="933"/>
      <c r="G494" s="933"/>
      <c r="H494" s="933"/>
      <c r="I494" s="933"/>
      <c r="J494" s="933"/>
      <c r="K494" s="933"/>
      <c r="L494" s="933"/>
      <c r="M494" s="933"/>
      <c r="N494" s="933"/>
      <c r="O494" s="933"/>
      <c r="P494" s="933"/>
      <c r="Q494" s="933"/>
      <c r="R494" s="933"/>
      <c r="S494" s="933"/>
      <c r="T494" s="933"/>
      <c r="U494" s="933"/>
      <c r="V494" s="933"/>
      <c r="W494" s="933"/>
      <c r="X494" s="933"/>
      <c r="Y494" s="933"/>
      <c r="Z494" s="933"/>
      <c r="AA494" s="933"/>
      <c r="AB494" s="933"/>
      <c r="AC494" s="933"/>
      <c r="AD494" s="933"/>
      <c r="AE494" s="933"/>
    </row>
    <row r="495" spans="1:31" ht="12.75">
      <c r="A495" s="933"/>
      <c r="B495" s="933"/>
      <c r="C495" s="933"/>
      <c r="D495" s="933"/>
      <c r="E495" s="933"/>
      <c r="F495" s="933"/>
      <c r="G495" s="933"/>
      <c r="H495" s="933"/>
      <c r="I495" s="933"/>
      <c r="J495" s="933"/>
      <c r="K495" s="933"/>
      <c r="L495" s="933"/>
      <c r="M495" s="933"/>
      <c r="N495" s="933"/>
      <c r="O495" s="933"/>
      <c r="P495" s="933"/>
      <c r="Q495" s="933"/>
      <c r="R495" s="933"/>
      <c r="S495" s="933"/>
      <c r="T495" s="933"/>
      <c r="U495" s="933"/>
      <c r="V495" s="933"/>
      <c r="W495" s="933"/>
      <c r="X495" s="933"/>
      <c r="Y495" s="933"/>
      <c r="Z495" s="933"/>
      <c r="AA495" s="933"/>
      <c r="AB495" s="933"/>
      <c r="AC495" s="933"/>
      <c r="AD495" s="933"/>
      <c r="AE495" s="933"/>
    </row>
    <row r="496" spans="1:31" ht="12.75">
      <c r="A496" s="933"/>
      <c r="B496" s="933"/>
      <c r="C496" s="933"/>
      <c r="D496" s="933"/>
      <c r="E496" s="933"/>
      <c r="F496" s="933"/>
      <c r="G496" s="933"/>
      <c r="H496" s="933"/>
      <c r="I496" s="933"/>
      <c r="J496" s="933"/>
      <c r="K496" s="933"/>
      <c r="L496" s="933"/>
      <c r="M496" s="933"/>
      <c r="N496" s="933"/>
      <c r="O496" s="933"/>
      <c r="P496" s="933"/>
      <c r="Q496" s="933"/>
      <c r="R496" s="933"/>
      <c r="S496" s="933"/>
      <c r="T496" s="933"/>
      <c r="U496" s="933"/>
      <c r="V496" s="933"/>
      <c r="W496" s="933"/>
      <c r="X496" s="933"/>
      <c r="Y496" s="933"/>
      <c r="Z496" s="933"/>
      <c r="AA496" s="933"/>
      <c r="AB496" s="933"/>
      <c r="AC496" s="933"/>
      <c r="AD496" s="933"/>
      <c r="AE496" s="933"/>
    </row>
    <row r="497" spans="1:31" ht="12.75">
      <c r="A497" s="933"/>
      <c r="B497" s="933"/>
      <c r="C497" s="933"/>
      <c r="D497" s="933"/>
      <c r="E497" s="933"/>
      <c r="F497" s="933"/>
      <c r="G497" s="933"/>
      <c r="H497" s="933"/>
      <c r="I497" s="933"/>
      <c r="J497" s="933"/>
      <c r="K497" s="933"/>
      <c r="L497" s="933"/>
      <c r="M497" s="933"/>
      <c r="N497" s="933"/>
      <c r="O497" s="933"/>
      <c r="P497" s="933"/>
      <c r="Q497" s="933"/>
      <c r="R497" s="933"/>
      <c r="S497" s="933"/>
      <c r="T497" s="933"/>
      <c r="U497" s="933"/>
      <c r="V497" s="933"/>
      <c r="W497" s="933"/>
      <c r="X497" s="933"/>
      <c r="Y497" s="933"/>
      <c r="Z497" s="933"/>
      <c r="AA497" s="933"/>
      <c r="AB497" s="933"/>
      <c r="AC497" s="933"/>
      <c r="AD497" s="933"/>
      <c r="AE497" s="933"/>
    </row>
    <row r="498" spans="1:31" ht="12.75">
      <c r="A498" s="933"/>
      <c r="B498" s="933"/>
      <c r="C498" s="933"/>
      <c r="D498" s="933"/>
      <c r="E498" s="933"/>
      <c r="F498" s="933"/>
      <c r="G498" s="933"/>
      <c r="H498" s="933"/>
      <c r="I498" s="933"/>
      <c r="J498" s="933"/>
      <c r="K498" s="933"/>
      <c r="L498" s="933"/>
      <c r="M498" s="933"/>
      <c r="N498" s="933"/>
      <c r="O498" s="933"/>
      <c r="P498" s="933"/>
      <c r="Q498" s="933"/>
      <c r="R498" s="933"/>
      <c r="S498" s="933"/>
      <c r="T498" s="933"/>
      <c r="U498" s="933"/>
      <c r="V498" s="933"/>
      <c r="W498" s="933"/>
      <c r="X498" s="933"/>
      <c r="Y498" s="933"/>
      <c r="Z498" s="933"/>
      <c r="AA498" s="933"/>
      <c r="AB498" s="933"/>
      <c r="AC498" s="933"/>
      <c r="AD498" s="933"/>
      <c r="AE498" s="933"/>
    </row>
    <row r="499" spans="1:31" ht="12.75">
      <c r="A499" s="933"/>
      <c r="B499" s="933"/>
      <c r="C499" s="933"/>
      <c r="D499" s="933"/>
      <c r="E499" s="933"/>
      <c r="F499" s="933"/>
      <c r="G499" s="933"/>
      <c r="H499" s="933"/>
      <c r="I499" s="933"/>
      <c r="J499" s="933"/>
      <c r="K499" s="933"/>
      <c r="L499" s="933"/>
      <c r="M499" s="933"/>
      <c r="N499" s="933"/>
      <c r="O499" s="933"/>
      <c r="P499" s="933"/>
      <c r="Q499" s="933"/>
      <c r="R499" s="933"/>
      <c r="S499" s="933"/>
      <c r="T499" s="933"/>
      <c r="U499" s="933"/>
      <c r="V499" s="933"/>
      <c r="W499" s="933"/>
      <c r="X499" s="933"/>
      <c r="Y499" s="933"/>
      <c r="Z499" s="933"/>
      <c r="AA499" s="933"/>
      <c r="AB499" s="933"/>
      <c r="AC499" s="933"/>
      <c r="AD499" s="933"/>
      <c r="AE499" s="933"/>
    </row>
    <row r="500" spans="1:31" ht="12.75">
      <c r="A500" s="933"/>
      <c r="B500" s="933"/>
      <c r="C500" s="933"/>
      <c r="D500" s="933"/>
      <c r="E500" s="933"/>
      <c r="F500" s="933"/>
      <c r="G500" s="933"/>
      <c r="H500" s="933"/>
      <c r="I500" s="933"/>
      <c r="J500" s="933"/>
      <c r="K500" s="933"/>
      <c r="L500" s="933"/>
      <c r="M500" s="933"/>
      <c r="N500" s="933"/>
      <c r="O500" s="933"/>
      <c r="P500" s="933"/>
      <c r="Q500" s="933"/>
      <c r="R500" s="933"/>
      <c r="S500" s="933"/>
      <c r="T500" s="933"/>
      <c r="U500" s="933"/>
      <c r="V500" s="933"/>
      <c r="W500" s="933"/>
      <c r="X500" s="933"/>
      <c r="Y500" s="933"/>
      <c r="Z500" s="933"/>
      <c r="AA500" s="933"/>
      <c r="AB500" s="933"/>
      <c r="AC500" s="933"/>
      <c r="AD500" s="933"/>
      <c r="AE500" s="933"/>
    </row>
    <row r="501" spans="1:31" ht="12.75">
      <c r="A501" s="933"/>
      <c r="B501" s="933"/>
      <c r="C501" s="933"/>
      <c r="D501" s="933"/>
      <c r="E501" s="933"/>
      <c r="F501" s="933"/>
      <c r="G501" s="933"/>
      <c r="H501" s="933"/>
      <c r="I501" s="933"/>
      <c r="J501" s="933"/>
      <c r="K501" s="933"/>
      <c r="L501" s="933"/>
      <c r="M501" s="933"/>
      <c r="N501" s="933"/>
      <c r="O501" s="933"/>
      <c r="P501" s="933"/>
      <c r="Q501" s="933"/>
      <c r="R501" s="933"/>
      <c r="S501" s="933"/>
      <c r="T501" s="933"/>
      <c r="U501" s="933"/>
      <c r="V501" s="933"/>
      <c r="W501" s="933"/>
      <c r="X501" s="933"/>
      <c r="Y501" s="933"/>
      <c r="Z501" s="933"/>
      <c r="AA501" s="933"/>
      <c r="AB501" s="933"/>
      <c r="AC501" s="933"/>
      <c r="AD501" s="933"/>
      <c r="AE501" s="933"/>
    </row>
    <row r="502" spans="1:31" ht="12.75">
      <c r="A502" s="933"/>
      <c r="B502" s="933"/>
      <c r="C502" s="933"/>
      <c r="D502" s="933"/>
      <c r="E502" s="933"/>
      <c r="F502" s="933"/>
      <c r="G502" s="933"/>
      <c r="H502" s="933"/>
      <c r="I502" s="933"/>
      <c r="J502" s="933"/>
      <c r="K502" s="933"/>
      <c r="L502" s="933"/>
      <c r="M502" s="933"/>
      <c r="N502" s="933"/>
      <c r="O502" s="933"/>
      <c r="P502" s="933"/>
      <c r="Q502" s="933"/>
      <c r="R502" s="933"/>
      <c r="S502" s="933"/>
      <c r="T502" s="933"/>
      <c r="U502" s="933"/>
      <c r="V502" s="933"/>
      <c r="W502" s="933"/>
      <c r="X502" s="933"/>
      <c r="Y502" s="933"/>
      <c r="Z502" s="933"/>
      <c r="AA502" s="933"/>
      <c r="AB502" s="933"/>
      <c r="AC502" s="933"/>
      <c r="AD502" s="933"/>
      <c r="AE502" s="933"/>
    </row>
    <row r="503" spans="1:31" ht="12.75">
      <c r="A503" s="933"/>
      <c r="B503" s="933"/>
      <c r="C503" s="933"/>
      <c r="D503" s="933"/>
      <c r="E503" s="933"/>
      <c r="F503" s="933"/>
      <c r="G503" s="933"/>
      <c r="H503" s="933"/>
      <c r="I503" s="933"/>
      <c r="J503" s="933"/>
      <c r="K503" s="933"/>
      <c r="L503" s="933"/>
      <c r="M503" s="933"/>
      <c r="N503" s="933"/>
      <c r="O503" s="933"/>
      <c r="P503" s="933"/>
      <c r="Q503" s="933"/>
      <c r="R503" s="933"/>
      <c r="S503" s="933"/>
      <c r="T503" s="933"/>
      <c r="U503" s="933"/>
      <c r="V503" s="933"/>
      <c r="W503" s="933"/>
      <c r="X503" s="933"/>
      <c r="Y503" s="933"/>
      <c r="Z503" s="933"/>
      <c r="AA503" s="933"/>
      <c r="AB503" s="933"/>
      <c r="AC503" s="933"/>
      <c r="AD503" s="933"/>
      <c r="AE503" s="933"/>
    </row>
    <row r="504" spans="1:31" ht="12.75">
      <c r="A504" s="933"/>
      <c r="B504" s="933"/>
      <c r="C504" s="933"/>
      <c r="D504" s="933"/>
      <c r="E504" s="933"/>
      <c r="F504" s="933"/>
      <c r="G504" s="933"/>
      <c r="H504" s="933"/>
      <c r="I504" s="933"/>
      <c r="J504" s="933"/>
      <c r="K504" s="933"/>
      <c r="L504" s="933"/>
      <c r="M504" s="933"/>
      <c r="N504" s="933"/>
      <c r="O504" s="933"/>
      <c r="P504" s="933"/>
      <c r="Q504" s="933"/>
      <c r="R504" s="933"/>
      <c r="S504" s="933"/>
      <c r="T504" s="933"/>
      <c r="U504" s="933"/>
      <c r="V504" s="933"/>
      <c r="W504" s="933"/>
      <c r="X504" s="933"/>
      <c r="Y504" s="933"/>
      <c r="Z504" s="933"/>
      <c r="AA504" s="933"/>
      <c r="AB504" s="933"/>
      <c r="AC504" s="933"/>
      <c r="AD504" s="933"/>
      <c r="AE504" s="933"/>
    </row>
    <row r="505" spans="1:31" ht="12.75">
      <c r="A505" s="933"/>
      <c r="B505" s="933"/>
      <c r="C505" s="933"/>
      <c r="D505" s="933"/>
      <c r="E505" s="933"/>
      <c r="F505" s="933"/>
      <c r="G505" s="933"/>
      <c r="H505" s="933"/>
      <c r="I505" s="933"/>
      <c r="J505" s="933"/>
      <c r="K505" s="933"/>
      <c r="L505" s="933"/>
      <c r="M505" s="933"/>
      <c r="N505" s="933"/>
      <c r="O505" s="933"/>
      <c r="P505" s="933"/>
      <c r="Q505" s="933"/>
      <c r="R505" s="933"/>
      <c r="S505" s="933"/>
      <c r="T505" s="933"/>
      <c r="U505" s="933"/>
      <c r="V505" s="933"/>
      <c r="W505" s="933"/>
      <c r="X505" s="933"/>
      <c r="Y505" s="933"/>
      <c r="Z505" s="933"/>
      <c r="AA505" s="933"/>
      <c r="AB505" s="933"/>
      <c r="AC505" s="933"/>
      <c r="AD505" s="933"/>
      <c r="AE505" s="933"/>
    </row>
    <row r="506" spans="1:31" ht="12.75">
      <c r="A506" s="933"/>
      <c r="B506" s="933"/>
      <c r="C506" s="933"/>
      <c r="D506" s="933"/>
      <c r="E506" s="933"/>
      <c r="F506" s="933"/>
      <c r="G506" s="933"/>
      <c r="H506" s="933"/>
      <c r="I506" s="933"/>
      <c r="J506" s="933"/>
      <c r="K506" s="933"/>
      <c r="L506" s="933"/>
      <c r="M506" s="933"/>
      <c r="N506" s="933"/>
      <c r="O506" s="933"/>
      <c r="P506" s="933"/>
      <c r="Q506" s="933"/>
      <c r="R506" s="933"/>
      <c r="S506" s="933"/>
      <c r="T506" s="933"/>
      <c r="U506" s="933"/>
      <c r="V506" s="933"/>
      <c r="W506" s="933"/>
      <c r="X506" s="933"/>
      <c r="Y506" s="933"/>
      <c r="Z506" s="933"/>
      <c r="AA506" s="933"/>
      <c r="AB506" s="933"/>
      <c r="AC506" s="933"/>
      <c r="AD506" s="933"/>
      <c r="AE506" s="933"/>
    </row>
    <row r="507" spans="1:31" ht="12.75">
      <c r="A507" s="933"/>
      <c r="B507" s="933"/>
      <c r="C507" s="933"/>
      <c r="D507" s="933"/>
      <c r="E507" s="933"/>
      <c r="F507" s="933"/>
      <c r="G507" s="933"/>
      <c r="H507" s="933"/>
      <c r="I507" s="933"/>
      <c r="J507" s="933"/>
      <c r="K507" s="933"/>
      <c r="L507" s="933"/>
      <c r="M507" s="933"/>
      <c r="N507" s="933"/>
      <c r="O507" s="933"/>
      <c r="P507" s="933"/>
      <c r="Q507" s="933"/>
      <c r="R507" s="933"/>
      <c r="S507" s="933"/>
      <c r="T507" s="933"/>
      <c r="U507" s="933"/>
      <c r="V507" s="933"/>
      <c r="W507" s="933"/>
      <c r="X507" s="933"/>
      <c r="Y507" s="933"/>
      <c r="Z507" s="933"/>
      <c r="AA507" s="933"/>
      <c r="AB507" s="933"/>
      <c r="AC507" s="933"/>
      <c r="AD507" s="933"/>
      <c r="AE507" s="933"/>
    </row>
    <row r="508" spans="1:31" ht="12.75">
      <c r="A508" s="933"/>
      <c r="B508" s="933"/>
      <c r="C508" s="933"/>
      <c r="D508" s="933"/>
      <c r="E508" s="933"/>
      <c r="F508" s="933"/>
      <c r="G508" s="933"/>
      <c r="H508" s="933"/>
      <c r="I508" s="933"/>
      <c r="J508" s="933"/>
      <c r="K508" s="933"/>
      <c r="L508" s="933"/>
      <c r="M508" s="933"/>
      <c r="N508" s="933"/>
      <c r="O508" s="933"/>
      <c r="P508" s="933"/>
      <c r="Q508" s="933"/>
      <c r="R508" s="933"/>
      <c r="S508" s="933"/>
      <c r="T508" s="933"/>
      <c r="U508" s="933"/>
      <c r="V508" s="933"/>
      <c r="W508" s="933"/>
      <c r="X508" s="933"/>
      <c r="Y508" s="933"/>
      <c r="Z508" s="933"/>
      <c r="AA508" s="933"/>
      <c r="AB508" s="933"/>
      <c r="AC508" s="933"/>
      <c r="AD508" s="933"/>
      <c r="AE508" s="933"/>
    </row>
    <row r="509" spans="1:31" ht="12.75">
      <c r="A509" s="933"/>
      <c r="B509" s="933"/>
      <c r="C509" s="933"/>
      <c r="D509" s="933"/>
      <c r="E509" s="933"/>
      <c r="F509" s="933"/>
      <c r="G509" s="933"/>
      <c r="H509" s="933"/>
      <c r="I509" s="933"/>
      <c r="J509" s="933"/>
      <c r="K509" s="933"/>
      <c r="L509" s="933"/>
      <c r="M509" s="933"/>
      <c r="N509" s="933"/>
      <c r="O509" s="933"/>
      <c r="P509" s="933"/>
      <c r="Q509" s="933"/>
      <c r="R509" s="933"/>
      <c r="S509" s="933"/>
      <c r="T509" s="933"/>
      <c r="U509" s="933"/>
      <c r="V509" s="933"/>
      <c r="W509" s="933"/>
      <c r="X509" s="933"/>
      <c r="Y509" s="933"/>
      <c r="Z509" s="933"/>
      <c r="AA509" s="933"/>
      <c r="AB509" s="933"/>
      <c r="AC509" s="933"/>
      <c r="AD509" s="933"/>
      <c r="AE509" s="933"/>
    </row>
    <row r="510" spans="1:31" ht="12.75">
      <c r="A510" s="933"/>
      <c r="B510" s="933"/>
      <c r="C510" s="933"/>
      <c r="D510" s="933"/>
      <c r="E510" s="933"/>
      <c r="F510" s="933"/>
      <c r="G510" s="933"/>
      <c r="H510" s="933"/>
      <c r="I510" s="933"/>
      <c r="J510" s="933"/>
      <c r="K510" s="933"/>
      <c r="L510" s="933"/>
      <c r="M510" s="933"/>
      <c r="N510" s="933"/>
      <c r="O510" s="933"/>
      <c r="P510" s="933"/>
      <c r="Q510" s="933"/>
      <c r="R510" s="933"/>
      <c r="S510" s="933"/>
      <c r="T510" s="933"/>
      <c r="U510" s="933"/>
      <c r="V510" s="933"/>
      <c r="W510" s="933"/>
      <c r="X510" s="933"/>
      <c r="Y510" s="933"/>
      <c r="Z510" s="933"/>
      <c r="AA510" s="933"/>
      <c r="AB510" s="933"/>
      <c r="AC510" s="933"/>
      <c r="AD510" s="933"/>
      <c r="AE510" s="933"/>
    </row>
    <row r="511" spans="1:31" ht="12.75">
      <c r="A511" s="933"/>
      <c r="B511" s="933"/>
      <c r="C511" s="933"/>
      <c r="D511" s="933"/>
      <c r="E511" s="933"/>
      <c r="F511" s="933"/>
      <c r="G511" s="933"/>
      <c r="H511" s="933"/>
      <c r="I511" s="933"/>
      <c r="J511" s="933"/>
      <c r="K511" s="933"/>
      <c r="L511" s="933"/>
      <c r="M511" s="933"/>
      <c r="N511" s="933"/>
      <c r="O511" s="933"/>
      <c r="P511" s="933"/>
      <c r="Q511" s="933"/>
      <c r="R511" s="933"/>
      <c r="S511" s="933"/>
      <c r="T511" s="933"/>
      <c r="U511" s="933"/>
      <c r="V511" s="933"/>
      <c r="W511" s="933"/>
      <c r="X511" s="933"/>
      <c r="Y511" s="933"/>
      <c r="Z511" s="933"/>
      <c r="AA511" s="933"/>
      <c r="AB511" s="933"/>
      <c r="AC511" s="933"/>
      <c r="AD511" s="933"/>
      <c r="AE511" s="933"/>
    </row>
    <row r="512" spans="1:31" ht="12.75">
      <c r="A512" s="933"/>
      <c r="B512" s="933"/>
      <c r="C512" s="933"/>
      <c r="D512" s="933"/>
      <c r="E512" s="933"/>
      <c r="F512" s="933"/>
      <c r="G512" s="933"/>
      <c r="H512" s="933"/>
      <c r="I512" s="933"/>
      <c r="J512" s="933"/>
      <c r="K512" s="933"/>
      <c r="L512" s="933"/>
      <c r="M512" s="933"/>
      <c r="N512" s="933"/>
      <c r="O512" s="933"/>
      <c r="P512" s="933"/>
      <c r="Q512" s="933"/>
      <c r="R512" s="933"/>
      <c r="S512" s="933"/>
      <c r="T512" s="933"/>
      <c r="U512" s="933"/>
      <c r="V512" s="933"/>
      <c r="W512" s="933"/>
      <c r="X512" s="933"/>
      <c r="Y512" s="933"/>
      <c r="Z512" s="933"/>
      <c r="AA512" s="933"/>
      <c r="AB512" s="933"/>
      <c r="AC512" s="933"/>
      <c r="AD512" s="933"/>
      <c r="AE512" s="933"/>
    </row>
    <row r="513" spans="1:31" ht="12.75">
      <c r="A513" s="933"/>
      <c r="B513" s="933"/>
      <c r="C513" s="933"/>
      <c r="D513" s="933"/>
      <c r="E513" s="933"/>
      <c r="F513" s="933"/>
      <c r="G513" s="933"/>
      <c r="H513" s="933"/>
      <c r="I513" s="933"/>
      <c r="J513" s="933"/>
      <c r="K513" s="933"/>
      <c r="L513" s="933"/>
      <c r="M513" s="933"/>
      <c r="N513" s="933"/>
      <c r="O513" s="933"/>
      <c r="P513" s="933"/>
      <c r="Q513" s="933"/>
      <c r="R513" s="933"/>
      <c r="S513" s="933"/>
      <c r="T513" s="933"/>
      <c r="U513" s="933"/>
      <c r="V513" s="933"/>
      <c r="W513" s="933"/>
      <c r="X513" s="933"/>
      <c r="Y513" s="933"/>
      <c r="Z513" s="933"/>
      <c r="AA513" s="933"/>
      <c r="AB513" s="933"/>
      <c r="AC513" s="933"/>
      <c r="AD513" s="933"/>
      <c r="AE513" s="933"/>
    </row>
    <row r="514" spans="1:31" ht="12.75">
      <c r="A514" s="933"/>
      <c r="B514" s="933"/>
      <c r="C514" s="933"/>
      <c r="D514" s="933"/>
      <c r="E514" s="933"/>
      <c r="F514" s="933"/>
      <c r="G514" s="933"/>
      <c r="H514" s="933"/>
      <c r="I514" s="933"/>
      <c r="J514" s="933"/>
      <c r="K514" s="933"/>
      <c r="L514" s="933"/>
      <c r="M514" s="933"/>
      <c r="N514" s="933"/>
      <c r="O514" s="933"/>
      <c r="P514" s="933"/>
      <c r="Q514" s="933"/>
      <c r="R514" s="933"/>
      <c r="S514" s="933"/>
      <c r="T514" s="933"/>
      <c r="U514" s="933"/>
      <c r="V514" s="933"/>
      <c r="W514" s="933"/>
      <c r="X514" s="933"/>
      <c r="Y514" s="933"/>
      <c r="Z514" s="933"/>
      <c r="AA514" s="933"/>
      <c r="AB514" s="933"/>
      <c r="AC514" s="933"/>
      <c r="AD514" s="933"/>
      <c r="AE514" s="933"/>
    </row>
    <row r="515" spans="1:31" ht="12.75">
      <c r="A515" s="933"/>
      <c r="B515" s="933"/>
      <c r="C515" s="933"/>
      <c r="D515" s="933"/>
      <c r="E515" s="933"/>
      <c r="F515" s="933"/>
      <c r="G515" s="933"/>
      <c r="H515" s="933"/>
      <c r="I515" s="933"/>
      <c r="J515" s="933"/>
      <c r="K515" s="933"/>
      <c r="L515" s="933"/>
      <c r="M515" s="933"/>
      <c r="N515" s="933"/>
      <c r="O515" s="933"/>
      <c r="P515" s="933"/>
      <c r="Q515" s="933"/>
      <c r="R515" s="933"/>
      <c r="S515" s="933"/>
      <c r="T515" s="933"/>
      <c r="U515" s="933"/>
      <c r="V515" s="933"/>
      <c r="W515" s="933"/>
      <c r="X515" s="933"/>
      <c r="Y515" s="933"/>
      <c r="Z515" s="933"/>
      <c r="AA515" s="933"/>
      <c r="AB515" s="933"/>
      <c r="AC515" s="933"/>
      <c r="AD515" s="933"/>
      <c r="AE515" s="933"/>
    </row>
    <row r="516" spans="1:31" ht="12.75">
      <c r="A516" s="933"/>
      <c r="B516" s="933"/>
      <c r="C516" s="933"/>
      <c r="D516" s="933"/>
      <c r="E516" s="933"/>
      <c r="F516" s="933"/>
      <c r="G516" s="933"/>
      <c r="H516" s="933"/>
      <c r="I516" s="933"/>
      <c r="J516" s="933"/>
      <c r="K516" s="933"/>
      <c r="L516" s="933"/>
      <c r="M516" s="933"/>
      <c r="N516" s="933"/>
      <c r="O516" s="933"/>
      <c r="P516" s="933"/>
      <c r="Q516" s="933"/>
      <c r="R516" s="933"/>
      <c r="S516" s="933"/>
      <c r="T516" s="933"/>
      <c r="U516" s="933"/>
      <c r="V516" s="933"/>
      <c r="W516" s="933"/>
      <c r="X516" s="933"/>
      <c r="Y516" s="933"/>
      <c r="Z516" s="933"/>
      <c r="AA516" s="933"/>
      <c r="AB516" s="933"/>
      <c r="AC516" s="933"/>
      <c r="AD516" s="933"/>
      <c r="AE516" s="933"/>
    </row>
    <row r="517" spans="1:31" ht="12.75">
      <c r="A517" s="933"/>
      <c r="B517" s="933"/>
      <c r="C517" s="933"/>
      <c r="D517" s="933"/>
      <c r="E517" s="933"/>
      <c r="F517" s="933"/>
      <c r="G517" s="933"/>
      <c r="H517" s="933"/>
      <c r="I517" s="933"/>
      <c r="J517" s="933"/>
      <c r="K517" s="933"/>
      <c r="L517" s="933"/>
      <c r="M517" s="933"/>
      <c r="N517" s="933"/>
      <c r="O517" s="933"/>
      <c r="P517" s="933"/>
      <c r="Q517" s="933"/>
      <c r="R517" s="933"/>
      <c r="S517" s="933"/>
      <c r="T517" s="933"/>
      <c r="U517" s="933"/>
      <c r="V517" s="933"/>
      <c r="W517" s="933"/>
      <c r="X517" s="933"/>
      <c r="Y517" s="933"/>
      <c r="Z517" s="933"/>
      <c r="AA517" s="933"/>
      <c r="AB517" s="933"/>
      <c r="AC517" s="933"/>
      <c r="AD517" s="933"/>
      <c r="AE517" s="933"/>
    </row>
    <row r="518" spans="1:31" ht="12.75">
      <c r="A518" s="933"/>
      <c r="B518" s="933"/>
      <c r="C518" s="933"/>
      <c r="D518" s="933"/>
      <c r="E518" s="933"/>
      <c r="F518" s="933"/>
      <c r="G518" s="933"/>
      <c r="H518" s="933"/>
      <c r="I518" s="933"/>
      <c r="J518" s="933"/>
      <c r="K518" s="933"/>
      <c r="L518" s="933"/>
      <c r="M518" s="933"/>
      <c r="N518" s="933"/>
      <c r="O518" s="933"/>
      <c r="P518" s="933"/>
      <c r="Q518" s="933"/>
      <c r="R518" s="933"/>
      <c r="S518" s="933"/>
      <c r="T518" s="933"/>
      <c r="U518" s="933"/>
      <c r="V518" s="933"/>
      <c r="W518" s="933"/>
      <c r="X518" s="933"/>
      <c r="Y518" s="933"/>
      <c r="Z518" s="933"/>
      <c r="AA518" s="933"/>
      <c r="AB518" s="933"/>
      <c r="AC518" s="933"/>
      <c r="AD518" s="933"/>
      <c r="AE518" s="933"/>
    </row>
    <row r="519" spans="1:31" ht="12.75">
      <c r="A519" s="933"/>
      <c r="B519" s="933"/>
      <c r="C519" s="933"/>
      <c r="D519" s="933"/>
      <c r="E519" s="933"/>
      <c r="F519" s="933"/>
      <c r="G519" s="933"/>
      <c r="H519" s="933"/>
      <c r="I519" s="933"/>
      <c r="J519" s="933"/>
      <c r="K519" s="933"/>
      <c r="L519" s="933"/>
      <c r="M519" s="933"/>
      <c r="N519" s="933"/>
      <c r="O519" s="933"/>
      <c r="P519" s="933"/>
      <c r="Q519" s="933"/>
      <c r="R519" s="933"/>
      <c r="S519" s="933"/>
      <c r="T519" s="933"/>
      <c r="U519" s="933"/>
      <c r="V519" s="933"/>
      <c r="W519" s="933"/>
      <c r="X519" s="933"/>
      <c r="Y519" s="933"/>
      <c r="Z519" s="933"/>
      <c r="AA519" s="933"/>
      <c r="AB519" s="933"/>
      <c r="AC519" s="933"/>
      <c r="AD519" s="933"/>
      <c r="AE519" s="933"/>
    </row>
    <row r="520" spans="1:31" ht="12.75">
      <c r="A520" s="933"/>
      <c r="B520" s="933"/>
      <c r="C520" s="933"/>
      <c r="D520" s="933"/>
      <c r="E520" s="933"/>
      <c r="F520" s="933"/>
      <c r="G520" s="933"/>
      <c r="H520" s="933"/>
      <c r="I520" s="933"/>
      <c r="J520" s="933"/>
      <c r="K520" s="933"/>
      <c r="L520" s="933"/>
      <c r="M520" s="933"/>
      <c r="N520" s="933"/>
      <c r="O520" s="933"/>
      <c r="P520" s="933"/>
      <c r="Q520" s="933"/>
      <c r="R520" s="933"/>
      <c r="S520" s="933"/>
      <c r="T520" s="933"/>
      <c r="U520" s="933"/>
      <c r="V520" s="933"/>
      <c r="W520" s="933"/>
      <c r="X520" s="933"/>
      <c r="Y520" s="933"/>
      <c r="Z520" s="933"/>
      <c r="AA520" s="933"/>
      <c r="AB520" s="933"/>
      <c r="AC520" s="933"/>
      <c r="AD520" s="933"/>
      <c r="AE520" s="933"/>
    </row>
    <row r="521" spans="1:31" ht="12.75">
      <c r="A521" s="933"/>
      <c r="B521" s="933"/>
      <c r="C521" s="933"/>
      <c r="D521" s="933"/>
      <c r="E521" s="933"/>
      <c r="F521" s="933"/>
      <c r="G521" s="933"/>
      <c r="H521" s="933"/>
      <c r="I521" s="933"/>
      <c r="J521" s="933"/>
      <c r="K521" s="933"/>
      <c r="L521" s="933"/>
      <c r="M521" s="933"/>
      <c r="N521" s="933"/>
      <c r="O521" s="933"/>
      <c r="P521" s="933"/>
      <c r="Q521" s="933"/>
      <c r="R521" s="933"/>
      <c r="S521" s="933"/>
      <c r="T521" s="933"/>
      <c r="U521" s="933"/>
      <c r="V521" s="933"/>
      <c r="W521" s="933"/>
      <c r="X521" s="933"/>
      <c r="Y521" s="933"/>
      <c r="Z521" s="933"/>
      <c r="AA521" s="933"/>
      <c r="AB521" s="933"/>
      <c r="AC521" s="933"/>
      <c r="AD521" s="933"/>
      <c r="AE521" s="933"/>
    </row>
    <row r="522" spans="1:31" ht="12.75">
      <c r="A522" s="933"/>
      <c r="B522" s="933"/>
      <c r="C522" s="933"/>
      <c r="D522" s="933"/>
      <c r="E522" s="933"/>
      <c r="F522" s="933"/>
      <c r="G522" s="933"/>
      <c r="H522" s="933"/>
      <c r="I522" s="933"/>
      <c r="J522" s="933"/>
      <c r="K522" s="933"/>
      <c r="L522" s="933"/>
      <c r="M522" s="933"/>
      <c r="N522" s="933"/>
      <c r="O522" s="933"/>
      <c r="P522" s="933"/>
      <c r="Q522" s="933"/>
      <c r="R522" s="933"/>
      <c r="S522" s="933"/>
      <c r="T522" s="933"/>
      <c r="U522" s="933"/>
      <c r="V522" s="933"/>
      <c r="W522" s="933"/>
      <c r="X522" s="933"/>
      <c r="Y522" s="933"/>
      <c r="Z522" s="933"/>
      <c r="AA522" s="933"/>
      <c r="AB522" s="933"/>
      <c r="AC522" s="933"/>
      <c r="AD522" s="933"/>
      <c r="AE522" s="933"/>
    </row>
    <row r="523" spans="1:31" ht="12.75">
      <c r="A523" s="933"/>
      <c r="B523" s="933"/>
      <c r="C523" s="933"/>
      <c r="D523" s="933"/>
      <c r="E523" s="933"/>
      <c r="F523" s="933"/>
      <c r="G523" s="933"/>
      <c r="H523" s="933"/>
      <c r="I523" s="933"/>
      <c r="J523" s="933"/>
      <c r="K523" s="933"/>
      <c r="L523" s="933"/>
      <c r="M523" s="933"/>
      <c r="N523" s="933"/>
      <c r="O523" s="933"/>
      <c r="P523" s="933"/>
      <c r="Q523" s="933"/>
      <c r="R523" s="933"/>
      <c r="S523" s="933"/>
      <c r="T523" s="933"/>
      <c r="U523" s="933"/>
      <c r="V523" s="933"/>
      <c r="W523" s="933"/>
      <c r="X523" s="933"/>
      <c r="Y523" s="933"/>
      <c r="Z523" s="933"/>
      <c r="AA523" s="933"/>
      <c r="AB523" s="933"/>
      <c r="AC523" s="933"/>
      <c r="AD523" s="933"/>
      <c r="AE523" s="933"/>
    </row>
    <row r="524" spans="1:31" ht="12.75">
      <c r="A524" s="933"/>
      <c r="B524" s="933"/>
      <c r="C524" s="933"/>
      <c r="D524" s="933"/>
      <c r="E524" s="933"/>
      <c r="F524" s="933"/>
      <c r="G524" s="933"/>
      <c r="H524" s="933"/>
      <c r="I524" s="933"/>
      <c r="J524" s="933"/>
      <c r="K524" s="933"/>
      <c r="L524" s="933"/>
      <c r="M524" s="933"/>
      <c r="N524" s="933"/>
      <c r="O524" s="933"/>
      <c r="P524" s="933"/>
      <c r="Q524" s="933"/>
      <c r="R524" s="933"/>
      <c r="S524" s="933"/>
      <c r="T524" s="933"/>
      <c r="U524" s="933"/>
      <c r="V524" s="933"/>
      <c r="W524" s="933"/>
      <c r="X524" s="933"/>
      <c r="Y524" s="933"/>
      <c r="Z524" s="933"/>
      <c r="AA524" s="933"/>
      <c r="AB524" s="933"/>
      <c r="AC524" s="933"/>
      <c r="AD524" s="933"/>
      <c r="AE524" s="933"/>
    </row>
    <row r="525" spans="1:31" ht="12.75">
      <c r="A525" s="933"/>
      <c r="B525" s="933"/>
      <c r="C525" s="933"/>
      <c r="D525" s="933"/>
      <c r="E525" s="933"/>
      <c r="F525" s="933"/>
      <c r="G525" s="933"/>
      <c r="H525" s="933"/>
      <c r="I525" s="933"/>
      <c r="J525" s="933"/>
      <c r="K525" s="933"/>
      <c r="L525" s="933"/>
      <c r="M525" s="933"/>
      <c r="N525" s="933"/>
      <c r="O525" s="933"/>
      <c r="P525" s="933"/>
      <c r="Q525" s="933"/>
      <c r="R525" s="933"/>
      <c r="S525" s="933"/>
      <c r="T525" s="933"/>
      <c r="U525" s="933"/>
      <c r="V525" s="933"/>
      <c r="W525" s="933"/>
      <c r="X525" s="933"/>
      <c r="Y525" s="933"/>
      <c r="Z525" s="933"/>
      <c r="AA525" s="933"/>
      <c r="AB525" s="933"/>
      <c r="AC525" s="933"/>
      <c r="AD525" s="933"/>
      <c r="AE525" s="933"/>
    </row>
    <row r="526" spans="1:31" ht="12.75">
      <c r="A526" s="933"/>
      <c r="B526" s="933"/>
      <c r="C526" s="933"/>
      <c r="D526" s="933"/>
      <c r="E526" s="933"/>
      <c r="F526" s="933"/>
      <c r="G526" s="933"/>
      <c r="H526" s="933"/>
      <c r="I526" s="933"/>
      <c r="J526" s="933"/>
      <c r="K526" s="933"/>
      <c r="L526" s="933"/>
      <c r="M526" s="933"/>
      <c r="N526" s="933"/>
      <c r="O526" s="933"/>
      <c r="P526" s="933"/>
      <c r="Q526" s="933"/>
      <c r="R526" s="933"/>
      <c r="S526" s="933"/>
      <c r="T526" s="933"/>
      <c r="U526" s="933"/>
      <c r="V526" s="933"/>
      <c r="W526" s="933"/>
      <c r="X526" s="933"/>
      <c r="Y526" s="933"/>
      <c r="Z526" s="933"/>
      <c r="AA526" s="933"/>
      <c r="AB526" s="933"/>
      <c r="AC526" s="933"/>
      <c r="AD526" s="933"/>
      <c r="AE526" s="933"/>
    </row>
    <row r="527" spans="1:31" ht="12.75">
      <c r="A527" s="933"/>
      <c r="B527" s="933"/>
      <c r="C527" s="933"/>
      <c r="D527" s="933"/>
      <c r="E527" s="933"/>
      <c r="F527" s="933"/>
      <c r="G527" s="933"/>
      <c r="H527" s="933"/>
      <c r="I527" s="933"/>
      <c r="J527" s="933"/>
      <c r="K527" s="933"/>
      <c r="L527" s="933"/>
      <c r="M527" s="933"/>
      <c r="N527" s="933"/>
      <c r="O527" s="933"/>
      <c r="P527" s="933"/>
      <c r="Q527" s="933"/>
      <c r="R527" s="933"/>
      <c r="S527" s="933"/>
      <c r="T527" s="933"/>
      <c r="U527" s="933"/>
      <c r="V527" s="933"/>
      <c r="W527" s="933"/>
      <c r="X527" s="933"/>
      <c r="Y527" s="933"/>
      <c r="Z527" s="933"/>
      <c r="AA527" s="933"/>
      <c r="AB527" s="933"/>
      <c r="AC527" s="933"/>
      <c r="AD527" s="933"/>
      <c r="AE527" s="933"/>
    </row>
    <row r="528" spans="1:31" ht="12.75">
      <c r="A528" s="933"/>
      <c r="B528" s="933"/>
      <c r="C528" s="933"/>
      <c r="D528" s="933"/>
      <c r="E528" s="933"/>
      <c r="F528" s="933"/>
      <c r="G528" s="933"/>
      <c r="H528" s="933"/>
      <c r="I528" s="933"/>
      <c r="J528" s="933"/>
      <c r="K528" s="933"/>
      <c r="L528" s="933"/>
      <c r="M528" s="933"/>
      <c r="N528" s="933"/>
      <c r="O528" s="933"/>
      <c r="P528" s="933"/>
      <c r="Q528" s="933"/>
      <c r="R528" s="933"/>
      <c r="S528" s="933"/>
      <c r="T528" s="933"/>
      <c r="U528" s="933"/>
      <c r="V528" s="933"/>
      <c r="W528" s="933"/>
      <c r="X528" s="933"/>
      <c r="Y528" s="933"/>
      <c r="Z528" s="933"/>
      <c r="AA528" s="933"/>
      <c r="AB528" s="933"/>
      <c r="AC528" s="933"/>
      <c r="AD528" s="933"/>
      <c r="AE528" s="933"/>
    </row>
    <row r="529" spans="1:31" ht="12.75">
      <c r="A529" s="933"/>
      <c r="B529" s="933"/>
      <c r="C529" s="933"/>
      <c r="D529" s="933"/>
      <c r="E529" s="933"/>
      <c r="F529" s="933"/>
      <c r="G529" s="933"/>
      <c r="H529" s="933"/>
      <c r="I529" s="933"/>
      <c r="J529" s="933"/>
      <c r="K529" s="933"/>
      <c r="L529" s="933"/>
      <c r="M529" s="933"/>
      <c r="N529" s="933"/>
      <c r="O529" s="933"/>
      <c r="P529" s="933"/>
      <c r="Q529" s="933"/>
      <c r="R529" s="933"/>
      <c r="S529" s="933"/>
      <c r="T529" s="933"/>
      <c r="U529" s="933"/>
      <c r="V529" s="933"/>
      <c r="W529" s="933"/>
      <c r="X529" s="933"/>
      <c r="Y529" s="933"/>
      <c r="Z529" s="933"/>
      <c r="AA529" s="933"/>
      <c r="AB529" s="933"/>
      <c r="AC529" s="933"/>
      <c r="AD529" s="933"/>
      <c r="AE529" s="933"/>
    </row>
    <row r="530" spans="1:31" ht="12.75">
      <c r="A530" s="933"/>
      <c r="B530" s="933"/>
      <c r="C530" s="933"/>
      <c r="D530" s="933"/>
      <c r="E530" s="933"/>
      <c r="F530" s="933"/>
      <c r="G530" s="933"/>
      <c r="H530" s="933"/>
      <c r="I530" s="933"/>
      <c r="J530" s="933"/>
      <c r="K530" s="933"/>
      <c r="L530" s="933"/>
      <c r="M530" s="933"/>
      <c r="N530" s="933"/>
      <c r="O530" s="933"/>
      <c r="P530" s="933"/>
      <c r="Q530" s="933"/>
      <c r="R530" s="933"/>
      <c r="S530" s="933"/>
      <c r="T530" s="933"/>
      <c r="U530" s="933"/>
      <c r="V530" s="933"/>
      <c r="W530" s="933"/>
      <c r="X530" s="933"/>
      <c r="Y530" s="933"/>
      <c r="Z530" s="933"/>
      <c r="AA530" s="933"/>
      <c r="AB530" s="933"/>
      <c r="AC530" s="933"/>
      <c r="AD530" s="933"/>
      <c r="AE530" s="933"/>
    </row>
    <row r="531" spans="1:31" ht="12.75">
      <c r="A531" s="933"/>
      <c r="B531" s="933"/>
      <c r="C531" s="933"/>
      <c r="D531" s="933"/>
      <c r="E531" s="933"/>
      <c r="F531" s="933"/>
      <c r="G531" s="933"/>
      <c r="H531" s="933"/>
      <c r="I531" s="933"/>
      <c r="J531" s="933"/>
      <c r="K531" s="933"/>
      <c r="L531" s="933"/>
      <c r="M531" s="933"/>
      <c r="N531" s="933"/>
      <c r="O531" s="933"/>
      <c r="P531" s="933"/>
      <c r="Q531" s="933"/>
      <c r="R531" s="933"/>
      <c r="S531" s="933"/>
      <c r="T531" s="933"/>
      <c r="U531" s="933"/>
      <c r="V531" s="933"/>
      <c r="W531" s="933"/>
      <c r="X531" s="933"/>
      <c r="Y531" s="933"/>
      <c r="Z531" s="933"/>
      <c r="AA531" s="933"/>
      <c r="AB531" s="933"/>
      <c r="AC531" s="933"/>
      <c r="AD531" s="933"/>
      <c r="AE531" s="933"/>
    </row>
    <row r="532" spans="1:31" ht="12.75">
      <c r="A532" s="933"/>
      <c r="B532" s="933"/>
      <c r="C532" s="933"/>
      <c r="D532" s="933"/>
      <c r="E532" s="933"/>
      <c r="F532" s="933"/>
      <c r="G532" s="933"/>
      <c r="H532" s="933"/>
      <c r="I532" s="933"/>
      <c r="J532" s="933"/>
      <c r="K532" s="933"/>
      <c r="L532" s="933"/>
      <c r="M532" s="933"/>
      <c r="N532" s="933"/>
      <c r="O532" s="933"/>
      <c r="P532" s="933"/>
      <c r="Q532" s="933"/>
      <c r="R532" s="933"/>
      <c r="S532" s="933"/>
      <c r="T532" s="933"/>
      <c r="U532" s="933"/>
      <c r="V532" s="933"/>
      <c r="W532" s="933"/>
      <c r="X532" s="933"/>
      <c r="Y532" s="933"/>
      <c r="Z532" s="933"/>
      <c r="AA532" s="933"/>
      <c r="AB532" s="933"/>
      <c r="AC532" s="933"/>
      <c r="AD532" s="933"/>
      <c r="AE532" s="933"/>
    </row>
    <row r="533" spans="1:31" ht="12.75">
      <c r="A533" s="933"/>
      <c r="B533" s="933"/>
      <c r="C533" s="933"/>
      <c r="D533" s="933"/>
      <c r="E533" s="933"/>
      <c r="F533" s="933"/>
      <c r="G533" s="933"/>
      <c r="H533" s="933"/>
      <c r="I533" s="933"/>
      <c r="J533" s="933"/>
      <c r="K533" s="933"/>
      <c r="L533" s="933"/>
      <c r="M533" s="933"/>
      <c r="N533" s="933"/>
      <c r="O533" s="933"/>
      <c r="P533" s="933"/>
      <c r="Q533" s="933"/>
      <c r="R533" s="933"/>
      <c r="S533" s="933"/>
      <c r="T533" s="933"/>
      <c r="U533" s="933"/>
      <c r="V533" s="933"/>
      <c r="W533" s="933"/>
      <c r="X533" s="933"/>
      <c r="Y533" s="933"/>
      <c r="Z533" s="933"/>
      <c r="AA533" s="933"/>
      <c r="AB533" s="933"/>
      <c r="AC533" s="933"/>
      <c r="AD533" s="933"/>
      <c r="AE533" s="933"/>
    </row>
    <row r="534" spans="1:31" ht="12.75">
      <c r="A534" s="933"/>
      <c r="B534" s="933"/>
      <c r="C534" s="933"/>
      <c r="D534" s="933"/>
      <c r="E534" s="933"/>
      <c r="F534" s="933"/>
      <c r="G534" s="933"/>
      <c r="H534" s="933"/>
      <c r="I534" s="933"/>
      <c r="J534" s="933"/>
      <c r="K534" s="933"/>
      <c r="L534" s="933"/>
      <c r="M534" s="933"/>
      <c r="N534" s="933"/>
      <c r="O534" s="933"/>
      <c r="P534" s="933"/>
      <c r="Q534" s="933"/>
      <c r="R534" s="933"/>
      <c r="S534" s="933"/>
      <c r="T534" s="933"/>
      <c r="U534" s="933"/>
      <c r="V534" s="933"/>
      <c r="W534" s="933"/>
      <c r="X534" s="933"/>
      <c r="Y534" s="933"/>
      <c r="Z534" s="933"/>
      <c r="AA534" s="933"/>
      <c r="AB534" s="933"/>
      <c r="AC534" s="933"/>
      <c r="AD534" s="933"/>
      <c r="AE534" s="933"/>
    </row>
    <row r="535" spans="1:31" ht="12.75">
      <c r="A535" s="933"/>
      <c r="B535" s="933"/>
      <c r="C535" s="933"/>
      <c r="D535" s="933"/>
      <c r="E535" s="933"/>
      <c r="F535" s="933"/>
      <c r="G535" s="933"/>
      <c r="H535" s="933"/>
      <c r="I535" s="933"/>
      <c r="J535" s="933"/>
      <c r="K535" s="933"/>
      <c r="L535" s="933"/>
      <c r="M535" s="933"/>
      <c r="N535" s="933"/>
      <c r="O535" s="933"/>
      <c r="P535" s="933"/>
      <c r="Q535" s="933"/>
      <c r="R535" s="933"/>
      <c r="S535" s="933"/>
      <c r="T535" s="933"/>
      <c r="U535" s="933"/>
      <c r="V535" s="933"/>
      <c r="W535" s="933"/>
      <c r="X535" s="933"/>
      <c r="Y535" s="933"/>
      <c r="Z535" s="933"/>
      <c r="AA535" s="933"/>
      <c r="AB535" s="933"/>
      <c r="AC535" s="933"/>
      <c r="AD535" s="933"/>
      <c r="AE535" s="933"/>
    </row>
    <row r="536" spans="1:31" ht="12.75">
      <c r="A536" s="933"/>
      <c r="B536" s="933"/>
      <c r="C536" s="933"/>
      <c r="D536" s="933"/>
      <c r="E536" s="933"/>
      <c r="F536" s="933"/>
      <c r="G536" s="933"/>
      <c r="H536" s="933"/>
      <c r="I536" s="933"/>
      <c r="J536" s="933"/>
      <c r="K536" s="933"/>
      <c r="L536" s="933"/>
      <c r="M536" s="933"/>
      <c r="N536" s="933"/>
      <c r="O536" s="933"/>
      <c r="P536" s="933"/>
      <c r="Q536" s="933"/>
      <c r="R536" s="933"/>
      <c r="S536" s="933"/>
      <c r="T536" s="933"/>
      <c r="U536" s="933"/>
      <c r="V536" s="933"/>
      <c r="W536" s="933"/>
      <c r="X536" s="933"/>
      <c r="Y536" s="933"/>
      <c r="Z536" s="933"/>
      <c r="AA536" s="933"/>
      <c r="AB536" s="933"/>
      <c r="AC536" s="933"/>
      <c r="AD536" s="933"/>
      <c r="AE536" s="933"/>
    </row>
    <row r="537" spans="1:31" ht="12.75">
      <c r="A537" s="933"/>
      <c r="B537" s="933"/>
      <c r="C537" s="933"/>
      <c r="D537" s="933"/>
      <c r="E537" s="933"/>
      <c r="F537" s="933"/>
      <c r="G537" s="933"/>
      <c r="H537" s="933"/>
      <c r="I537" s="933"/>
      <c r="J537" s="933"/>
      <c r="K537" s="933"/>
      <c r="L537" s="933"/>
      <c r="M537" s="933"/>
      <c r="N537" s="933"/>
      <c r="O537" s="933"/>
      <c r="P537" s="933"/>
      <c r="Q537" s="933"/>
      <c r="R537" s="933"/>
      <c r="S537" s="933"/>
      <c r="T537" s="933"/>
      <c r="U537" s="933"/>
      <c r="V537" s="933"/>
      <c r="W537" s="933"/>
      <c r="X537" s="933"/>
      <c r="Y537" s="933"/>
      <c r="Z537" s="933"/>
      <c r="AA537" s="933"/>
      <c r="AB537" s="933"/>
      <c r="AC537" s="933"/>
      <c r="AD537" s="933"/>
      <c r="AE537" s="933"/>
    </row>
    <row r="538" spans="1:31" ht="12.75">
      <c r="A538" s="933"/>
      <c r="B538" s="933"/>
      <c r="C538" s="933"/>
      <c r="D538" s="933"/>
      <c r="E538" s="933"/>
      <c r="F538" s="933"/>
      <c r="G538" s="933"/>
      <c r="H538" s="933"/>
      <c r="I538" s="933"/>
      <c r="J538" s="933"/>
      <c r="K538" s="933"/>
      <c r="L538" s="933"/>
      <c r="M538" s="933"/>
      <c r="N538" s="933"/>
      <c r="O538" s="933"/>
      <c r="P538" s="933"/>
      <c r="Q538" s="933"/>
      <c r="R538" s="933"/>
      <c r="S538" s="933"/>
      <c r="T538" s="933"/>
      <c r="U538" s="933"/>
      <c r="V538" s="933"/>
      <c r="W538" s="933"/>
      <c r="X538" s="933"/>
      <c r="Y538" s="933"/>
      <c r="Z538" s="933"/>
      <c r="AA538" s="933"/>
      <c r="AB538" s="933"/>
      <c r="AC538" s="933"/>
      <c r="AD538" s="933"/>
      <c r="AE538" s="933"/>
    </row>
    <row r="539" spans="1:31" ht="12.75">
      <c r="A539" s="933"/>
      <c r="B539" s="933"/>
      <c r="C539" s="933"/>
      <c r="D539" s="933"/>
      <c r="E539" s="933"/>
      <c r="F539" s="933"/>
      <c r="G539" s="933"/>
      <c r="H539" s="933"/>
      <c r="I539" s="933"/>
      <c r="J539" s="933"/>
      <c r="K539" s="933"/>
      <c r="L539" s="933"/>
      <c r="M539" s="933"/>
      <c r="N539" s="933"/>
      <c r="O539" s="933"/>
      <c r="P539" s="933"/>
      <c r="Q539" s="933"/>
      <c r="R539" s="933"/>
      <c r="S539" s="933"/>
      <c r="T539" s="933"/>
      <c r="U539" s="933"/>
      <c r="V539" s="933"/>
      <c r="W539" s="933"/>
      <c r="X539" s="933"/>
      <c r="Y539" s="933"/>
      <c r="Z539" s="933"/>
      <c r="AA539" s="933"/>
      <c r="AB539" s="933"/>
      <c r="AC539" s="933"/>
      <c r="AD539" s="933"/>
      <c r="AE539" s="933"/>
    </row>
    <row r="540" spans="1:31" ht="12.75">
      <c r="A540" s="933"/>
      <c r="B540" s="933"/>
      <c r="C540" s="933"/>
      <c r="D540" s="933"/>
      <c r="E540" s="933"/>
      <c r="F540" s="933"/>
      <c r="G540" s="933"/>
      <c r="H540" s="933"/>
      <c r="I540" s="933"/>
      <c r="J540" s="933"/>
      <c r="K540" s="933"/>
      <c r="L540" s="933"/>
      <c r="M540" s="933"/>
      <c r="N540" s="933"/>
      <c r="O540" s="933"/>
      <c r="P540" s="933"/>
      <c r="Q540" s="933"/>
      <c r="R540" s="933"/>
      <c r="S540" s="933"/>
      <c r="T540" s="933"/>
      <c r="U540" s="933"/>
      <c r="V540" s="933"/>
      <c r="W540" s="933"/>
      <c r="X540" s="933"/>
      <c r="Y540" s="933"/>
      <c r="Z540" s="933"/>
      <c r="AA540" s="933"/>
      <c r="AB540" s="933"/>
      <c r="AC540" s="933"/>
      <c r="AD540" s="933"/>
      <c r="AE540" s="933"/>
    </row>
    <row r="541" spans="1:31" ht="12.75">
      <c r="A541" s="933"/>
      <c r="B541" s="933"/>
      <c r="C541" s="933"/>
      <c r="D541" s="933"/>
      <c r="E541" s="933"/>
      <c r="F541" s="933"/>
      <c r="G541" s="933"/>
      <c r="H541" s="933"/>
      <c r="I541" s="933"/>
      <c r="J541" s="933"/>
      <c r="K541" s="933"/>
      <c r="L541" s="933"/>
      <c r="M541" s="933"/>
      <c r="N541" s="933"/>
      <c r="O541" s="933"/>
      <c r="P541" s="933"/>
      <c r="Q541" s="933"/>
      <c r="R541" s="933"/>
      <c r="S541" s="933"/>
      <c r="T541" s="933"/>
      <c r="U541" s="933"/>
      <c r="V541" s="933"/>
      <c r="W541" s="933"/>
      <c r="X541" s="933"/>
      <c r="Y541" s="933"/>
      <c r="Z541" s="933"/>
      <c r="AA541" s="933"/>
      <c r="AB541" s="933"/>
      <c r="AC541" s="933"/>
      <c r="AD541" s="933"/>
      <c r="AE541" s="933"/>
    </row>
    <row r="542" spans="1:31" ht="12.75">
      <c r="A542" s="933"/>
      <c r="B542" s="933"/>
      <c r="C542" s="933"/>
      <c r="D542" s="933"/>
      <c r="E542" s="933"/>
      <c r="F542" s="933"/>
      <c r="G542" s="933"/>
      <c r="H542" s="933"/>
      <c r="I542" s="933"/>
      <c r="J542" s="933"/>
      <c r="K542" s="933"/>
      <c r="L542" s="933"/>
      <c r="M542" s="933"/>
      <c r="N542" s="933"/>
      <c r="O542" s="933"/>
      <c r="P542" s="933"/>
      <c r="Q542" s="933"/>
      <c r="R542" s="933"/>
      <c r="S542" s="933"/>
      <c r="T542" s="933"/>
      <c r="U542" s="933"/>
      <c r="V542" s="933"/>
      <c r="W542" s="933"/>
      <c r="X542" s="933"/>
      <c r="Y542" s="933"/>
      <c r="Z542" s="933"/>
      <c r="AA542" s="933"/>
      <c r="AB542" s="933"/>
      <c r="AC542" s="933"/>
      <c r="AD542" s="933"/>
      <c r="AE542" s="933"/>
    </row>
    <row r="543" spans="1:31" ht="12.75">
      <c r="A543" s="933"/>
      <c r="B543" s="933"/>
      <c r="C543" s="933"/>
      <c r="D543" s="933"/>
      <c r="E543" s="933"/>
      <c r="F543" s="933"/>
      <c r="G543" s="933"/>
      <c r="H543" s="933"/>
      <c r="I543" s="933"/>
      <c r="J543" s="933"/>
      <c r="K543" s="933"/>
      <c r="L543" s="933"/>
      <c r="M543" s="933"/>
      <c r="N543" s="933"/>
      <c r="O543" s="933"/>
      <c r="P543" s="933"/>
      <c r="Q543" s="933"/>
      <c r="R543" s="933"/>
      <c r="S543" s="933"/>
      <c r="T543" s="933"/>
      <c r="U543" s="933"/>
      <c r="V543" s="933"/>
      <c r="W543" s="933"/>
      <c r="X543" s="933"/>
      <c r="Y543" s="933"/>
      <c r="Z543" s="933"/>
      <c r="AA543" s="933"/>
      <c r="AB543" s="933"/>
      <c r="AC543" s="933"/>
      <c r="AD543" s="933"/>
      <c r="AE543" s="933"/>
    </row>
    <row r="544" spans="1:31" ht="12.75">
      <c r="A544" s="933"/>
      <c r="B544" s="933"/>
      <c r="C544" s="933"/>
      <c r="D544" s="933"/>
      <c r="E544" s="933"/>
      <c r="F544" s="933"/>
      <c r="G544" s="933"/>
      <c r="H544" s="933"/>
      <c r="I544" s="933"/>
      <c r="J544" s="933"/>
      <c r="K544" s="933"/>
      <c r="L544" s="933"/>
      <c r="M544" s="933"/>
      <c r="N544" s="933"/>
      <c r="O544" s="933"/>
      <c r="P544" s="933"/>
      <c r="Q544" s="933"/>
      <c r="R544" s="933"/>
      <c r="S544" s="933"/>
      <c r="T544" s="933"/>
      <c r="U544" s="933"/>
      <c r="V544" s="933"/>
      <c r="W544" s="933"/>
      <c r="X544" s="933"/>
      <c r="Y544" s="933"/>
      <c r="Z544" s="933"/>
      <c r="AA544" s="933"/>
      <c r="AB544" s="933"/>
      <c r="AC544" s="933"/>
      <c r="AD544" s="933"/>
      <c r="AE544" s="933"/>
    </row>
    <row r="545" spans="1:31" ht="12.75">
      <c r="A545" s="933"/>
      <c r="B545" s="933"/>
      <c r="C545" s="933"/>
      <c r="D545" s="933"/>
      <c r="E545" s="933"/>
      <c r="F545" s="933"/>
      <c r="G545" s="933"/>
      <c r="H545" s="933"/>
      <c r="I545" s="933"/>
      <c r="J545" s="933"/>
      <c r="K545" s="933"/>
      <c r="L545" s="933"/>
      <c r="M545" s="933"/>
      <c r="N545" s="933"/>
      <c r="O545" s="933"/>
      <c r="P545" s="933"/>
      <c r="Q545" s="933"/>
      <c r="R545" s="933"/>
      <c r="S545" s="933"/>
      <c r="T545" s="933"/>
      <c r="U545" s="933"/>
      <c r="V545" s="933"/>
      <c r="W545" s="933"/>
      <c r="X545" s="933"/>
      <c r="Y545" s="933"/>
      <c r="Z545" s="933"/>
      <c r="AA545" s="933"/>
      <c r="AB545" s="933"/>
      <c r="AC545" s="933"/>
      <c r="AD545" s="933"/>
      <c r="AE545" s="933"/>
    </row>
    <row r="546" spans="1:31" ht="12.75">
      <c r="A546" s="933"/>
      <c r="B546" s="933"/>
      <c r="C546" s="933"/>
      <c r="D546" s="933"/>
      <c r="E546" s="933"/>
      <c r="F546" s="933"/>
      <c r="G546" s="933"/>
      <c r="H546" s="933"/>
      <c r="I546" s="933"/>
      <c r="J546" s="933"/>
      <c r="K546" s="933"/>
      <c r="L546" s="933"/>
      <c r="M546" s="933"/>
      <c r="N546" s="933"/>
      <c r="O546" s="933"/>
      <c r="P546" s="933"/>
      <c r="Q546" s="933"/>
      <c r="R546" s="933"/>
      <c r="S546" s="933"/>
      <c r="T546" s="933"/>
      <c r="U546" s="933"/>
      <c r="V546" s="933"/>
      <c r="W546" s="933"/>
      <c r="X546" s="933"/>
      <c r="Y546" s="933"/>
      <c r="Z546" s="933"/>
      <c r="AA546" s="933"/>
      <c r="AB546" s="933"/>
      <c r="AC546" s="933"/>
      <c r="AD546" s="933"/>
      <c r="AE546" s="933"/>
    </row>
    <row r="547" spans="1:31" ht="12.75">
      <c r="A547" s="933"/>
      <c r="B547" s="933"/>
      <c r="C547" s="933"/>
      <c r="D547" s="933"/>
      <c r="E547" s="933"/>
      <c r="F547" s="933"/>
      <c r="G547" s="933"/>
      <c r="H547" s="933"/>
      <c r="I547" s="933"/>
      <c r="J547" s="933"/>
      <c r="K547" s="933"/>
      <c r="L547" s="933"/>
      <c r="M547" s="933"/>
      <c r="N547" s="933"/>
      <c r="O547" s="933"/>
      <c r="P547" s="933"/>
      <c r="Q547" s="933"/>
      <c r="R547" s="933"/>
      <c r="S547" s="933"/>
      <c r="T547" s="933"/>
      <c r="U547" s="933"/>
      <c r="V547" s="933"/>
      <c r="W547" s="933"/>
      <c r="X547" s="933"/>
      <c r="Y547" s="933"/>
      <c r="Z547" s="933"/>
      <c r="AA547" s="933"/>
      <c r="AB547" s="933"/>
      <c r="AC547" s="933"/>
      <c r="AD547" s="933"/>
      <c r="AE547" s="933"/>
    </row>
    <row r="548" spans="1:31" ht="12.75">
      <c r="A548" s="933"/>
      <c r="B548" s="933"/>
      <c r="C548" s="933"/>
      <c r="D548" s="933"/>
      <c r="E548" s="933"/>
      <c r="F548" s="933"/>
      <c r="G548" s="933"/>
      <c r="H548" s="933"/>
      <c r="I548" s="933"/>
      <c r="J548" s="933"/>
      <c r="K548" s="933"/>
      <c r="L548" s="933"/>
      <c r="M548" s="933"/>
      <c r="N548" s="933"/>
      <c r="O548" s="933"/>
      <c r="P548" s="933"/>
      <c r="Q548" s="933"/>
      <c r="R548" s="933"/>
      <c r="S548" s="933"/>
      <c r="T548" s="933"/>
      <c r="U548" s="933"/>
      <c r="V548" s="933"/>
      <c r="W548" s="933"/>
      <c r="X548" s="933"/>
      <c r="Y548" s="933"/>
      <c r="Z548" s="933"/>
      <c r="AA548" s="933"/>
      <c r="AB548" s="933"/>
      <c r="AC548" s="933"/>
      <c r="AD548" s="933"/>
      <c r="AE548" s="933"/>
    </row>
    <row r="549" spans="1:31" ht="12.75">
      <c r="A549" s="933"/>
      <c r="B549" s="933"/>
      <c r="C549" s="933"/>
      <c r="D549" s="933"/>
      <c r="E549" s="933"/>
      <c r="F549" s="933"/>
      <c r="G549" s="933"/>
      <c r="H549" s="933"/>
      <c r="I549" s="933"/>
      <c r="J549" s="933"/>
      <c r="K549" s="933"/>
      <c r="L549" s="933"/>
      <c r="M549" s="933"/>
      <c r="N549" s="933"/>
      <c r="O549" s="933"/>
      <c r="P549" s="933"/>
      <c r="Q549" s="933"/>
      <c r="R549" s="933"/>
      <c r="S549" s="933"/>
      <c r="T549" s="933"/>
      <c r="U549" s="933"/>
      <c r="V549" s="933"/>
      <c r="W549" s="933"/>
      <c r="X549" s="933"/>
      <c r="Y549" s="933"/>
      <c r="Z549" s="933"/>
      <c r="AA549" s="933"/>
      <c r="AB549" s="933"/>
      <c r="AC549" s="933"/>
      <c r="AD549" s="933"/>
      <c r="AE549" s="933"/>
    </row>
    <row r="550" spans="1:31" ht="12.75">
      <c r="A550" s="933"/>
      <c r="B550" s="933"/>
      <c r="C550" s="933"/>
      <c r="D550" s="933"/>
      <c r="E550" s="933"/>
      <c r="F550" s="933"/>
      <c r="G550" s="933"/>
      <c r="H550" s="933"/>
      <c r="I550" s="933"/>
      <c r="J550" s="933"/>
      <c r="K550" s="933"/>
      <c r="L550" s="933"/>
      <c r="M550" s="933"/>
      <c r="N550" s="933"/>
      <c r="O550" s="933"/>
      <c r="P550" s="933"/>
      <c r="Q550" s="933"/>
      <c r="R550" s="933"/>
      <c r="S550" s="933"/>
      <c r="T550" s="933"/>
      <c r="U550" s="933"/>
      <c r="V550" s="933"/>
      <c r="W550" s="933"/>
      <c r="X550" s="933"/>
      <c r="Y550" s="933"/>
      <c r="Z550" s="933"/>
      <c r="AA550" s="933"/>
      <c r="AB550" s="933"/>
      <c r="AC550" s="933"/>
      <c r="AD550" s="933"/>
      <c r="AE550" s="933"/>
    </row>
    <row r="551" spans="1:31" ht="12.75">
      <c r="A551" s="933"/>
      <c r="B551" s="933"/>
      <c r="C551" s="933"/>
      <c r="D551" s="933"/>
      <c r="E551" s="933"/>
      <c r="F551" s="933"/>
      <c r="G551" s="933"/>
      <c r="H551" s="933"/>
      <c r="I551" s="933"/>
      <c r="J551" s="933"/>
      <c r="K551" s="933"/>
      <c r="L551" s="933"/>
      <c r="M551" s="933"/>
      <c r="N551" s="933"/>
      <c r="O551" s="933"/>
      <c r="P551" s="933"/>
      <c r="Q551" s="933"/>
      <c r="R551" s="933"/>
      <c r="S551" s="933"/>
      <c r="T551" s="933"/>
      <c r="U551" s="933"/>
      <c r="V551" s="933"/>
      <c r="W551" s="933"/>
      <c r="X551" s="933"/>
      <c r="Y551" s="933"/>
      <c r="Z551" s="933"/>
      <c r="AA551" s="933"/>
      <c r="AB551" s="933"/>
      <c r="AC551" s="933"/>
      <c r="AD551" s="933"/>
      <c r="AE551" s="933"/>
    </row>
    <row r="552" spans="1:31" ht="12.75">
      <c r="A552" s="933"/>
      <c r="B552" s="933"/>
      <c r="C552" s="933"/>
      <c r="D552" s="933"/>
      <c r="E552" s="933"/>
      <c r="F552" s="933"/>
      <c r="G552" s="933"/>
      <c r="H552" s="933"/>
      <c r="I552" s="933"/>
      <c r="J552" s="933"/>
      <c r="K552" s="933"/>
      <c r="L552" s="933"/>
      <c r="M552" s="933"/>
      <c r="N552" s="933"/>
      <c r="O552" s="933"/>
      <c r="P552" s="933"/>
      <c r="Q552" s="933"/>
      <c r="R552" s="933"/>
      <c r="S552" s="933"/>
      <c r="T552" s="933"/>
      <c r="U552" s="933"/>
      <c r="V552" s="933"/>
      <c r="W552" s="933"/>
      <c r="X552" s="933"/>
      <c r="Y552" s="933"/>
      <c r="Z552" s="933"/>
      <c r="AA552" s="933"/>
      <c r="AB552" s="933"/>
      <c r="AC552" s="933"/>
      <c r="AD552" s="933"/>
      <c r="AE552" s="933"/>
    </row>
    <row r="553" spans="1:31" ht="12.75">
      <c r="A553" s="933"/>
      <c r="B553" s="933"/>
      <c r="C553" s="933"/>
      <c r="D553" s="933"/>
      <c r="E553" s="933"/>
      <c r="F553" s="933"/>
      <c r="G553" s="933"/>
      <c r="H553" s="933"/>
      <c r="I553" s="933"/>
      <c r="J553" s="933"/>
      <c r="K553" s="933"/>
      <c r="L553" s="933"/>
      <c r="M553" s="933"/>
      <c r="N553" s="933"/>
      <c r="O553" s="933"/>
      <c r="P553" s="933"/>
      <c r="Q553" s="933"/>
      <c r="R553" s="933"/>
      <c r="S553" s="933"/>
      <c r="T553" s="933"/>
      <c r="U553" s="933"/>
      <c r="V553" s="933"/>
      <c r="W553" s="933"/>
      <c r="X553" s="933"/>
      <c r="Y553" s="933"/>
      <c r="Z553" s="933"/>
      <c r="AA553" s="933"/>
      <c r="AB553" s="933"/>
      <c r="AC553" s="933"/>
      <c r="AD553" s="933"/>
      <c r="AE553" s="933"/>
    </row>
    <row r="554" spans="1:31" ht="12.75">
      <c r="A554" s="933"/>
      <c r="B554" s="933"/>
      <c r="C554" s="933"/>
      <c r="D554" s="933"/>
      <c r="E554" s="933"/>
      <c r="F554" s="933"/>
      <c r="G554" s="933"/>
      <c r="H554" s="933"/>
      <c r="I554" s="933"/>
      <c r="J554" s="933"/>
      <c r="K554" s="933"/>
      <c r="L554" s="933"/>
      <c r="M554" s="933"/>
      <c r="N554" s="933"/>
      <c r="O554" s="933"/>
      <c r="P554" s="933"/>
      <c r="Q554" s="933"/>
      <c r="R554" s="933"/>
      <c r="S554" s="933"/>
      <c r="T554" s="933"/>
      <c r="U554" s="933"/>
      <c r="V554" s="933"/>
      <c r="W554" s="933"/>
      <c r="X554" s="933"/>
      <c r="Y554" s="933"/>
      <c r="Z554" s="933"/>
      <c r="AA554" s="933"/>
      <c r="AB554" s="933"/>
      <c r="AC554" s="933"/>
      <c r="AD554" s="933"/>
      <c r="AE554" s="933"/>
    </row>
    <row r="555" spans="1:31" ht="12.75">
      <c r="A555" s="933"/>
      <c r="B555" s="933"/>
      <c r="C555" s="933"/>
      <c r="D555" s="933"/>
      <c r="E555" s="933"/>
      <c r="F555" s="933"/>
      <c r="G555" s="933"/>
      <c r="H555" s="933"/>
      <c r="I555" s="933"/>
      <c r="J555" s="933"/>
      <c r="K555" s="933"/>
      <c r="L555" s="933"/>
      <c r="M555" s="933"/>
      <c r="N555" s="933"/>
      <c r="O555" s="933"/>
      <c r="P555" s="933"/>
      <c r="Q555" s="933"/>
      <c r="R555" s="933"/>
      <c r="S555" s="933"/>
      <c r="T555" s="933"/>
      <c r="U555" s="933"/>
      <c r="V555" s="933"/>
      <c r="W555" s="933"/>
      <c r="X555" s="933"/>
      <c r="Y555" s="933"/>
      <c r="Z555" s="933"/>
      <c r="AA555" s="933"/>
      <c r="AB555" s="933"/>
      <c r="AC555" s="933"/>
      <c r="AD555" s="933"/>
      <c r="AE555" s="933"/>
    </row>
    <row r="556" spans="1:31" ht="12.75">
      <c r="A556" s="933"/>
      <c r="B556" s="933"/>
      <c r="C556" s="933"/>
      <c r="D556" s="933"/>
      <c r="E556" s="933"/>
      <c r="F556" s="933"/>
      <c r="G556" s="933"/>
      <c r="H556" s="933"/>
      <c r="I556" s="933"/>
      <c r="J556" s="933"/>
      <c r="K556" s="933"/>
      <c r="L556" s="933"/>
      <c r="M556" s="933"/>
      <c r="N556" s="933"/>
      <c r="O556" s="933"/>
      <c r="P556" s="933"/>
      <c r="Q556" s="933"/>
      <c r="R556" s="933"/>
      <c r="S556" s="933"/>
      <c r="T556" s="933"/>
      <c r="U556" s="933"/>
      <c r="V556" s="933"/>
      <c r="W556" s="933"/>
      <c r="X556" s="933"/>
      <c r="Y556" s="933"/>
      <c r="Z556" s="933"/>
      <c r="AA556" s="933"/>
      <c r="AB556" s="933"/>
      <c r="AC556" s="933"/>
      <c r="AD556" s="933"/>
      <c r="AE556" s="933"/>
    </row>
    <row r="557" spans="1:31" ht="12.75">
      <c r="A557" s="933"/>
      <c r="B557" s="933"/>
      <c r="C557" s="933"/>
      <c r="D557" s="933"/>
      <c r="E557" s="933"/>
      <c r="F557" s="933"/>
      <c r="G557" s="933"/>
      <c r="H557" s="933"/>
      <c r="I557" s="933"/>
      <c r="J557" s="933"/>
      <c r="K557" s="933"/>
      <c r="L557" s="933"/>
      <c r="M557" s="933"/>
      <c r="N557" s="933"/>
      <c r="O557" s="933"/>
      <c r="P557" s="933"/>
      <c r="Q557" s="933"/>
      <c r="R557" s="933"/>
      <c r="S557" s="933"/>
      <c r="T557" s="933"/>
      <c r="U557" s="933"/>
      <c r="V557" s="933"/>
      <c r="W557" s="933"/>
      <c r="X557" s="933"/>
      <c r="Y557" s="933"/>
      <c r="Z557" s="933"/>
      <c r="AA557" s="933"/>
      <c r="AB557" s="933"/>
      <c r="AC557" s="933"/>
      <c r="AD557" s="933"/>
      <c r="AE557" s="933"/>
    </row>
    <row r="558" spans="1:31" ht="12.75">
      <c r="A558" s="933"/>
      <c r="B558" s="933"/>
      <c r="C558" s="933"/>
      <c r="D558" s="933"/>
      <c r="E558" s="933"/>
      <c r="F558" s="933"/>
      <c r="G558" s="933"/>
      <c r="H558" s="933"/>
      <c r="I558" s="933"/>
      <c r="J558" s="933"/>
      <c r="K558" s="933"/>
      <c r="L558" s="933"/>
      <c r="M558" s="933"/>
      <c r="N558" s="933"/>
      <c r="O558" s="933"/>
      <c r="P558" s="933"/>
      <c r="Q558" s="933"/>
      <c r="R558" s="933"/>
      <c r="S558" s="933"/>
      <c r="T558" s="933"/>
      <c r="U558" s="933"/>
      <c r="V558" s="933"/>
      <c r="W558" s="933"/>
      <c r="X558" s="933"/>
      <c r="Y558" s="933"/>
      <c r="Z558" s="933"/>
      <c r="AA558" s="933"/>
      <c r="AB558" s="933"/>
      <c r="AC558" s="933"/>
      <c r="AD558" s="933"/>
      <c r="AE558" s="933"/>
    </row>
    <row r="559" spans="1:31" ht="12.75">
      <c r="A559" s="933"/>
      <c r="B559" s="933"/>
      <c r="C559" s="933"/>
      <c r="D559" s="933"/>
      <c r="E559" s="933"/>
      <c r="F559" s="933"/>
      <c r="G559" s="933"/>
      <c r="H559" s="933"/>
      <c r="I559" s="933"/>
      <c r="J559" s="933"/>
      <c r="K559" s="933"/>
      <c r="L559" s="933"/>
      <c r="M559" s="933"/>
      <c r="N559" s="933"/>
      <c r="O559" s="933"/>
      <c r="P559" s="933"/>
      <c r="Q559" s="933"/>
      <c r="R559" s="933"/>
      <c r="S559" s="933"/>
      <c r="T559" s="933"/>
      <c r="U559" s="933"/>
      <c r="V559" s="933"/>
      <c r="W559" s="933"/>
      <c r="X559" s="933"/>
      <c r="Y559" s="933"/>
      <c r="Z559" s="933"/>
      <c r="AA559" s="933"/>
      <c r="AB559" s="933"/>
      <c r="AC559" s="933"/>
      <c r="AD559" s="933"/>
      <c r="AE559" s="933"/>
    </row>
    <row r="560" spans="1:31" ht="12.75">
      <c r="A560" s="933"/>
      <c r="B560" s="933"/>
      <c r="C560" s="933"/>
      <c r="D560" s="933"/>
      <c r="E560" s="933"/>
      <c r="F560" s="933"/>
      <c r="G560" s="933"/>
      <c r="H560" s="933"/>
      <c r="I560" s="933"/>
      <c r="J560" s="933"/>
      <c r="K560" s="933"/>
      <c r="L560" s="933"/>
      <c r="M560" s="933"/>
      <c r="N560" s="933"/>
      <c r="O560" s="933"/>
      <c r="P560" s="933"/>
      <c r="Q560" s="933"/>
      <c r="R560" s="933"/>
      <c r="S560" s="933"/>
      <c r="T560" s="933"/>
      <c r="U560" s="933"/>
      <c r="V560" s="933"/>
      <c r="W560" s="933"/>
      <c r="X560" s="933"/>
      <c r="Y560" s="933"/>
      <c r="Z560" s="933"/>
      <c r="AA560" s="933"/>
      <c r="AB560" s="933"/>
      <c r="AC560" s="933"/>
      <c r="AD560" s="933"/>
      <c r="AE560" s="933"/>
    </row>
    <row r="561" spans="1:31" ht="12.75">
      <c r="A561" s="933"/>
      <c r="B561" s="933"/>
      <c r="C561" s="933"/>
      <c r="D561" s="933"/>
      <c r="E561" s="933"/>
      <c r="F561" s="933"/>
      <c r="G561" s="933"/>
      <c r="H561" s="933"/>
      <c r="I561" s="933"/>
      <c r="J561" s="933"/>
      <c r="K561" s="933"/>
      <c r="L561" s="933"/>
      <c r="M561" s="933"/>
      <c r="N561" s="933"/>
      <c r="O561" s="933"/>
      <c r="P561" s="933"/>
      <c r="Q561" s="933"/>
      <c r="R561" s="933"/>
      <c r="S561" s="933"/>
      <c r="T561" s="933"/>
      <c r="U561" s="933"/>
      <c r="V561" s="933"/>
      <c r="W561" s="933"/>
      <c r="X561" s="933"/>
      <c r="Y561" s="933"/>
      <c r="Z561" s="933"/>
      <c r="AA561" s="933"/>
      <c r="AB561" s="933"/>
      <c r="AC561" s="933"/>
      <c r="AD561" s="933"/>
      <c r="AE561" s="933"/>
    </row>
    <row r="562" spans="1:31" ht="12.75">
      <c r="A562" s="933"/>
      <c r="B562" s="933"/>
      <c r="C562" s="933"/>
      <c r="D562" s="933"/>
      <c r="E562" s="933"/>
      <c r="F562" s="933"/>
      <c r="G562" s="933"/>
      <c r="H562" s="933"/>
      <c r="I562" s="933"/>
      <c r="J562" s="933"/>
      <c r="K562" s="933"/>
      <c r="L562" s="933"/>
      <c r="M562" s="933"/>
      <c r="N562" s="933"/>
      <c r="O562" s="933"/>
      <c r="P562" s="933"/>
      <c r="Q562" s="933"/>
      <c r="R562" s="933"/>
      <c r="S562" s="933"/>
      <c r="T562" s="933"/>
      <c r="U562" s="933"/>
      <c r="V562" s="933"/>
      <c r="W562" s="933"/>
      <c r="X562" s="933"/>
      <c r="Y562" s="933"/>
      <c r="Z562" s="933"/>
      <c r="AA562" s="933"/>
      <c r="AB562" s="933"/>
      <c r="AC562" s="933"/>
      <c r="AD562" s="933"/>
      <c r="AE562" s="933"/>
    </row>
    <row r="563" spans="1:31" ht="12.75">
      <c r="A563" s="933"/>
      <c r="B563" s="933"/>
      <c r="C563" s="933"/>
      <c r="D563" s="933"/>
      <c r="E563" s="933"/>
      <c r="F563" s="933"/>
      <c r="G563" s="933"/>
      <c r="H563" s="933"/>
      <c r="I563" s="933"/>
      <c r="J563" s="933"/>
      <c r="K563" s="933"/>
      <c r="L563" s="933"/>
      <c r="M563" s="933"/>
      <c r="N563" s="933"/>
      <c r="O563" s="933"/>
      <c r="P563" s="933"/>
      <c r="Q563" s="933"/>
      <c r="R563" s="933"/>
      <c r="S563" s="933"/>
      <c r="T563" s="933"/>
      <c r="U563" s="933"/>
      <c r="V563" s="933"/>
      <c r="W563" s="933"/>
      <c r="X563" s="933"/>
      <c r="Y563" s="933"/>
      <c r="Z563" s="933"/>
      <c r="AA563" s="933"/>
      <c r="AB563" s="933"/>
      <c r="AC563" s="933"/>
      <c r="AD563" s="933"/>
      <c r="AE563" s="933"/>
    </row>
    <row r="564" spans="1:31" ht="12.75">
      <c r="A564" s="933"/>
      <c r="B564" s="933"/>
      <c r="C564" s="933"/>
      <c r="D564" s="933"/>
      <c r="E564" s="933"/>
      <c r="F564" s="933"/>
      <c r="G564" s="933"/>
      <c r="H564" s="933"/>
      <c r="I564" s="933"/>
      <c r="J564" s="933"/>
      <c r="K564" s="933"/>
      <c r="L564" s="933"/>
      <c r="M564" s="933"/>
      <c r="N564" s="933"/>
      <c r="O564" s="933"/>
      <c r="P564" s="933"/>
      <c r="Q564" s="933"/>
      <c r="R564" s="933"/>
      <c r="S564" s="933"/>
      <c r="T564" s="933"/>
      <c r="U564" s="933"/>
      <c r="V564" s="933"/>
      <c r="W564" s="933"/>
      <c r="X564" s="933"/>
      <c r="Y564" s="933"/>
      <c r="Z564" s="933"/>
      <c r="AA564" s="933"/>
      <c r="AB564" s="933"/>
      <c r="AC564" s="933"/>
      <c r="AD564" s="933"/>
      <c r="AE564" s="933"/>
    </row>
    <row r="565" spans="1:31" ht="12.75">
      <c r="A565" s="933"/>
      <c r="B565" s="933"/>
      <c r="C565" s="933"/>
      <c r="D565" s="933"/>
      <c r="E565" s="933"/>
      <c r="F565" s="933"/>
      <c r="G565" s="933"/>
      <c r="H565" s="933"/>
      <c r="I565" s="933"/>
      <c r="J565" s="933"/>
      <c r="K565" s="933"/>
      <c r="L565" s="933"/>
      <c r="M565" s="933"/>
      <c r="N565" s="933"/>
      <c r="O565" s="933"/>
      <c r="P565" s="933"/>
      <c r="Q565" s="933"/>
      <c r="R565" s="933"/>
      <c r="S565" s="933"/>
      <c r="T565" s="933"/>
      <c r="U565" s="933"/>
      <c r="V565" s="933"/>
      <c r="W565" s="933"/>
      <c r="X565" s="933"/>
      <c r="Y565" s="933"/>
      <c r="Z565" s="933"/>
      <c r="AA565" s="933"/>
      <c r="AB565" s="933"/>
      <c r="AC565" s="933"/>
      <c r="AD565" s="933"/>
      <c r="AE565" s="933"/>
    </row>
    <row r="566" spans="1:31" ht="12.75">
      <c r="A566" s="933"/>
      <c r="B566" s="933"/>
      <c r="C566" s="933"/>
      <c r="D566" s="933"/>
      <c r="E566" s="933"/>
      <c r="F566" s="933"/>
      <c r="G566" s="933"/>
      <c r="H566" s="933"/>
      <c r="I566" s="933"/>
      <c r="J566" s="933"/>
      <c r="K566" s="933"/>
      <c r="L566" s="933"/>
      <c r="M566" s="933"/>
      <c r="N566" s="933"/>
      <c r="O566" s="933"/>
      <c r="P566" s="933"/>
      <c r="Q566" s="933"/>
      <c r="R566" s="933"/>
      <c r="S566" s="933"/>
      <c r="T566" s="933"/>
      <c r="U566" s="933"/>
      <c r="V566" s="933"/>
      <c r="W566" s="933"/>
      <c r="X566" s="933"/>
      <c r="Y566" s="933"/>
      <c r="Z566" s="933"/>
      <c r="AA566" s="933"/>
      <c r="AB566" s="933"/>
      <c r="AC566" s="933"/>
      <c r="AD566" s="933"/>
      <c r="AE566" s="933"/>
    </row>
    <row r="567" spans="1:31" ht="12.75">
      <c r="A567" s="933"/>
      <c r="B567" s="933"/>
      <c r="C567" s="933"/>
      <c r="D567" s="933"/>
      <c r="E567" s="933"/>
      <c r="F567" s="933"/>
      <c r="G567" s="933"/>
      <c r="H567" s="933"/>
      <c r="I567" s="933"/>
      <c r="J567" s="933"/>
      <c r="K567" s="933"/>
      <c r="L567" s="933"/>
      <c r="M567" s="933"/>
      <c r="N567" s="933"/>
      <c r="O567" s="933"/>
      <c r="P567" s="933"/>
      <c r="Q567" s="933"/>
      <c r="R567" s="933"/>
      <c r="S567" s="933"/>
      <c r="T567" s="933"/>
      <c r="U567" s="933"/>
      <c r="V567" s="933"/>
      <c r="W567" s="933"/>
      <c r="X567" s="933"/>
      <c r="Y567" s="933"/>
      <c r="Z567" s="933"/>
      <c r="AA567" s="933"/>
      <c r="AB567" s="933"/>
      <c r="AC567" s="933"/>
      <c r="AD567" s="933"/>
      <c r="AE567" s="933"/>
    </row>
    <row r="568" spans="1:31" ht="12.75">
      <c r="A568" s="933"/>
      <c r="B568" s="933"/>
      <c r="C568" s="933"/>
      <c r="D568" s="933"/>
      <c r="E568" s="933"/>
      <c r="F568" s="933"/>
      <c r="G568" s="933"/>
      <c r="H568" s="933"/>
      <c r="I568" s="933"/>
      <c r="J568" s="933"/>
      <c r="K568" s="933"/>
      <c r="L568" s="933"/>
      <c r="M568" s="933"/>
      <c r="N568" s="933"/>
      <c r="O568" s="933"/>
      <c r="P568" s="933"/>
      <c r="Q568" s="933"/>
      <c r="R568" s="933"/>
      <c r="S568" s="933"/>
      <c r="T568" s="933"/>
      <c r="U568" s="933"/>
      <c r="V568" s="933"/>
      <c r="W568" s="933"/>
      <c r="X568" s="933"/>
      <c r="Y568" s="933"/>
      <c r="Z568" s="933"/>
      <c r="AA568" s="933"/>
      <c r="AB568" s="933"/>
      <c r="AC568" s="933"/>
      <c r="AD568" s="933"/>
      <c r="AE568" s="933"/>
    </row>
    <row r="569" spans="1:31" ht="12.75">
      <c r="A569" s="933"/>
      <c r="B569" s="933"/>
      <c r="C569" s="933"/>
      <c r="D569" s="933"/>
      <c r="E569" s="933"/>
      <c r="F569" s="933"/>
      <c r="G569" s="933"/>
      <c r="H569" s="933"/>
      <c r="I569" s="933"/>
      <c r="J569" s="933"/>
      <c r="K569" s="933"/>
      <c r="L569" s="933"/>
      <c r="M569" s="933"/>
      <c r="N569" s="933"/>
      <c r="O569" s="933"/>
      <c r="P569" s="933"/>
      <c r="Q569" s="933"/>
      <c r="R569" s="933"/>
      <c r="S569" s="933"/>
      <c r="T569" s="933"/>
      <c r="U569" s="933"/>
      <c r="V569" s="933"/>
      <c r="W569" s="933"/>
      <c r="X569" s="933"/>
      <c r="Y569" s="933"/>
      <c r="Z569" s="933"/>
      <c r="AA569" s="933"/>
      <c r="AB569" s="933"/>
      <c r="AC569" s="933"/>
      <c r="AD569" s="933"/>
      <c r="AE569" s="933"/>
    </row>
    <row r="570" spans="1:31" ht="12.75">
      <c r="A570" s="933"/>
      <c r="B570" s="933"/>
      <c r="C570" s="933"/>
      <c r="D570" s="933"/>
      <c r="E570" s="933"/>
      <c r="F570" s="933"/>
      <c r="G570" s="933"/>
      <c r="H570" s="933"/>
      <c r="I570" s="933"/>
      <c r="J570" s="933"/>
      <c r="K570" s="933"/>
      <c r="L570" s="933"/>
      <c r="M570" s="933"/>
      <c r="N570" s="933"/>
      <c r="O570" s="933"/>
      <c r="P570" s="933"/>
      <c r="Q570" s="933"/>
      <c r="R570" s="933"/>
      <c r="S570" s="933"/>
      <c r="T570" s="933"/>
      <c r="U570" s="933"/>
      <c r="V570" s="933"/>
      <c r="W570" s="933"/>
      <c r="X570" s="933"/>
      <c r="Y570" s="933"/>
      <c r="Z570" s="933"/>
      <c r="AA570" s="933"/>
      <c r="AB570" s="933"/>
      <c r="AC570" s="933"/>
      <c r="AD570" s="933"/>
      <c r="AE570" s="933"/>
    </row>
    <row r="571" spans="1:31" ht="12.75">
      <c r="A571" s="933"/>
      <c r="B571" s="933"/>
      <c r="C571" s="933"/>
      <c r="D571" s="933"/>
      <c r="E571" s="933"/>
      <c r="F571" s="933"/>
      <c r="G571" s="933"/>
      <c r="H571" s="933"/>
      <c r="I571" s="933"/>
      <c r="J571" s="933"/>
      <c r="K571" s="933"/>
      <c r="L571" s="933"/>
      <c r="M571" s="933"/>
      <c r="N571" s="933"/>
      <c r="O571" s="933"/>
      <c r="P571" s="933"/>
      <c r="Q571" s="933"/>
      <c r="R571" s="933"/>
      <c r="S571" s="933"/>
      <c r="T571" s="933"/>
      <c r="U571" s="933"/>
      <c r="V571" s="933"/>
      <c r="W571" s="933"/>
      <c r="X571" s="933"/>
      <c r="Y571" s="933"/>
      <c r="Z571" s="933"/>
      <c r="AA571" s="933"/>
      <c r="AB571" s="933"/>
      <c r="AC571" s="933"/>
      <c r="AD571" s="933"/>
      <c r="AE571" s="933"/>
    </row>
    <row r="572" spans="1:31" ht="12.75">
      <c r="A572" s="933"/>
      <c r="B572" s="933"/>
      <c r="C572" s="933"/>
      <c r="D572" s="933"/>
      <c r="E572" s="933"/>
      <c r="F572" s="933"/>
      <c r="G572" s="933"/>
      <c r="H572" s="933"/>
      <c r="I572" s="933"/>
      <c r="J572" s="933"/>
      <c r="K572" s="933"/>
      <c r="L572" s="933"/>
      <c r="M572" s="933"/>
      <c r="N572" s="933"/>
      <c r="O572" s="933"/>
      <c r="P572" s="933"/>
      <c r="Q572" s="933"/>
      <c r="R572" s="933"/>
      <c r="S572" s="933"/>
      <c r="T572" s="933"/>
      <c r="U572" s="933"/>
      <c r="V572" s="933"/>
      <c r="W572" s="933"/>
      <c r="X572" s="933"/>
      <c r="Y572" s="933"/>
      <c r="Z572" s="933"/>
      <c r="AA572" s="933"/>
      <c r="AB572" s="933"/>
      <c r="AC572" s="933"/>
      <c r="AD572" s="933"/>
      <c r="AE572" s="933"/>
    </row>
    <row r="573" spans="1:31" ht="12.75">
      <c r="A573" s="933"/>
      <c r="B573" s="933"/>
      <c r="C573" s="933"/>
      <c r="D573" s="933"/>
      <c r="E573" s="933"/>
      <c r="F573" s="933"/>
      <c r="G573" s="933"/>
      <c r="H573" s="933"/>
      <c r="I573" s="933"/>
      <c r="J573" s="933"/>
      <c r="K573" s="933"/>
      <c r="L573" s="933"/>
      <c r="M573" s="933"/>
      <c r="N573" s="933"/>
      <c r="O573" s="933"/>
      <c r="P573" s="933"/>
      <c r="Q573" s="933"/>
      <c r="R573" s="933"/>
      <c r="S573" s="933"/>
      <c r="T573" s="933"/>
      <c r="U573" s="933"/>
      <c r="V573" s="933"/>
      <c r="W573" s="933"/>
      <c r="X573" s="933"/>
      <c r="Y573" s="933"/>
      <c r="Z573" s="933"/>
      <c r="AA573" s="933"/>
      <c r="AB573" s="933"/>
      <c r="AC573" s="933"/>
      <c r="AD573" s="933"/>
      <c r="AE573" s="933"/>
    </row>
    <row r="574" spans="1:31" ht="12.75">
      <c r="A574" s="933"/>
      <c r="B574" s="933"/>
      <c r="C574" s="933"/>
      <c r="D574" s="933"/>
      <c r="E574" s="933"/>
      <c r="F574" s="933"/>
      <c r="G574" s="933"/>
      <c r="H574" s="933"/>
      <c r="I574" s="933"/>
      <c r="J574" s="933"/>
      <c r="K574" s="933"/>
      <c r="L574" s="933"/>
      <c r="M574" s="933"/>
      <c r="N574" s="933"/>
      <c r="O574" s="933"/>
      <c r="P574" s="933"/>
      <c r="Q574" s="933"/>
      <c r="R574" s="933"/>
      <c r="S574" s="933"/>
      <c r="T574" s="933"/>
      <c r="U574" s="933"/>
      <c r="V574" s="933"/>
      <c r="W574" s="933"/>
      <c r="X574" s="933"/>
      <c r="Y574" s="933"/>
      <c r="Z574" s="933"/>
      <c r="AA574" s="933"/>
      <c r="AB574" s="933"/>
      <c r="AC574" s="933"/>
      <c r="AD574" s="933"/>
      <c r="AE574" s="933"/>
    </row>
    <row r="575" spans="1:31" ht="12.75">
      <c r="A575" s="933"/>
      <c r="B575" s="933"/>
      <c r="C575" s="933"/>
      <c r="D575" s="933"/>
      <c r="E575" s="933"/>
      <c r="F575" s="933"/>
      <c r="G575" s="933"/>
      <c r="H575" s="933"/>
      <c r="I575" s="933"/>
      <c r="J575" s="933"/>
      <c r="K575" s="933"/>
      <c r="L575" s="933"/>
      <c r="M575" s="933"/>
      <c r="N575" s="933"/>
      <c r="O575" s="933"/>
      <c r="P575" s="933"/>
      <c r="Q575" s="933"/>
      <c r="R575" s="933"/>
      <c r="S575" s="933"/>
      <c r="T575" s="933"/>
      <c r="U575" s="933"/>
      <c r="V575" s="933"/>
      <c r="W575" s="933"/>
      <c r="X575" s="933"/>
      <c r="Y575" s="933"/>
      <c r="Z575" s="933"/>
      <c r="AA575" s="933"/>
      <c r="AB575" s="933"/>
      <c r="AC575" s="933"/>
      <c r="AD575" s="933"/>
      <c r="AE575" s="933"/>
    </row>
    <row r="576" spans="1:31" ht="12.75">
      <c r="A576" s="933"/>
      <c r="B576" s="933"/>
      <c r="C576" s="933"/>
      <c r="D576" s="933"/>
      <c r="E576" s="933"/>
      <c r="F576" s="933"/>
      <c r="G576" s="933"/>
      <c r="H576" s="933"/>
      <c r="I576" s="933"/>
      <c r="J576" s="933"/>
      <c r="K576" s="933"/>
      <c r="L576" s="933"/>
      <c r="M576" s="933"/>
      <c r="N576" s="933"/>
      <c r="O576" s="933"/>
      <c r="P576" s="933"/>
      <c r="Q576" s="933"/>
      <c r="R576" s="933"/>
      <c r="S576" s="933"/>
      <c r="T576" s="933"/>
      <c r="U576" s="933"/>
      <c r="V576" s="933"/>
      <c r="W576" s="933"/>
      <c r="X576" s="933"/>
      <c r="Y576" s="933"/>
      <c r="Z576" s="933"/>
      <c r="AA576" s="933"/>
      <c r="AB576" s="933"/>
      <c r="AC576" s="933"/>
      <c r="AD576" s="933"/>
      <c r="AE576" s="933"/>
    </row>
    <row r="577" spans="1:31" ht="12.75">
      <c r="A577" s="933"/>
      <c r="B577" s="933"/>
      <c r="C577" s="933"/>
      <c r="D577" s="933"/>
      <c r="E577" s="933"/>
      <c r="F577" s="933"/>
      <c r="G577" s="933"/>
      <c r="H577" s="933"/>
      <c r="I577" s="933"/>
      <c r="J577" s="933"/>
      <c r="K577" s="933"/>
      <c r="L577" s="933"/>
      <c r="M577" s="933"/>
      <c r="N577" s="933"/>
      <c r="O577" s="933"/>
      <c r="P577" s="933"/>
      <c r="Q577" s="933"/>
      <c r="R577" s="933"/>
      <c r="S577" s="933"/>
      <c r="T577" s="933"/>
      <c r="U577" s="933"/>
      <c r="V577" s="933"/>
      <c r="W577" s="933"/>
      <c r="X577" s="933"/>
      <c r="Y577" s="933"/>
      <c r="Z577" s="933"/>
      <c r="AA577" s="933"/>
      <c r="AB577" s="933"/>
      <c r="AC577" s="933"/>
      <c r="AD577" s="933"/>
      <c r="AE577" s="933"/>
    </row>
    <row r="578" spans="1:31" ht="12.75">
      <c r="A578" s="933"/>
      <c r="B578" s="933"/>
      <c r="C578" s="933"/>
      <c r="D578" s="933"/>
      <c r="E578" s="933"/>
      <c r="F578" s="933"/>
      <c r="G578" s="933"/>
      <c r="H578" s="933"/>
      <c r="I578" s="933"/>
      <c r="J578" s="933"/>
      <c r="K578" s="933"/>
      <c r="L578" s="933"/>
      <c r="M578" s="933"/>
      <c r="N578" s="933"/>
      <c r="O578" s="933"/>
      <c r="P578" s="933"/>
      <c r="Q578" s="933"/>
      <c r="R578" s="933"/>
      <c r="S578" s="933"/>
      <c r="T578" s="933"/>
      <c r="U578" s="933"/>
      <c r="V578" s="933"/>
      <c r="W578" s="933"/>
      <c r="X578" s="933"/>
      <c r="Y578" s="933"/>
      <c r="Z578" s="933"/>
      <c r="AA578" s="933"/>
      <c r="AB578" s="933"/>
      <c r="AC578" s="933"/>
      <c r="AD578" s="933"/>
      <c r="AE578" s="933"/>
    </row>
    <row r="579" spans="1:31" ht="12.75">
      <c r="A579" s="933"/>
      <c r="B579" s="933"/>
      <c r="C579" s="933"/>
      <c r="D579" s="933"/>
      <c r="E579" s="933"/>
      <c r="F579" s="933"/>
      <c r="G579" s="933"/>
      <c r="H579" s="933"/>
      <c r="I579" s="933"/>
      <c r="J579" s="933"/>
      <c r="K579" s="933"/>
      <c r="L579" s="933"/>
      <c r="M579" s="933"/>
      <c r="N579" s="933"/>
      <c r="O579" s="933"/>
      <c r="P579" s="933"/>
      <c r="Q579" s="933"/>
      <c r="R579" s="933"/>
      <c r="S579" s="933"/>
      <c r="T579" s="933"/>
      <c r="U579" s="933"/>
      <c r="V579" s="933"/>
      <c r="W579" s="933"/>
      <c r="X579" s="933"/>
      <c r="Y579" s="933"/>
      <c r="Z579" s="933"/>
      <c r="AA579" s="933"/>
      <c r="AB579" s="933"/>
      <c r="AC579" s="933"/>
      <c r="AD579" s="933"/>
      <c r="AE579" s="933"/>
    </row>
    <row r="580" spans="1:31" ht="12.75">
      <c r="A580" s="933"/>
      <c r="B580" s="933"/>
      <c r="C580" s="933"/>
      <c r="D580" s="933"/>
      <c r="E580" s="933"/>
      <c r="F580" s="933"/>
      <c r="G580" s="933"/>
      <c r="H580" s="933"/>
      <c r="I580" s="933"/>
      <c r="J580" s="933"/>
      <c r="K580" s="933"/>
      <c r="L580" s="933"/>
      <c r="M580" s="933"/>
      <c r="N580" s="933"/>
      <c r="O580" s="933"/>
      <c r="P580" s="933"/>
      <c r="Q580" s="933"/>
      <c r="R580" s="933"/>
      <c r="S580" s="933"/>
      <c r="T580" s="933"/>
      <c r="U580" s="933"/>
      <c r="V580" s="933"/>
      <c r="W580" s="933"/>
      <c r="X580" s="933"/>
      <c r="Y580" s="933"/>
      <c r="Z580" s="933"/>
      <c r="AA580" s="933"/>
      <c r="AB580" s="933"/>
      <c r="AC580" s="933"/>
      <c r="AD580" s="933"/>
      <c r="AE580" s="933"/>
    </row>
    <row r="581" spans="1:31" ht="12.75">
      <c r="A581" s="933"/>
      <c r="B581" s="933"/>
      <c r="C581" s="933"/>
      <c r="D581" s="933"/>
      <c r="E581" s="933"/>
      <c r="F581" s="933"/>
      <c r="G581" s="933"/>
      <c r="H581" s="933"/>
      <c r="I581" s="933"/>
      <c r="J581" s="933"/>
      <c r="K581" s="933"/>
      <c r="L581" s="933"/>
      <c r="M581" s="933"/>
      <c r="N581" s="933"/>
      <c r="O581" s="933"/>
      <c r="P581" s="933"/>
      <c r="Q581" s="933"/>
      <c r="R581" s="933"/>
      <c r="S581" s="933"/>
      <c r="T581" s="933"/>
      <c r="U581" s="933"/>
      <c r="V581" s="933"/>
      <c r="W581" s="933"/>
      <c r="X581" s="933"/>
      <c r="Y581" s="933"/>
      <c r="Z581" s="933"/>
      <c r="AA581" s="933"/>
      <c r="AB581" s="933"/>
      <c r="AC581" s="933"/>
      <c r="AD581" s="933"/>
      <c r="AE581" s="933"/>
    </row>
    <row r="582" spans="1:31" ht="12.75">
      <c r="A582" s="933"/>
      <c r="B582" s="933"/>
      <c r="C582" s="933"/>
      <c r="D582" s="933"/>
      <c r="E582" s="933"/>
      <c r="F582" s="933"/>
      <c r="G582" s="933"/>
      <c r="H582" s="933"/>
      <c r="I582" s="933"/>
      <c r="J582" s="933"/>
      <c r="K582" s="933"/>
      <c r="L582" s="933"/>
      <c r="M582" s="933"/>
      <c r="N582" s="933"/>
      <c r="O582" s="933"/>
      <c r="P582" s="933"/>
      <c r="Q582" s="933"/>
      <c r="R582" s="933"/>
      <c r="S582" s="933"/>
      <c r="T582" s="933"/>
      <c r="U582" s="933"/>
      <c r="V582" s="933"/>
      <c r="W582" s="933"/>
      <c r="X582" s="933"/>
      <c r="Y582" s="933"/>
      <c r="Z582" s="933"/>
      <c r="AA582" s="933"/>
      <c r="AB582" s="933"/>
      <c r="AC582" s="933"/>
      <c r="AD582" s="933"/>
      <c r="AE582" s="933"/>
    </row>
    <row r="583" spans="1:31" ht="12.75">
      <c r="A583" s="933"/>
      <c r="B583" s="933"/>
      <c r="C583" s="933"/>
      <c r="D583" s="933"/>
      <c r="E583" s="933"/>
      <c r="F583" s="933"/>
      <c r="G583" s="933"/>
      <c r="H583" s="933"/>
      <c r="I583" s="933"/>
      <c r="J583" s="933"/>
      <c r="K583" s="933"/>
      <c r="L583" s="933"/>
      <c r="M583" s="933"/>
      <c r="N583" s="933"/>
      <c r="O583" s="933"/>
      <c r="P583" s="933"/>
      <c r="Q583" s="933"/>
      <c r="R583" s="933"/>
      <c r="S583" s="933"/>
      <c r="T583" s="933"/>
      <c r="U583" s="933"/>
      <c r="V583" s="933"/>
      <c r="W583" s="933"/>
      <c r="X583" s="933"/>
      <c r="Y583" s="933"/>
      <c r="Z583" s="933"/>
      <c r="AA583" s="933"/>
      <c r="AB583" s="933"/>
      <c r="AC583" s="933"/>
      <c r="AD583" s="933"/>
      <c r="AE583" s="933"/>
    </row>
    <row r="584" spans="1:31" ht="12.75">
      <c r="A584" s="933"/>
      <c r="B584" s="933"/>
      <c r="C584" s="933"/>
      <c r="D584" s="933"/>
      <c r="E584" s="933"/>
      <c r="F584" s="933"/>
      <c r="G584" s="933"/>
      <c r="H584" s="933"/>
      <c r="I584" s="933"/>
      <c r="J584" s="933"/>
      <c r="K584" s="933"/>
      <c r="L584" s="933"/>
      <c r="M584" s="933"/>
      <c r="N584" s="933"/>
      <c r="O584" s="933"/>
      <c r="P584" s="933"/>
      <c r="Q584" s="933"/>
      <c r="R584" s="933"/>
      <c r="S584" s="933"/>
      <c r="T584" s="933"/>
      <c r="U584" s="933"/>
      <c r="V584" s="933"/>
      <c r="W584" s="933"/>
      <c r="X584" s="933"/>
      <c r="Y584" s="933"/>
      <c r="Z584" s="933"/>
      <c r="AA584" s="933"/>
      <c r="AB584" s="933"/>
      <c r="AC584" s="933"/>
      <c r="AD584" s="933"/>
      <c r="AE584" s="933"/>
    </row>
    <row r="585" spans="1:31" ht="12.75">
      <c r="A585" s="933"/>
      <c r="B585" s="933"/>
      <c r="C585" s="933"/>
      <c r="D585" s="933"/>
      <c r="E585" s="933"/>
      <c r="F585" s="933"/>
      <c r="G585" s="933"/>
      <c r="H585" s="933"/>
      <c r="I585" s="933"/>
      <c r="J585" s="933"/>
      <c r="K585" s="933"/>
      <c r="L585" s="933"/>
      <c r="M585" s="933"/>
      <c r="N585" s="933"/>
      <c r="O585" s="933"/>
      <c r="P585" s="933"/>
      <c r="Q585" s="933"/>
      <c r="R585" s="933"/>
      <c r="S585" s="933"/>
      <c r="T585" s="933"/>
      <c r="U585" s="933"/>
      <c r="V585" s="933"/>
      <c r="W585" s="933"/>
      <c r="X585" s="933"/>
      <c r="Y585" s="933"/>
      <c r="Z585" s="933"/>
      <c r="AA585" s="933"/>
      <c r="AB585" s="933"/>
      <c r="AC585" s="933"/>
      <c r="AD585" s="933"/>
      <c r="AE585" s="933"/>
    </row>
    <row r="586" spans="1:31" ht="12.75">
      <c r="A586" s="933"/>
      <c r="B586" s="933"/>
      <c r="C586" s="933"/>
      <c r="D586" s="933"/>
      <c r="E586" s="933"/>
      <c r="F586" s="933"/>
      <c r="G586" s="933"/>
      <c r="H586" s="933"/>
      <c r="I586" s="933"/>
      <c r="J586" s="933"/>
      <c r="K586" s="933"/>
      <c r="L586" s="933"/>
      <c r="M586" s="933"/>
      <c r="N586" s="933"/>
      <c r="O586" s="933"/>
      <c r="P586" s="933"/>
      <c r="Q586" s="933"/>
      <c r="R586" s="933"/>
      <c r="S586" s="933"/>
      <c r="T586" s="933"/>
      <c r="U586" s="933"/>
      <c r="V586" s="933"/>
      <c r="W586" s="933"/>
      <c r="X586" s="933"/>
      <c r="Y586" s="933"/>
      <c r="Z586" s="933"/>
      <c r="AA586" s="933"/>
      <c r="AB586" s="933"/>
      <c r="AC586" s="933"/>
      <c r="AD586" s="933"/>
      <c r="AE586" s="933"/>
    </row>
    <row r="587" spans="1:31" ht="12.75">
      <c r="A587" s="933"/>
      <c r="B587" s="933"/>
      <c r="C587" s="933"/>
      <c r="D587" s="933"/>
      <c r="E587" s="933"/>
      <c r="F587" s="933"/>
      <c r="G587" s="933"/>
      <c r="H587" s="933"/>
      <c r="I587" s="933"/>
      <c r="J587" s="933"/>
      <c r="K587" s="933"/>
      <c r="L587" s="933"/>
      <c r="M587" s="933"/>
      <c r="N587" s="933"/>
      <c r="O587" s="933"/>
      <c r="P587" s="933"/>
      <c r="Q587" s="933"/>
      <c r="R587" s="933"/>
      <c r="S587" s="933"/>
      <c r="T587" s="933"/>
      <c r="U587" s="933"/>
      <c r="V587" s="933"/>
      <c r="W587" s="933"/>
      <c r="X587" s="933"/>
      <c r="Y587" s="933"/>
      <c r="Z587" s="933"/>
      <c r="AA587" s="933"/>
      <c r="AB587" s="933"/>
      <c r="AC587" s="933"/>
      <c r="AD587" s="933"/>
      <c r="AE587" s="933"/>
    </row>
    <row r="588" spans="1:31" ht="12.75">
      <c r="A588" s="933"/>
      <c r="B588" s="933"/>
      <c r="C588" s="933"/>
      <c r="D588" s="933"/>
      <c r="E588" s="933"/>
      <c r="F588" s="933"/>
      <c r="G588" s="933"/>
      <c r="H588" s="933"/>
      <c r="I588" s="933"/>
      <c r="J588" s="933"/>
      <c r="K588" s="933"/>
      <c r="L588" s="933"/>
      <c r="M588" s="933"/>
      <c r="N588" s="933"/>
      <c r="O588" s="933"/>
      <c r="P588" s="933"/>
      <c r="Q588" s="933"/>
      <c r="R588" s="933"/>
      <c r="S588" s="933"/>
      <c r="T588" s="933"/>
      <c r="U588" s="933"/>
      <c r="V588" s="933"/>
      <c r="W588" s="933"/>
      <c r="X588" s="933"/>
      <c r="Y588" s="933"/>
      <c r="Z588" s="933"/>
      <c r="AA588" s="933"/>
      <c r="AB588" s="933"/>
      <c r="AC588" s="933"/>
      <c r="AD588" s="933"/>
      <c r="AE588" s="933"/>
    </row>
    <row r="589" spans="1:31" ht="12.75">
      <c r="A589" s="933"/>
      <c r="B589" s="933"/>
      <c r="C589" s="933"/>
      <c r="D589" s="933"/>
      <c r="E589" s="933"/>
      <c r="F589" s="933"/>
      <c r="G589" s="933"/>
      <c r="H589" s="933"/>
      <c r="I589" s="933"/>
      <c r="J589" s="933"/>
      <c r="K589" s="933"/>
      <c r="L589" s="933"/>
      <c r="M589" s="933"/>
      <c r="N589" s="933"/>
      <c r="O589" s="933"/>
      <c r="P589" s="933"/>
      <c r="Q589" s="933"/>
      <c r="R589" s="933"/>
      <c r="S589" s="933"/>
      <c r="T589" s="933"/>
      <c r="U589" s="933"/>
      <c r="V589" s="933"/>
      <c r="W589" s="933"/>
      <c r="X589" s="933"/>
      <c r="Y589" s="933"/>
      <c r="Z589" s="933"/>
      <c r="AA589" s="933"/>
      <c r="AB589" s="933"/>
      <c r="AC589" s="933"/>
      <c r="AD589" s="933"/>
      <c r="AE589" s="933"/>
    </row>
    <row r="590" spans="1:31" ht="12.75">
      <c r="A590" s="933"/>
      <c r="B590" s="933"/>
      <c r="C590" s="933"/>
      <c r="D590" s="933"/>
      <c r="E590" s="933"/>
      <c r="F590" s="933"/>
      <c r="G590" s="933"/>
      <c r="H590" s="933"/>
      <c r="I590" s="933"/>
      <c r="J590" s="933"/>
      <c r="K590" s="933"/>
      <c r="L590" s="933"/>
      <c r="M590" s="933"/>
      <c r="N590" s="933"/>
      <c r="O590" s="933"/>
      <c r="P590" s="933"/>
      <c r="Q590" s="933"/>
      <c r="R590" s="933"/>
      <c r="S590" s="933"/>
      <c r="T590" s="933"/>
      <c r="U590" s="933"/>
      <c r="V590" s="933"/>
      <c r="W590" s="933"/>
      <c r="X590" s="933"/>
      <c r="Y590" s="933"/>
      <c r="Z590" s="933"/>
      <c r="AA590" s="933"/>
      <c r="AB590" s="933"/>
      <c r="AC590" s="933"/>
      <c r="AD590" s="933"/>
      <c r="AE590" s="933"/>
    </row>
    <row r="591" spans="1:31" ht="12.75">
      <c r="A591" s="933"/>
      <c r="B591" s="933"/>
      <c r="C591" s="933"/>
      <c r="D591" s="933"/>
      <c r="E591" s="933"/>
      <c r="F591" s="933"/>
      <c r="G591" s="933"/>
      <c r="H591" s="933"/>
      <c r="I591" s="933"/>
      <c r="J591" s="933"/>
      <c r="K591" s="933"/>
      <c r="L591" s="933"/>
      <c r="M591" s="933"/>
      <c r="N591" s="933"/>
      <c r="O591" s="933"/>
      <c r="P591" s="933"/>
      <c r="Q591" s="933"/>
      <c r="R591" s="933"/>
      <c r="S591" s="933"/>
      <c r="T591" s="933"/>
      <c r="U591" s="933"/>
      <c r="V591" s="933"/>
      <c r="W591" s="933"/>
      <c r="X591" s="933"/>
      <c r="Y591" s="933"/>
      <c r="Z591" s="933"/>
      <c r="AA591" s="933"/>
      <c r="AB591" s="933"/>
      <c r="AC591" s="933"/>
      <c r="AD591" s="933"/>
      <c r="AE591" s="933"/>
    </row>
    <row r="592" spans="1:31" ht="12.75">
      <c r="A592" s="933"/>
      <c r="B592" s="933"/>
      <c r="C592" s="933"/>
      <c r="D592" s="933"/>
      <c r="E592" s="933"/>
      <c r="F592" s="933"/>
      <c r="G592" s="933"/>
      <c r="H592" s="933"/>
      <c r="I592" s="933"/>
      <c r="J592" s="933"/>
      <c r="K592" s="933"/>
      <c r="L592" s="933"/>
      <c r="M592" s="933"/>
      <c r="N592" s="933"/>
      <c r="O592" s="933"/>
      <c r="P592" s="933"/>
      <c r="Q592" s="933"/>
      <c r="R592" s="933"/>
      <c r="S592" s="933"/>
      <c r="T592" s="933"/>
      <c r="U592" s="933"/>
      <c r="V592" s="933"/>
      <c r="W592" s="933"/>
      <c r="X592" s="933"/>
      <c r="Y592" s="933"/>
      <c r="Z592" s="933"/>
      <c r="AA592" s="933"/>
      <c r="AB592" s="933"/>
      <c r="AC592" s="933"/>
      <c r="AD592" s="933"/>
      <c r="AE592" s="933"/>
    </row>
    <row r="593" spans="1:31" ht="12.75">
      <c r="A593" s="933"/>
      <c r="B593" s="933"/>
      <c r="C593" s="933"/>
      <c r="D593" s="933"/>
      <c r="E593" s="933"/>
      <c r="F593" s="933"/>
      <c r="G593" s="933"/>
      <c r="H593" s="933"/>
      <c r="I593" s="933"/>
      <c r="J593" s="933"/>
      <c r="K593" s="933"/>
      <c r="L593" s="933"/>
      <c r="M593" s="933"/>
      <c r="N593" s="933"/>
      <c r="O593" s="933"/>
      <c r="P593" s="933"/>
      <c r="Q593" s="933"/>
      <c r="R593" s="933"/>
      <c r="S593" s="933"/>
      <c r="T593" s="933"/>
      <c r="U593" s="933"/>
      <c r="V593" s="933"/>
      <c r="W593" s="933"/>
      <c r="X593" s="933"/>
      <c r="Y593" s="933"/>
      <c r="Z593" s="933"/>
      <c r="AA593" s="933"/>
      <c r="AB593" s="933"/>
      <c r="AC593" s="933"/>
      <c r="AD593" s="933"/>
      <c r="AE593" s="933"/>
    </row>
    <row r="594" spans="1:31" ht="12.75">
      <c r="A594" s="933"/>
      <c r="B594" s="933"/>
      <c r="C594" s="933"/>
      <c r="D594" s="933"/>
      <c r="E594" s="933"/>
      <c r="F594" s="933"/>
      <c r="G594" s="933"/>
      <c r="H594" s="933"/>
      <c r="I594" s="933"/>
      <c r="J594" s="933"/>
      <c r="K594" s="933"/>
      <c r="L594" s="933"/>
      <c r="M594" s="933"/>
      <c r="N594" s="933"/>
      <c r="O594" s="933"/>
      <c r="P594" s="933"/>
      <c r="Q594" s="933"/>
      <c r="R594" s="933"/>
      <c r="S594" s="933"/>
      <c r="T594" s="933"/>
      <c r="U594" s="933"/>
      <c r="V594" s="933"/>
      <c r="W594" s="933"/>
      <c r="X594" s="933"/>
      <c r="Y594" s="933"/>
      <c r="Z594" s="933"/>
      <c r="AA594" s="933"/>
      <c r="AB594" s="933"/>
      <c r="AC594" s="933"/>
      <c r="AD594" s="933"/>
      <c r="AE594" s="933"/>
    </row>
    <row r="595" spans="1:31" ht="12.75">
      <c r="A595" s="933"/>
      <c r="B595" s="933"/>
      <c r="C595" s="933"/>
      <c r="D595" s="933"/>
      <c r="E595" s="933"/>
      <c r="F595" s="933"/>
      <c r="G595" s="933"/>
      <c r="H595" s="933"/>
      <c r="I595" s="933"/>
      <c r="J595" s="933"/>
      <c r="K595" s="933"/>
      <c r="L595" s="933"/>
      <c r="M595" s="933"/>
      <c r="N595" s="933"/>
      <c r="O595" s="933"/>
      <c r="P595" s="933"/>
      <c r="Q595" s="933"/>
      <c r="R595" s="933"/>
      <c r="S595" s="933"/>
      <c r="T595" s="933"/>
      <c r="U595" s="933"/>
      <c r="V595" s="933"/>
      <c r="W595" s="933"/>
      <c r="X595" s="933"/>
      <c r="Y595" s="933"/>
      <c r="Z595" s="933"/>
      <c r="AA595" s="933"/>
      <c r="AB595" s="933"/>
      <c r="AC595" s="933"/>
      <c r="AD595" s="933"/>
      <c r="AE595" s="933"/>
    </row>
    <row r="596" spans="1:31" ht="12.75">
      <c r="A596" s="933"/>
      <c r="B596" s="933"/>
      <c r="C596" s="933"/>
      <c r="D596" s="933"/>
      <c r="E596" s="933"/>
      <c r="F596" s="933"/>
      <c r="G596" s="933"/>
      <c r="H596" s="933"/>
      <c r="I596" s="933"/>
      <c r="J596" s="933"/>
      <c r="K596" s="933"/>
      <c r="L596" s="933"/>
      <c r="M596" s="933"/>
      <c r="N596" s="933"/>
      <c r="O596" s="933"/>
      <c r="P596" s="933"/>
      <c r="Q596" s="933"/>
      <c r="R596" s="933"/>
      <c r="S596" s="933"/>
      <c r="T596" s="933"/>
      <c r="U596" s="933"/>
      <c r="V596" s="933"/>
      <c r="W596" s="933"/>
      <c r="X596" s="933"/>
      <c r="Y596" s="933"/>
      <c r="Z596" s="933"/>
      <c r="AA596" s="933"/>
      <c r="AB596" s="933"/>
      <c r="AC596" s="933"/>
      <c r="AD596" s="933"/>
      <c r="AE596" s="933"/>
    </row>
    <row r="597" spans="1:31" ht="12.75">
      <c r="A597" s="933"/>
      <c r="B597" s="933"/>
      <c r="C597" s="933"/>
      <c r="D597" s="933"/>
      <c r="E597" s="933"/>
      <c r="F597" s="933"/>
      <c r="G597" s="933"/>
      <c r="H597" s="933"/>
      <c r="I597" s="933"/>
      <c r="J597" s="933"/>
      <c r="K597" s="933"/>
      <c r="L597" s="933"/>
      <c r="M597" s="933"/>
      <c r="N597" s="933"/>
      <c r="O597" s="933"/>
      <c r="P597" s="933"/>
      <c r="Q597" s="933"/>
      <c r="R597" s="933"/>
      <c r="S597" s="933"/>
      <c r="T597" s="933"/>
      <c r="U597" s="933"/>
      <c r="V597" s="933"/>
      <c r="W597" s="933"/>
      <c r="X597" s="933"/>
      <c r="Y597" s="933"/>
      <c r="Z597" s="933"/>
      <c r="AA597" s="933"/>
      <c r="AB597" s="933"/>
      <c r="AC597" s="933"/>
      <c r="AD597" s="933"/>
      <c r="AE597" s="933"/>
    </row>
    <row r="598" spans="1:31" ht="12.75">
      <c r="A598" s="933"/>
      <c r="B598" s="933"/>
      <c r="C598" s="933"/>
      <c r="D598" s="933"/>
      <c r="E598" s="933"/>
      <c r="F598" s="933"/>
      <c r="G598" s="933"/>
      <c r="H598" s="933"/>
      <c r="I598" s="933"/>
      <c r="J598" s="933"/>
      <c r="K598" s="933"/>
      <c r="L598" s="933"/>
      <c r="M598" s="933"/>
      <c r="N598" s="933"/>
      <c r="O598" s="933"/>
      <c r="P598" s="933"/>
      <c r="Q598" s="933"/>
      <c r="R598" s="933"/>
      <c r="S598" s="933"/>
      <c r="T598" s="933"/>
      <c r="U598" s="933"/>
      <c r="V598" s="933"/>
      <c r="W598" s="933"/>
      <c r="X598" s="933"/>
      <c r="Y598" s="933"/>
      <c r="Z598" s="933"/>
      <c r="AA598" s="933"/>
      <c r="AB598" s="933"/>
      <c r="AC598" s="933"/>
      <c r="AD598" s="933"/>
      <c r="AE598" s="933"/>
    </row>
    <row r="599" spans="1:31" ht="12.75">
      <c r="A599" s="933"/>
      <c r="B599" s="933"/>
      <c r="C599" s="933"/>
      <c r="D599" s="933"/>
      <c r="E599" s="933"/>
      <c r="F599" s="933"/>
      <c r="G599" s="933"/>
      <c r="H599" s="933"/>
      <c r="I599" s="933"/>
      <c r="J599" s="933"/>
      <c r="K599" s="933"/>
      <c r="L599" s="933"/>
      <c r="M599" s="933"/>
      <c r="N599" s="933"/>
      <c r="O599" s="933"/>
      <c r="P599" s="933"/>
      <c r="Q599" s="933"/>
      <c r="R599" s="933"/>
      <c r="S599" s="933"/>
      <c r="T599" s="933"/>
      <c r="U599" s="933"/>
      <c r="V599" s="933"/>
      <c r="W599" s="933"/>
      <c r="X599" s="933"/>
      <c r="Y599" s="933"/>
      <c r="Z599" s="933"/>
      <c r="AA599" s="933"/>
      <c r="AB599" s="933"/>
      <c r="AC599" s="933"/>
      <c r="AD599" s="933"/>
      <c r="AE599" s="933"/>
    </row>
    <row r="600" spans="1:31" ht="12.75">
      <c r="A600" s="933"/>
      <c r="B600" s="933"/>
      <c r="C600" s="933"/>
      <c r="D600" s="933"/>
      <c r="E600" s="933"/>
      <c r="F600" s="933"/>
      <c r="G600" s="933"/>
      <c r="H600" s="933"/>
      <c r="I600" s="933"/>
      <c r="J600" s="933"/>
      <c r="K600" s="933"/>
      <c r="L600" s="933"/>
      <c r="M600" s="933"/>
      <c r="N600" s="933"/>
      <c r="O600" s="933"/>
      <c r="P600" s="933"/>
      <c r="Q600" s="933"/>
      <c r="R600" s="933"/>
      <c r="S600" s="933"/>
      <c r="T600" s="933"/>
      <c r="U600" s="933"/>
      <c r="V600" s="933"/>
      <c r="W600" s="933"/>
      <c r="X600" s="933"/>
      <c r="Y600" s="933"/>
      <c r="Z600" s="933"/>
      <c r="AA600" s="933"/>
      <c r="AB600" s="933"/>
      <c r="AC600" s="933"/>
      <c r="AD600" s="933"/>
      <c r="AE600" s="933"/>
    </row>
    <row r="601" spans="1:31" ht="12.75">
      <c r="A601" s="933"/>
      <c r="B601" s="933"/>
      <c r="C601" s="933"/>
      <c r="D601" s="933"/>
      <c r="E601" s="933"/>
      <c r="F601" s="933"/>
      <c r="G601" s="933"/>
      <c r="H601" s="933"/>
      <c r="I601" s="933"/>
      <c r="J601" s="933"/>
      <c r="K601" s="933"/>
      <c r="L601" s="933"/>
      <c r="M601" s="933"/>
      <c r="N601" s="933"/>
      <c r="O601" s="933"/>
      <c r="P601" s="933"/>
      <c r="Q601" s="933"/>
      <c r="R601" s="933"/>
      <c r="S601" s="933"/>
      <c r="T601" s="933"/>
      <c r="U601" s="933"/>
      <c r="V601" s="933"/>
      <c r="W601" s="933"/>
      <c r="X601" s="933"/>
      <c r="Y601" s="933"/>
      <c r="Z601" s="933"/>
      <c r="AA601" s="933"/>
      <c r="AB601" s="933"/>
      <c r="AC601" s="933"/>
      <c r="AD601" s="933"/>
      <c r="AE601" s="933"/>
    </row>
    <row r="602" spans="1:31" ht="12.75">
      <c r="A602" s="933"/>
      <c r="B602" s="933"/>
      <c r="C602" s="933"/>
      <c r="D602" s="933"/>
      <c r="E602" s="933"/>
      <c r="F602" s="933"/>
      <c r="G602" s="933"/>
      <c r="H602" s="933"/>
      <c r="I602" s="933"/>
      <c r="J602" s="933"/>
      <c r="K602" s="933"/>
      <c r="L602" s="933"/>
      <c r="M602" s="933"/>
      <c r="N602" s="933"/>
      <c r="O602" s="933"/>
      <c r="P602" s="933"/>
      <c r="Q602" s="933"/>
      <c r="R602" s="933"/>
      <c r="S602" s="933"/>
      <c r="T602" s="933"/>
      <c r="U602" s="933"/>
      <c r="V602" s="933"/>
      <c r="W602" s="933"/>
      <c r="X602" s="933"/>
      <c r="Y602" s="933"/>
      <c r="Z602" s="933"/>
      <c r="AA602" s="933"/>
      <c r="AB602" s="933"/>
      <c r="AC602" s="933"/>
      <c r="AD602" s="933"/>
      <c r="AE602" s="933"/>
    </row>
    <row r="603" spans="1:31" ht="12.75">
      <c r="A603" s="933"/>
      <c r="B603" s="933"/>
      <c r="C603" s="933"/>
      <c r="D603" s="933"/>
      <c r="E603" s="933"/>
      <c r="F603" s="933"/>
      <c r="G603" s="933"/>
      <c r="H603" s="933"/>
      <c r="I603" s="933"/>
      <c r="J603" s="933"/>
      <c r="K603" s="933"/>
      <c r="L603" s="933"/>
      <c r="M603" s="933"/>
      <c r="N603" s="933"/>
      <c r="O603" s="933"/>
      <c r="P603" s="933"/>
      <c r="Q603" s="933"/>
      <c r="R603" s="933"/>
      <c r="S603" s="933"/>
      <c r="T603" s="933"/>
      <c r="U603" s="933"/>
      <c r="V603" s="933"/>
      <c r="W603" s="933"/>
      <c r="X603" s="933"/>
      <c r="Y603" s="933"/>
      <c r="Z603" s="933"/>
      <c r="AA603" s="933"/>
      <c r="AB603" s="933"/>
      <c r="AC603" s="933"/>
      <c r="AD603" s="933"/>
      <c r="AE603" s="933"/>
    </row>
    <row r="604" spans="1:31" ht="12.75">
      <c r="A604" s="933"/>
      <c r="B604" s="933"/>
      <c r="C604" s="933"/>
      <c r="D604" s="933"/>
      <c r="E604" s="933"/>
      <c r="F604" s="933"/>
      <c r="G604" s="933"/>
      <c r="H604" s="933"/>
      <c r="I604" s="933"/>
      <c r="J604" s="933"/>
      <c r="K604" s="933"/>
      <c r="L604" s="933"/>
      <c r="M604" s="933"/>
      <c r="N604" s="933"/>
      <c r="O604" s="933"/>
      <c r="P604" s="933"/>
      <c r="Q604" s="933"/>
      <c r="R604" s="933"/>
      <c r="S604" s="933"/>
      <c r="T604" s="933"/>
      <c r="U604" s="933"/>
      <c r="V604" s="933"/>
      <c r="W604" s="933"/>
      <c r="X604" s="933"/>
      <c r="Y604" s="933"/>
      <c r="Z604" s="933"/>
      <c r="AA604" s="933"/>
      <c r="AB604" s="933"/>
      <c r="AC604" s="933"/>
      <c r="AD604" s="933"/>
      <c r="AE604" s="933"/>
    </row>
    <row r="605" spans="1:31" ht="12.75">
      <c r="A605" s="933"/>
      <c r="B605" s="933"/>
      <c r="C605" s="933"/>
      <c r="D605" s="933"/>
      <c r="E605" s="933"/>
      <c r="F605" s="933"/>
      <c r="G605" s="933"/>
      <c r="H605" s="933"/>
      <c r="I605" s="933"/>
      <c r="J605" s="933"/>
      <c r="K605" s="933"/>
      <c r="L605" s="933"/>
      <c r="M605" s="933"/>
      <c r="N605" s="933"/>
      <c r="O605" s="933"/>
      <c r="P605" s="933"/>
      <c r="Q605" s="933"/>
      <c r="R605" s="933"/>
      <c r="S605" s="933"/>
      <c r="T605" s="933"/>
      <c r="U605" s="933"/>
      <c r="V605" s="933"/>
      <c r="W605" s="933"/>
      <c r="X605" s="933"/>
      <c r="Y605" s="933"/>
      <c r="Z605" s="933"/>
      <c r="AA605" s="933"/>
      <c r="AB605" s="933"/>
      <c r="AC605" s="933"/>
      <c r="AD605" s="933"/>
      <c r="AE605" s="933"/>
    </row>
    <row r="606" spans="1:31" ht="12.75">
      <c r="A606" s="933"/>
      <c r="B606" s="933"/>
      <c r="C606" s="933"/>
      <c r="D606" s="933"/>
      <c r="E606" s="933"/>
      <c r="F606" s="933"/>
      <c r="G606" s="933"/>
      <c r="H606" s="933"/>
      <c r="I606" s="933"/>
      <c r="J606" s="933"/>
      <c r="K606" s="933"/>
      <c r="L606" s="933"/>
      <c r="M606" s="933"/>
      <c r="N606" s="933"/>
      <c r="O606" s="933"/>
      <c r="P606" s="933"/>
      <c r="Q606" s="933"/>
      <c r="R606" s="933"/>
      <c r="S606" s="933"/>
      <c r="T606" s="933"/>
      <c r="U606" s="933"/>
      <c r="V606" s="933"/>
      <c r="W606" s="933"/>
      <c r="X606" s="933"/>
      <c r="Y606" s="933"/>
      <c r="Z606" s="933"/>
      <c r="AA606" s="933"/>
      <c r="AB606" s="933"/>
      <c r="AC606" s="933"/>
      <c r="AD606" s="933"/>
      <c r="AE606" s="933"/>
    </row>
    <row r="607" spans="1:31" ht="12.75">
      <c r="A607" s="933"/>
      <c r="B607" s="933"/>
      <c r="C607" s="933"/>
      <c r="D607" s="933"/>
      <c r="E607" s="933"/>
      <c r="F607" s="933"/>
      <c r="G607" s="933"/>
      <c r="H607" s="933"/>
      <c r="I607" s="933"/>
      <c r="J607" s="933"/>
      <c r="K607" s="933"/>
      <c r="L607" s="933"/>
      <c r="M607" s="933"/>
      <c r="N607" s="933"/>
      <c r="O607" s="933"/>
      <c r="P607" s="933"/>
      <c r="Q607" s="933"/>
      <c r="R607" s="933"/>
      <c r="S607" s="933"/>
      <c r="T607" s="933"/>
      <c r="U607" s="933"/>
      <c r="V607" s="933"/>
      <c r="W607" s="933"/>
      <c r="X607" s="933"/>
      <c r="Y607" s="933"/>
      <c r="Z607" s="933"/>
      <c r="AA607" s="933"/>
      <c r="AB607" s="933"/>
      <c r="AC607" s="933"/>
      <c r="AD607" s="933"/>
      <c r="AE607" s="933"/>
    </row>
    <row r="608" spans="1:31" ht="12.75">
      <c r="A608" s="933"/>
      <c r="B608" s="933"/>
      <c r="C608" s="933"/>
      <c r="D608" s="933"/>
      <c r="E608" s="933"/>
      <c r="F608" s="933"/>
      <c r="G608" s="933"/>
      <c r="H608" s="933"/>
      <c r="I608" s="933"/>
      <c r="J608" s="933"/>
      <c r="K608" s="933"/>
      <c r="L608" s="933"/>
      <c r="M608" s="933"/>
      <c r="N608" s="933"/>
      <c r="O608" s="933"/>
      <c r="P608" s="933"/>
      <c r="Q608" s="933"/>
      <c r="R608" s="933"/>
      <c r="S608" s="933"/>
      <c r="T608" s="933"/>
      <c r="U608" s="933"/>
      <c r="V608" s="933"/>
      <c r="W608" s="933"/>
      <c r="X608" s="933"/>
      <c r="Y608" s="933"/>
      <c r="Z608" s="933"/>
      <c r="AA608" s="933"/>
      <c r="AB608" s="933"/>
      <c r="AC608" s="933"/>
      <c r="AD608" s="933"/>
      <c r="AE608" s="933"/>
    </row>
    <row r="609" spans="1:31" ht="12.75">
      <c r="A609" s="933"/>
      <c r="B609" s="933"/>
      <c r="C609" s="933"/>
      <c r="D609" s="933"/>
      <c r="E609" s="933"/>
      <c r="F609" s="933"/>
      <c r="G609" s="933"/>
      <c r="H609" s="933"/>
      <c r="I609" s="933"/>
      <c r="J609" s="933"/>
      <c r="K609" s="933"/>
      <c r="L609" s="933"/>
      <c r="M609" s="933"/>
      <c r="N609" s="933"/>
      <c r="O609" s="933"/>
      <c r="P609" s="933"/>
      <c r="Q609" s="933"/>
      <c r="R609" s="933"/>
      <c r="S609" s="933"/>
      <c r="T609" s="933"/>
      <c r="U609" s="933"/>
      <c r="V609" s="933"/>
      <c r="W609" s="933"/>
      <c r="X609" s="933"/>
      <c r="Y609" s="933"/>
      <c r="Z609" s="933"/>
      <c r="AA609" s="933"/>
      <c r="AB609" s="933"/>
      <c r="AC609" s="933"/>
      <c r="AD609" s="933"/>
      <c r="AE609" s="933"/>
    </row>
    <row r="610" spans="1:31" ht="12.75">
      <c r="A610" s="933"/>
      <c r="B610" s="933"/>
      <c r="C610" s="933"/>
      <c r="D610" s="933"/>
      <c r="E610" s="933"/>
      <c r="F610" s="933"/>
      <c r="G610" s="933"/>
      <c r="H610" s="933"/>
      <c r="I610" s="933"/>
      <c r="J610" s="933"/>
      <c r="K610" s="933"/>
      <c r="L610" s="933"/>
      <c r="M610" s="933"/>
      <c r="N610" s="933"/>
      <c r="O610" s="933"/>
      <c r="P610" s="933"/>
      <c r="Q610" s="933"/>
      <c r="R610" s="933"/>
      <c r="S610" s="933"/>
      <c r="T610" s="933"/>
      <c r="U610" s="933"/>
      <c r="V610" s="933"/>
      <c r="W610" s="933"/>
      <c r="X610" s="933"/>
      <c r="Y610" s="933"/>
      <c r="Z610" s="933"/>
      <c r="AA610" s="933"/>
      <c r="AB610" s="933"/>
      <c r="AC610" s="933"/>
      <c r="AD610" s="933"/>
      <c r="AE610" s="933"/>
    </row>
    <row r="611" spans="1:31" ht="12.75">
      <c r="A611" s="933"/>
      <c r="B611" s="933"/>
      <c r="C611" s="933"/>
      <c r="D611" s="933"/>
      <c r="E611" s="933"/>
      <c r="F611" s="933"/>
      <c r="G611" s="933"/>
      <c r="H611" s="933"/>
      <c r="I611" s="933"/>
      <c r="J611" s="933"/>
      <c r="K611" s="933"/>
      <c r="L611" s="933"/>
      <c r="M611" s="933"/>
      <c r="N611" s="933"/>
      <c r="O611" s="933"/>
      <c r="P611" s="933"/>
      <c r="Q611" s="933"/>
      <c r="R611" s="933"/>
      <c r="S611" s="933"/>
      <c r="T611" s="933"/>
      <c r="U611" s="933"/>
      <c r="V611" s="933"/>
      <c r="W611" s="933"/>
      <c r="X611" s="933"/>
      <c r="Y611" s="933"/>
      <c r="Z611" s="933"/>
      <c r="AA611" s="933"/>
      <c r="AB611" s="933"/>
      <c r="AC611" s="933"/>
      <c r="AD611" s="933"/>
      <c r="AE611" s="933"/>
    </row>
    <row r="612" spans="1:31" ht="12.75">
      <c r="A612" s="933"/>
      <c r="B612" s="933"/>
      <c r="C612" s="933"/>
      <c r="D612" s="933"/>
      <c r="E612" s="933"/>
      <c r="F612" s="933"/>
      <c r="G612" s="933"/>
      <c r="H612" s="933"/>
      <c r="I612" s="933"/>
      <c r="J612" s="933"/>
      <c r="K612" s="933"/>
      <c r="L612" s="933"/>
      <c r="M612" s="933"/>
      <c r="N612" s="933"/>
      <c r="O612" s="933"/>
      <c r="P612" s="933"/>
      <c r="Q612" s="933"/>
      <c r="R612" s="933"/>
      <c r="S612" s="933"/>
      <c r="T612" s="933"/>
      <c r="U612" s="933"/>
      <c r="V612" s="933"/>
      <c r="W612" s="933"/>
      <c r="X612" s="933"/>
      <c r="Y612" s="933"/>
      <c r="Z612" s="933"/>
      <c r="AA612" s="933"/>
      <c r="AB612" s="933"/>
      <c r="AC612" s="933"/>
      <c r="AD612" s="933"/>
      <c r="AE612" s="933"/>
    </row>
    <row r="613" spans="1:31" ht="12.75">
      <c r="A613" s="933"/>
      <c r="B613" s="933"/>
      <c r="C613" s="933"/>
      <c r="D613" s="933"/>
      <c r="E613" s="933"/>
      <c r="F613" s="933"/>
      <c r="G613" s="933"/>
      <c r="H613" s="933"/>
      <c r="I613" s="933"/>
      <c r="J613" s="933"/>
      <c r="K613" s="933"/>
      <c r="L613" s="933"/>
      <c r="M613" s="933"/>
      <c r="N613" s="933"/>
      <c r="O613" s="933"/>
      <c r="P613" s="933"/>
      <c r="Q613" s="933"/>
      <c r="R613" s="933"/>
      <c r="S613" s="933"/>
      <c r="T613" s="933"/>
      <c r="U613" s="933"/>
      <c r="V613" s="933"/>
      <c r="W613" s="933"/>
      <c r="X613" s="933"/>
      <c r="Y613" s="933"/>
      <c r="Z613" s="933"/>
      <c r="AA613" s="933"/>
      <c r="AB613" s="933"/>
      <c r="AC613" s="933"/>
      <c r="AD613" s="933"/>
      <c r="AE613" s="933"/>
    </row>
    <row r="614" spans="1:31" ht="12.75">
      <c r="A614" s="933"/>
      <c r="B614" s="933"/>
      <c r="C614" s="933"/>
      <c r="D614" s="933"/>
      <c r="E614" s="933"/>
      <c r="F614" s="933"/>
      <c r="G614" s="933"/>
      <c r="H614" s="933"/>
      <c r="I614" s="933"/>
      <c r="J614" s="933"/>
      <c r="K614" s="933"/>
      <c r="L614" s="933"/>
      <c r="M614" s="933"/>
      <c r="N614" s="933"/>
      <c r="O614" s="933"/>
      <c r="P614" s="933"/>
      <c r="Q614" s="933"/>
      <c r="R614" s="933"/>
      <c r="S614" s="933"/>
      <c r="T614" s="933"/>
      <c r="U614" s="933"/>
      <c r="V614" s="933"/>
      <c r="W614" s="933"/>
      <c r="X614" s="933"/>
      <c r="Y614" s="933"/>
      <c r="Z614" s="933"/>
      <c r="AA614" s="933"/>
      <c r="AB614" s="933"/>
      <c r="AC614" s="933"/>
      <c r="AD614" s="933"/>
      <c r="AE614" s="933"/>
    </row>
    <row r="615" spans="1:31" ht="12.75">
      <c r="A615" s="933"/>
      <c r="B615" s="933"/>
      <c r="C615" s="933"/>
      <c r="D615" s="933"/>
      <c r="E615" s="933"/>
      <c r="F615" s="933"/>
      <c r="G615" s="933"/>
      <c r="H615" s="933"/>
      <c r="I615" s="933"/>
      <c r="J615" s="933"/>
      <c r="K615" s="933"/>
      <c r="L615" s="933"/>
      <c r="M615" s="933"/>
      <c r="N615" s="933"/>
      <c r="O615" s="933"/>
      <c r="P615" s="933"/>
      <c r="Q615" s="933"/>
      <c r="R615" s="933"/>
      <c r="S615" s="933"/>
      <c r="T615" s="933"/>
      <c r="U615" s="933"/>
      <c r="V615" s="933"/>
      <c r="W615" s="933"/>
      <c r="X615" s="933"/>
      <c r="Y615" s="933"/>
      <c r="Z615" s="933"/>
      <c r="AA615" s="933"/>
      <c r="AB615" s="933"/>
      <c r="AC615" s="933"/>
      <c r="AD615" s="933"/>
      <c r="AE615" s="933"/>
    </row>
    <row r="616" spans="1:31" ht="12.75">
      <c r="A616" s="933"/>
      <c r="B616" s="933"/>
      <c r="C616" s="933"/>
      <c r="D616" s="933"/>
      <c r="E616" s="933"/>
      <c r="F616" s="933"/>
      <c r="G616" s="933"/>
      <c r="H616" s="933"/>
      <c r="I616" s="933"/>
      <c r="J616" s="933"/>
      <c r="K616" s="933"/>
      <c r="L616" s="933"/>
      <c r="M616" s="933"/>
      <c r="N616" s="933"/>
      <c r="O616" s="933"/>
      <c r="P616" s="933"/>
      <c r="Q616" s="933"/>
      <c r="R616" s="933"/>
      <c r="S616" s="933"/>
      <c r="T616" s="933"/>
      <c r="U616" s="933"/>
      <c r="V616" s="933"/>
      <c r="W616" s="933"/>
      <c r="X616" s="933"/>
      <c r="Y616" s="933"/>
      <c r="Z616" s="933"/>
      <c r="AA616" s="933"/>
      <c r="AB616" s="933"/>
      <c r="AC616" s="933"/>
      <c r="AD616" s="933"/>
      <c r="AE616" s="933"/>
    </row>
    <row r="617" spans="1:31" ht="12.75">
      <c r="A617" s="933"/>
      <c r="B617" s="933"/>
      <c r="C617" s="933"/>
      <c r="D617" s="933"/>
      <c r="E617" s="933"/>
      <c r="F617" s="933"/>
      <c r="G617" s="933"/>
      <c r="H617" s="933"/>
      <c r="I617" s="933"/>
      <c r="J617" s="933"/>
      <c r="K617" s="933"/>
      <c r="L617" s="933"/>
      <c r="M617" s="933"/>
      <c r="N617" s="933"/>
      <c r="O617" s="933"/>
      <c r="P617" s="933"/>
      <c r="Q617" s="933"/>
      <c r="R617" s="933"/>
      <c r="S617" s="933"/>
      <c r="T617" s="933"/>
      <c r="U617" s="933"/>
      <c r="V617" s="933"/>
      <c r="W617" s="933"/>
      <c r="X617" s="933"/>
      <c r="Y617" s="933"/>
      <c r="Z617" s="933"/>
      <c r="AA617" s="933"/>
      <c r="AB617" s="933"/>
      <c r="AC617" s="933"/>
      <c r="AD617" s="933"/>
      <c r="AE617" s="933"/>
    </row>
    <row r="618" spans="1:31" ht="12.75">
      <c r="A618" s="933"/>
      <c r="B618" s="933"/>
      <c r="C618" s="933"/>
      <c r="D618" s="933"/>
      <c r="E618" s="933"/>
      <c r="F618" s="933"/>
      <c r="G618" s="933"/>
      <c r="H618" s="933"/>
      <c r="I618" s="933"/>
      <c r="J618" s="933"/>
      <c r="K618" s="933"/>
      <c r="L618" s="933"/>
      <c r="M618" s="933"/>
      <c r="N618" s="933"/>
      <c r="O618" s="933"/>
      <c r="P618" s="933"/>
      <c r="Q618" s="933"/>
      <c r="R618" s="933"/>
      <c r="S618" s="933"/>
      <c r="T618" s="933"/>
      <c r="U618" s="933"/>
      <c r="V618" s="933"/>
      <c r="W618" s="933"/>
      <c r="X618" s="933"/>
      <c r="Y618" s="933"/>
      <c r="Z618" s="933"/>
      <c r="AA618" s="933"/>
      <c r="AB618" s="933"/>
      <c r="AC618" s="933"/>
      <c r="AD618" s="933"/>
      <c r="AE618" s="933"/>
    </row>
    <row r="619" spans="1:31" ht="12.75">
      <c r="A619" s="933"/>
      <c r="B619" s="933"/>
      <c r="C619" s="933"/>
      <c r="D619" s="933"/>
      <c r="E619" s="933"/>
      <c r="F619" s="933"/>
      <c r="G619" s="933"/>
      <c r="H619" s="933"/>
      <c r="I619" s="933"/>
      <c r="J619" s="933"/>
      <c r="K619" s="933"/>
      <c r="L619" s="933"/>
      <c r="M619" s="933"/>
      <c r="N619" s="933"/>
      <c r="O619" s="933"/>
      <c r="P619" s="933"/>
      <c r="Q619" s="933"/>
      <c r="R619" s="933"/>
      <c r="S619" s="933"/>
      <c r="T619" s="933"/>
      <c r="U619" s="933"/>
      <c r="V619" s="933"/>
      <c r="W619" s="933"/>
      <c r="X619" s="933"/>
      <c r="Y619" s="933"/>
      <c r="Z619" s="933"/>
      <c r="AA619" s="933"/>
      <c r="AB619" s="933"/>
      <c r="AC619" s="933"/>
      <c r="AD619" s="933"/>
      <c r="AE619" s="933"/>
    </row>
    <row r="620" spans="1:31" ht="12.75">
      <c r="A620" s="933"/>
      <c r="B620" s="933"/>
      <c r="C620" s="933"/>
      <c r="D620" s="933"/>
      <c r="E620" s="933"/>
      <c r="F620" s="933"/>
      <c r="G620" s="933"/>
      <c r="H620" s="933"/>
      <c r="I620" s="933"/>
      <c r="J620" s="933"/>
      <c r="K620" s="933"/>
      <c r="L620" s="933"/>
      <c r="M620" s="933"/>
      <c r="N620" s="933"/>
      <c r="O620" s="933"/>
      <c r="P620" s="933"/>
      <c r="Q620" s="933"/>
      <c r="R620" s="933"/>
      <c r="S620" s="933"/>
      <c r="T620" s="933"/>
      <c r="U620" s="933"/>
      <c r="V620" s="933"/>
      <c r="W620" s="933"/>
      <c r="X620" s="933"/>
      <c r="Y620" s="933"/>
      <c r="Z620" s="933"/>
      <c r="AA620" s="933"/>
      <c r="AB620" s="933"/>
      <c r="AC620" s="933"/>
      <c r="AD620" s="933"/>
      <c r="AE620" s="933"/>
    </row>
    <row r="621" spans="1:31" ht="12.75">
      <c r="A621" s="933"/>
      <c r="B621" s="933"/>
      <c r="C621" s="933"/>
      <c r="D621" s="933"/>
      <c r="E621" s="933"/>
      <c r="F621" s="933"/>
      <c r="G621" s="933"/>
      <c r="H621" s="933"/>
      <c r="I621" s="933"/>
      <c r="J621" s="933"/>
      <c r="K621" s="933"/>
      <c r="L621" s="933"/>
      <c r="M621" s="933"/>
      <c r="N621" s="933"/>
      <c r="O621" s="933"/>
      <c r="P621" s="933"/>
      <c r="Q621" s="933"/>
      <c r="R621" s="933"/>
      <c r="S621" s="933"/>
      <c r="T621" s="933"/>
      <c r="U621" s="933"/>
      <c r="V621" s="933"/>
      <c r="W621" s="933"/>
      <c r="X621" s="933"/>
      <c r="Y621" s="933"/>
      <c r="Z621" s="933"/>
      <c r="AA621" s="933"/>
      <c r="AB621" s="933"/>
      <c r="AC621" s="933"/>
      <c r="AD621" s="933"/>
      <c r="AE621" s="933"/>
    </row>
    <row r="622" spans="1:31" ht="12.75">
      <c r="A622" s="933"/>
      <c r="B622" s="933"/>
      <c r="C622" s="933"/>
      <c r="D622" s="933"/>
      <c r="E622" s="933"/>
      <c r="F622" s="933"/>
      <c r="G622" s="933"/>
      <c r="H622" s="933"/>
      <c r="I622" s="933"/>
      <c r="J622" s="933"/>
      <c r="K622" s="933"/>
      <c r="L622" s="933"/>
      <c r="M622" s="933"/>
      <c r="N622" s="933"/>
      <c r="O622" s="933"/>
      <c r="P622" s="933"/>
      <c r="Q622" s="933"/>
      <c r="R622" s="933"/>
      <c r="S622" s="933"/>
      <c r="T622" s="933"/>
      <c r="U622" s="933"/>
      <c r="V622" s="933"/>
      <c r="W622" s="933"/>
      <c r="X622" s="933"/>
      <c r="Y622" s="933"/>
      <c r="Z622" s="933"/>
      <c r="AA622" s="933"/>
      <c r="AB622" s="933"/>
      <c r="AC622" s="933"/>
      <c r="AD622" s="933"/>
      <c r="AE622" s="933"/>
    </row>
    <row r="623" spans="1:31" ht="12.75">
      <c r="A623" s="933"/>
      <c r="B623" s="933"/>
      <c r="C623" s="933"/>
      <c r="D623" s="933"/>
      <c r="E623" s="933"/>
      <c r="F623" s="933"/>
      <c r="G623" s="933"/>
      <c r="H623" s="933"/>
      <c r="I623" s="933"/>
      <c r="J623" s="933"/>
      <c r="K623" s="933"/>
      <c r="L623" s="933"/>
      <c r="M623" s="933"/>
      <c r="N623" s="933"/>
      <c r="O623" s="933"/>
      <c r="P623" s="933"/>
      <c r="Q623" s="933"/>
      <c r="R623" s="933"/>
      <c r="S623" s="933"/>
      <c r="T623" s="933"/>
      <c r="U623" s="933"/>
      <c r="V623" s="933"/>
      <c r="W623" s="933"/>
      <c r="X623" s="933"/>
      <c r="Y623" s="933"/>
      <c r="Z623" s="933"/>
      <c r="AA623" s="933"/>
      <c r="AB623" s="933"/>
      <c r="AC623" s="933"/>
      <c r="AD623" s="933"/>
      <c r="AE623" s="933"/>
    </row>
    <row r="624" spans="1:31" ht="12.75">
      <c r="A624" s="933"/>
      <c r="B624" s="933"/>
      <c r="C624" s="933"/>
      <c r="D624" s="933"/>
      <c r="E624" s="933"/>
      <c r="F624" s="933"/>
      <c r="G624" s="933"/>
      <c r="H624" s="933"/>
      <c r="I624" s="933"/>
      <c r="J624" s="933"/>
      <c r="K624" s="933"/>
      <c r="L624" s="933"/>
      <c r="M624" s="933"/>
      <c r="N624" s="933"/>
      <c r="O624" s="933"/>
      <c r="P624" s="933"/>
      <c r="Q624" s="933"/>
      <c r="R624" s="933"/>
      <c r="S624" s="933"/>
      <c r="T624" s="933"/>
      <c r="U624" s="933"/>
      <c r="V624" s="933"/>
      <c r="W624" s="933"/>
      <c r="X624" s="933"/>
      <c r="Y624" s="933"/>
      <c r="Z624" s="933"/>
      <c r="AA624" s="933"/>
      <c r="AB624" s="933"/>
      <c r="AC624" s="933"/>
      <c r="AD624" s="933"/>
      <c r="AE624" s="933"/>
    </row>
    <row r="625" spans="1:31" ht="12.75">
      <c r="A625" s="933"/>
      <c r="B625" s="933"/>
      <c r="C625" s="933"/>
      <c r="D625" s="933"/>
      <c r="E625" s="933"/>
      <c r="F625" s="933"/>
      <c r="G625" s="933"/>
      <c r="H625" s="933"/>
      <c r="I625" s="933"/>
      <c r="J625" s="933"/>
      <c r="K625" s="933"/>
      <c r="L625" s="933"/>
      <c r="M625" s="933"/>
      <c r="N625" s="933"/>
      <c r="O625" s="933"/>
      <c r="P625" s="933"/>
      <c r="Q625" s="933"/>
      <c r="R625" s="933"/>
      <c r="S625" s="933"/>
      <c r="T625" s="933"/>
      <c r="U625" s="933"/>
      <c r="V625" s="933"/>
      <c r="W625" s="933"/>
      <c r="X625" s="933"/>
      <c r="Y625" s="933"/>
      <c r="Z625" s="933"/>
      <c r="AA625" s="933"/>
      <c r="AB625" s="933"/>
      <c r="AC625" s="933"/>
      <c r="AD625" s="933"/>
      <c r="AE625" s="933"/>
    </row>
    <row r="626" spans="1:31" ht="12.75">
      <c r="A626" s="933"/>
      <c r="B626" s="933"/>
      <c r="C626" s="933"/>
      <c r="D626" s="933"/>
      <c r="E626" s="933"/>
      <c r="F626" s="933"/>
      <c r="G626" s="933"/>
      <c r="H626" s="933"/>
      <c r="I626" s="933"/>
      <c r="J626" s="933"/>
      <c r="K626" s="933"/>
      <c r="L626" s="933"/>
      <c r="M626" s="933"/>
      <c r="N626" s="933"/>
      <c r="O626" s="933"/>
      <c r="P626" s="933"/>
      <c r="Q626" s="933"/>
      <c r="R626" s="933"/>
      <c r="S626" s="933"/>
      <c r="T626" s="933"/>
      <c r="U626" s="933"/>
      <c r="V626" s="933"/>
      <c r="W626" s="933"/>
      <c r="X626" s="933"/>
      <c r="Y626" s="933"/>
      <c r="Z626" s="933"/>
      <c r="AA626" s="933"/>
      <c r="AB626" s="933"/>
      <c r="AC626" s="933"/>
      <c r="AD626" s="933"/>
      <c r="AE626" s="933"/>
    </row>
    <row r="627" spans="1:31" ht="12.75">
      <c r="A627" s="933"/>
      <c r="B627" s="933"/>
      <c r="C627" s="933"/>
      <c r="D627" s="933"/>
      <c r="E627" s="933"/>
      <c r="F627" s="933"/>
      <c r="G627" s="933"/>
      <c r="H627" s="933"/>
      <c r="I627" s="933"/>
      <c r="J627" s="933"/>
      <c r="K627" s="933"/>
      <c r="L627" s="933"/>
      <c r="M627" s="933"/>
      <c r="N627" s="933"/>
      <c r="O627" s="933"/>
      <c r="P627" s="933"/>
      <c r="Q627" s="933"/>
      <c r="R627" s="933"/>
      <c r="S627" s="933"/>
      <c r="T627" s="933"/>
      <c r="U627" s="933"/>
      <c r="V627" s="933"/>
      <c r="W627" s="933"/>
      <c r="X627" s="933"/>
      <c r="Y627" s="933"/>
      <c r="Z627" s="933"/>
      <c r="AA627" s="933"/>
      <c r="AB627" s="933"/>
      <c r="AC627" s="933"/>
      <c r="AD627" s="933"/>
      <c r="AE627" s="933"/>
    </row>
    <row r="628" spans="1:31" ht="12.75">
      <c r="A628" s="933"/>
      <c r="B628" s="933"/>
      <c r="C628" s="933"/>
      <c r="D628" s="933"/>
      <c r="E628" s="933"/>
      <c r="F628" s="933"/>
      <c r="G628" s="933"/>
      <c r="H628" s="933"/>
      <c r="I628" s="933"/>
      <c r="J628" s="933"/>
      <c r="K628" s="933"/>
      <c r="L628" s="933"/>
      <c r="M628" s="933"/>
      <c r="N628" s="933"/>
      <c r="O628" s="933"/>
      <c r="P628" s="933"/>
      <c r="Q628" s="933"/>
      <c r="R628" s="933"/>
      <c r="S628" s="933"/>
      <c r="T628" s="933"/>
      <c r="U628" s="933"/>
      <c r="V628" s="933"/>
      <c r="W628" s="933"/>
      <c r="X628" s="933"/>
      <c r="Y628" s="933"/>
      <c r="Z628" s="933"/>
      <c r="AA628" s="933"/>
      <c r="AB628" s="933"/>
      <c r="AC628" s="933"/>
      <c r="AD628" s="933"/>
      <c r="AE628" s="933"/>
    </row>
    <row r="629" spans="1:31" ht="12.75">
      <c r="A629" s="933"/>
      <c r="B629" s="933"/>
      <c r="C629" s="933"/>
      <c r="D629" s="933"/>
      <c r="E629" s="933"/>
      <c r="F629" s="933"/>
      <c r="G629" s="933"/>
      <c r="H629" s="933"/>
      <c r="I629" s="933"/>
      <c r="J629" s="933"/>
      <c r="K629" s="933"/>
      <c r="L629" s="933"/>
      <c r="M629" s="933"/>
      <c r="N629" s="933"/>
      <c r="O629" s="933"/>
      <c r="P629" s="933"/>
      <c r="Q629" s="933"/>
      <c r="R629" s="933"/>
      <c r="S629" s="933"/>
      <c r="T629" s="933"/>
      <c r="U629" s="933"/>
      <c r="V629" s="933"/>
      <c r="W629" s="933"/>
      <c r="X629" s="933"/>
      <c r="Y629" s="933"/>
      <c r="Z629" s="933"/>
      <c r="AA629" s="933"/>
      <c r="AB629" s="933"/>
      <c r="AC629" s="933"/>
      <c r="AD629" s="933"/>
      <c r="AE629" s="933"/>
    </row>
    <row r="630" spans="1:31" ht="12.75">
      <c r="A630" s="933"/>
      <c r="B630" s="933"/>
      <c r="C630" s="933"/>
      <c r="D630" s="933"/>
      <c r="E630" s="933"/>
      <c r="F630" s="933"/>
      <c r="G630" s="933"/>
      <c r="H630" s="933"/>
      <c r="I630" s="933"/>
      <c r="J630" s="933"/>
      <c r="K630" s="933"/>
      <c r="L630" s="933"/>
      <c r="M630" s="933"/>
      <c r="N630" s="933"/>
      <c r="O630" s="933"/>
      <c r="P630" s="933"/>
      <c r="Q630" s="933"/>
      <c r="R630" s="933"/>
      <c r="S630" s="933"/>
      <c r="T630" s="933"/>
      <c r="U630" s="933"/>
      <c r="V630" s="933"/>
      <c r="W630" s="933"/>
      <c r="X630" s="933"/>
      <c r="Y630" s="933"/>
      <c r="Z630" s="933"/>
      <c r="AA630" s="933"/>
      <c r="AB630" s="933"/>
      <c r="AC630" s="933"/>
      <c r="AD630" s="933"/>
      <c r="AE630" s="933"/>
    </row>
    <row r="631" spans="1:31" ht="12.75">
      <c r="A631" s="933"/>
      <c r="B631" s="933"/>
      <c r="C631" s="933"/>
      <c r="D631" s="933"/>
      <c r="E631" s="933"/>
      <c r="F631" s="933"/>
      <c r="G631" s="933"/>
      <c r="H631" s="933"/>
      <c r="I631" s="933"/>
      <c r="J631" s="933"/>
      <c r="K631" s="933"/>
      <c r="L631" s="933"/>
      <c r="M631" s="933"/>
      <c r="N631" s="933"/>
      <c r="O631" s="933"/>
      <c r="P631" s="933"/>
      <c r="Q631" s="933"/>
      <c r="R631" s="933"/>
      <c r="S631" s="933"/>
      <c r="T631" s="933"/>
      <c r="U631" s="933"/>
      <c r="V631" s="933"/>
      <c r="W631" s="933"/>
      <c r="X631" s="933"/>
      <c r="Y631" s="933"/>
      <c r="Z631" s="933"/>
      <c r="AA631" s="933"/>
      <c r="AB631" s="933"/>
      <c r="AC631" s="933"/>
      <c r="AD631" s="933"/>
      <c r="AE631" s="933"/>
    </row>
    <row r="632" spans="1:31" ht="12.75">
      <c r="A632" s="933"/>
      <c r="B632" s="933"/>
      <c r="C632" s="933"/>
      <c r="D632" s="933"/>
      <c r="E632" s="933"/>
      <c r="F632" s="933"/>
      <c r="G632" s="933"/>
      <c r="H632" s="933"/>
      <c r="I632" s="933"/>
      <c r="J632" s="933"/>
      <c r="K632" s="933"/>
      <c r="L632" s="933"/>
      <c r="M632" s="933"/>
      <c r="N632" s="933"/>
      <c r="O632" s="933"/>
      <c r="P632" s="933"/>
      <c r="Q632" s="933"/>
      <c r="R632" s="933"/>
      <c r="S632" s="933"/>
      <c r="T632" s="933"/>
      <c r="U632" s="933"/>
      <c r="V632" s="933"/>
      <c r="W632" s="933"/>
      <c r="X632" s="933"/>
      <c r="Y632" s="933"/>
      <c r="Z632" s="933"/>
      <c r="AA632" s="933"/>
      <c r="AB632" s="933"/>
      <c r="AC632" s="933"/>
      <c r="AD632" s="933"/>
      <c r="AE632" s="933"/>
    </row>
    <row r="633" spans="1:31" ht="12.75">
      <c r="A633" s="933"/>
      <c r="B633" s="933"/>
      <c r="C633" s="933"/>
      <c r="D633" s="933"/>
      <c r="E633" s="933"/>
      <c r="F633" s="933"/>
      <c r="G633" s="933"/>
      <c r="H633" s="933"/>
      <c r="I633" s="933"/>
      <c r="J633" s="933"/>
      <c r="K633" s="933"/>
      <c r="L633" s="933"/>
      <c r="M633" s="933"/>
      <c r="N633" s="933"/>
      <c r="O633" s="933"/>
      <c r="P633" s="933"/>
      <c r="Q633" s="933"/>
      <c r="R633" s="933"/>
      <c r="S633" s="933"/>
      <c r="T633" s="933"/>
      <c r="U633" s="933"/>
      <c r="V633" s="933"/>
      <c r="W633" s="933"/>
      <c r="X633" s="933"/>
      <c r="Y633" s="933"/>
      <c r="Z633" s="933"/>
      <c r="AA633" s="933"/>
      <c r="AB633" s="933"/>
      <c r="AC633" s="933"/>
      <c r="AD633" s="933"/>
      <c r="AE633" s="933"/>
    </row>
    <row r="634" spans="1:31" ht="12.75">
      <c r="A634" s="933"/>
      <c r="B634" s="933"/>
      <c r="C634" s="933"/>
      <c r="D634" s="933"/>
      <c r="E634" s="933"/>
      <c r="F634" s="933"/>
      <c r="G634" s="933"/>
      <c r="H634" s="933"/>
      <c r="I634" s="933"/>
      <c r="J634" s="933"/>
      <c r="K634" s="933"/>
      <c r="L634" s="933"/>
      <c r="M634" s="933"/>
      <c r="N634" s="933"/>
      <c r="O634" s="933"/>
      <c r="P634" s="933"/>
      <c r="Q634" s="933"/>
      <c r="R634" s="933"/>
      <c r="S634" s="933"/>
      <c r="T634" s="933"/>
      <c r="U634" s="933"/>
      <c r="V634" s="933"/>
      <c r="W634" s="933"/>
      <c r="X634" s="933"/>
      <c r="Y634" s="933"/>
      <c r="Z634" s="933"/>
      <c r="AA634" s="933"/>
      <c r="AB634" s="933"/>
      <c r="AC634" s="933"/>
      <c r="AD634" s="933"/>
      <c r="AE634" s="933"/>
    </row>
    <row r="635" spans="1:31" ht="12.75">
      <c r="A635" s="933"/>
      <c r="B635" s="933"/>
      <c r="C635" s="933"/>
      <c r="D635" s="933"/>
      <c r="E635" s="933"/>
      <c r="F635" s="933"/>
      <c r="G635" s="933"/>
      <c r="H635" s="933"/>
      <c r="I635" s="933"/>
      <c r="J635" s="933"/>
      <c r="K635" s="933"/>
      <c r="L635" s="933"/>
      <c r="M635" s="933"/>
      <c r="N635" s="933"/>
      <c r="O635" s="933"/>
      <c r="P635" s="933"/>
      <c r="Q635" s="933"/>
      <c r="R635" s="933"/>
      <c r="S635" s="933"/>
      <c r="T635" s="933"/>
      <c r="U635" s="933"/>
      <c r="V635" s="933"/>
      <c r="W635" s="933"/>
      <c r="X635" s="933"/>
      <c r="Y635" s="933"/>
      <c r="Z635" s="933"/>
      <c r="AA635" s="933"/>
      <c r="AB635" s="933"/>
      <c r="AC635" s="933"/>
      <c r="AD635" s="933"/>
      <c r="AE635" s="933"/>
    </row>
    <row r="636" spans="1:31" ht="12.75">
      <c r="A636" s="933"/>
      <c r="B636" s="933"/>
      <c r="C636" s="933"/>
      <c r="D636" s="933"/>
      <c r="E636" s="933"/>
      <c r="F636" s="933"/>
      <c r="G636" s="933"/>
      <c r="H636" s="933"/>
      <c r="I636" s="933"/>
      <c r="J636" s="933"/>
      <c r="K636" s="933"/>
      <c r="L636" s="933"/>
      <c r="M636" s="933"/>
      <c r="N636" s="933"/>
      <c r="O636" s="933"/>
      <c r="P636" s="933"/>
      <c r="Q636" s="933"/>
      <c r="R636" s="933"/>
      <c r="S636" s="933"/>
      <c r="T636" s="933"/>
      <c r="U636" s="933"/>
      <c r="V636" s="933"/>
      <c r="W636" s="933"/>
      <c r="X636" s="933"/>
      <c r="Y636" s="933"/>
      <c r="Z636" s="933"/>
      <c r="AA636" s="933"/>
      <c r="AB636" s="933"/>
      <c r="AC636" s="933"/>
      <c r="AD636" s="933"/>
      <c r="AE636" s="933"/>
    </row>
    <row r="637" spans="1:31" ht="12.75">
      <c r="A637" s="933"/>
      <c r="B637" s="933"/>
      <c r="C637" s="933"/>
      <c r="D637" s="933"/>
      <c r="E637" s="933"/>
      <c r="F637" s="933"/>
      <c r="G637" s="933"/>
      <c r="H637" s="933"/>
      <c r="I637" s="933"/>
      <c r="J637" s="933"/>
      <c r="K637" s="933"/>
      <c r="L637" s="933"/>
      <c r="M637" s="933"/>
      <c r="N637" s="933"/>
      <c r="O637" s="933"/>
      <c r="P637" s="933"/>
      <c r="Q637" s="933"/>
      <c r="R637" s="933"/>
      <c r="S637" s="933"/>
      <c r="T637" s="933"/>
      <c r="U637" s="933"/>
      <c r="V637" s="933"/>
      <c r="W637" s="933"/>
      <c r="X637" s="933"/>
      <c r="Y637" s="933"/>
      <c r="Z637" s="933"/>
      <c r="AA637" s="933"/>
      <c r="AB637" s="933"/>
      <c r="AC637" s="933"/>
      <c r="AD637" s="933"/>
      <c r="AE637" s="933"/>
    </row>
    <row r="638" spans="1:31" ht="12.75">
      <c r="A638" s="933"/>
      <c r="B638" s="933"/>
      <c r="C638" s="933"/>
      <c r="D638" s="933"/>
      <c r="E638" s="933"/>
      <c r="F638" s="933"/>
      <c r="G638" s="933"/>
      <c r="H638" s="933"/>
      <c r="I638" s="933"/>
      <c r="J638" s="933"/>
      <c r="K638" s="933"/>
      <c r="L638" s="933"/>
      <c r="M638" s="933"/>
      <c r="N638" s="933"/>
      <c r="O638" s="933"/>
      <c r="P638" s="933"/>
      <c r="Q638" s="933"/>
      <c r="R638" s="933"/>
      <c r="S638" s="933"/>
      <c r="T638" s="933"/>
      <c r="U638" s="933"/>
      <c r="V638" s="933"/>
      <c r="W638" s="933"/>
      <c r="X638" s="933"/>
      <c r="Y638" s="933"/>
      <c r="Z638" s="933"/>
      <c r="AA638" s="933"/>
      <c r="AB638" s="933"/>
      <c r="AC638" s="933"/>
      <c r="AD638" s="933"/>
      <c r="AE638" s="933"/>
    </row>
    <row r="639" spans="1:31" ht="12.75">
      <c r="A639" s="933"/>
      <c r="B639" s="933"/>
      <c r="C639" s="933"/>
      <c r="D639" s="933"/>
      <c r="E639" s="933"/>
      <c r="F639" s="933"/>
      <c r="G639" s="933"/>
      <c r="H639" s="933"/>
      <c r="I639" s="933"/>
      <c r="J639" s="933"/>
      <c r="K639" s="933"/>
      <c r="L639" s="933"/>
      <c r="M639" s="933"/>
      <c r="N639" s="933"/>
      <c r="O639" s="933"/>
      <c r="P639" s="933"/>
      <c r="Q639" s="933"/>
      <c r="R639" s="933"/>
      <c r="S639" s="933"/>
      <c r="T639" s="933"/>
      <c r="U639" s="933"/>
      <c r="V639" s="933"/>
      <c r="W639" s="933"/>
      <c r="X639" s="933"/>
      <c r="Y639" s="933"/>
      <c r="Z639" s="933"/>
      <c r="AA639" s="933"/>
      <c r="AB639" s="933"/>
      <c r="AC639" s="933"/>
      <c r="AD639" s="933"/>
      <c r="AE639" s="933"/>
    </row>
    <row r="640" spans="1:31" ht="12.75">
      <c r="A640" s="933"/>
      <c r="B640" s="933"/>
      <c r="C640" s="933"/>
      <c r="D640" s="933"/>
      <c r="E640" s="933"/>
      <c r="F640" s="933"/>
      <c r="G640" s="933"/>
      <c r="H640" s="933"/>
      <c r="I640" s="933"/>
      <c r="J640" s="933"/>
      <c r="K640" s="933"/>
      <c r="L640" s="933"/>
      <c r="M640" s="933"/>
      <c r="N640" s="933"/>
      <c r="O640" s="933"/>
      <c r="P640" s="933"/>
      <c r="Q640" s="933"/>
      <c r="R640" s="933"/>
      <c r="S640" s="933"/>
      <c r="T640" s="933"/>
      <c r="U640" s="933"/>
      <c r="V640" s="933"/>
      <c r="W640" s="933"/>
      <c r="X640" s="933"/>
      <c r="Y640" s="933"/>
      <c r="Z640" s="933"/>
      <c r="AA640" s="933"/>
      <c r="AB640" s="933"/>
      <c r="AC640" s="933"/>
      <c r="AD640" s="933"/>
      <c r="AE640" s="933"/>
    </row>
    <row r="641" spans="1:31" ht="12.75">
      <c r="A641" s="933"/>
      <c r="B641" s="933"/>
      <c r="C641" s="933"/>
      <c r="D641" s="933"/>
      <c r="E641" s="933"/>
      <c r="F641" s="933"/>
      <c r="G641" s="933"/>
      <c r="H641" s="933"/>
      <c r="I641" s="933"/>
      <c r="J641" s="933"/>
      <c r="K641" s="933"/>
      <c r="L641" s="933"/>
      <c r="M641" s="933"/>
      <c r="N641" s="933"/>
      <c r="O641" s="933"/>
      <c r="P641" s="933"/>
      <c r="Q641" s="933"/>
      <c r="R641" s="933"/>
      <c r="S641" s="933"/>
      <c r="T641" s="933"/>
      <c r="U641" s="933"/>
      <c r="V641" s="933"/>
      <c r="W641" s="933"/>
      <c r="X641" s="933"/>
      <c r="Y641" s="933"/>
      <c r="Z641" s="933"/>
      <c r="AA641" s="933"/>
      <c r="AB641" s="933"/>
      <c r="AC641" s="933"/>
      <c r="AD641" s="933"/>
      <c r="AE641" s="933"/>
    </row>
    <row r="642" spans="1:31" ht="12.75">
      <c r="A642" s="933"/>
      <c r="B642" s="933"/>
      <c r="C642" s="933"/>
      <c r="D642" s="933"/>
      <c r="E642" s="933"/>
      <c r="F642" s="933"/>
      <c r="G642" s="933"/>
      <c r="H642" s="933"/>
      <c r="I642" s="933"/>
      <c r="J642" s="933"/>
      <c r="K642" s="933"/>
      <c r="L642" s="933"/>
      <c r="M642" s="933"/>
      <c r="N642" s="933"/>
      <c r="O642" s="933"/>
      <c r="P642" s="933"/>
      <c r="Q642" s="933"/>
      <c r="R642" s="933"/>
      <c r="S642" s="933"/>
      <c r="T642" s="933"/>
      <c r="U642" s="933"/>
      <c r="V642" s="933"/>
      <c r="W642" s="933"/>
      <c r="X642" s="933"/>
      <c r="Y642" s="933"/>
      <c r="Z642" s="933"/>
      <c r="AA642" s="933"/>
      <c r="AB642" s="933"/>
      <c r="AC642" s="933"/>
      <c r="AD642" s="933"/>
      <c r="AE642" s="933"/>
    </row>
    <row r="643" spans="1:31" ht="12.75">
      <c r="A643" s="933"/>
      <c r="B643" s="933"/>
      <c r="C643" s="933"/>
      <c r="D643" s="933"/>
      <c r="E643" s="933"/>
      <c r="F643" s="933"/>
      <c r="G643" s="933"/>
      <c r="H643" s="933"/>
      <c r="I643" s="933"/>
      <c r="J643" s="933"/>
      <c r="K643" s="933"/>
      <c r="L643" s="933"/>
      <c r="M643" s="933"/>
      <c r="N643" s="933"/>
      <c r="O643" s="933"/>
      <c r="P643" s="933"/>
      <c r="Q643" s="933"/>
      <c r="R643" s="933"/>
      <c r="S643" s="933"/>
      <c r="T643" s="933"/>
      <c r="U643" s="933"/>
      <c r="V643" s="933"/>
      <c r="W643" s="933"/>
      <c r="X643" s="933"/>
      <c r="Y643" s="933"/>
      <c r="Z643" s="933"/>
      <c r="AA643" s="933"/>
      <c r="AB643" s="933"/>
      <c r="AC643" s="933"/>
      <c r="AD643" s="933"/>
      <c r="AE643" s="933"/>
    </row>
    <row r="644" spans="1:31" ht="12.75">
      <c r="A644" s="933"/>
      <c r="B644" s="933"/>
      <c r="C644" s="933"/>
      <c r="D644" s="933"/>
      <c r="E644" s="933"/>
      <c r="F644" s="933"/>
      <c r="G644" s="933"/>
      <c r="H644" s="933"/>
      <c r="I644" s="933"/>
      <c r="J644" s="933"/>
      <c r="K644" s="933"/>
      <c r="L644" s="933"/>
      <c r="M644" s="933"/>
      <c r="N644" s="933"/>
      <c r="O644" s="933"/>
      <c r="P644" s="933"/>
      <c r="Q644" s="933"/>
      <c r="R644" s="933"/>
      <c r="S644" s="933"/>
      <c r="T644" s="933"/>
      <c r="U644" s="933"/>
      <c r="V644" s="933"/>
      <c r="W644" s="933"/>
      <c r="X644" s="933"/>
      <c r="Y644" s="933"/>
      <c r="Z644" s="933"/>
      <c r="AA644" s="933"/>
      <c r="AB644" s="933"/>
      <c r="AC644" s="933"/>
      <c r="AD644" s="933"/>
      <c r="AE644" s="933"/>
    </row>
    <row r="645" spans="1:31" ht="12.75">
      <c r="A645" s="933"/>
      <c r="B645" s="933"/>
      <c r="C645" s="933"/>
      <c r="D645" s="933"/>
      <c r="E645" s="933"/>
      <c r="F645" s="933"/>
      <c r="G645" s="933"/>
      <c r="H645" s="933"/>
      <c r="I645" s="933"/>
      <c r="J645" s="933"/>
      <c r="K645" s="933"/>
      <c r="L645" s="933"/>
      <c r="M645" s="933"/>
      <c r="N645" s="933"/>
      <c r="O645" s="933"/>
      <c r="P645" s="933"/>
      <c r="Q645" s="933"/>
      <c r="R645" s="933"/>
      <c r="S645" s="933"/>
      <c r="T645" s="933"/>
      <c r="U645" s="933"/>
      <c r="V645" s="933"/>
      <c r="W645" s="933"/>
      <c r="X645" s="933"/>
      <c r="Y645" s="933"/>
      <c r="Z645" s="933"/>
      <c r="AA645" s="933"/>
      <c r="AB645" s="933"/>
      <c r="AC645" s="933"/>
      <c r="AD645" s="933"/>
      <c r="AE645" s="933"/>
    </row>
    <row r="646" spans="1:31" ht="12.75">
      <c r="A646" s="933"/>
      <c r="B646" s="933"/>
      <c r="C646" s="933"/>
      <c r="D646" s="933"/>
      <c r="E646" s="933"/>
      <c r="F646" s="933"/>
      <c r="G646" s="933"/>
      <c r="H646" s="933"/>
      <c r="I646" s="933"/>
      <c r="J646" s="933"/>
      <c r="K646" s="933"/>
      <c r="L646" s="933"/>
      <c r="M646" s="933"/>
      <c r="N646" s="933"/>
      <c r="O646" s="933"/>
      <c r="P646" s="933"/>
      <c r="Q646" s="933"/>
      <c r="R646" s="933"/>
      <c r="S646" s="933"/>
      <c r="T646" s="933"/>
      <c r="U646" s="933"/>
      <c r="V646" s="933"/>
      <c r="W646" s="933"/>
      <c r="X646" s="933"/>
      <c r="Y646" s="933"/>
      <c r="Z646" s="933"/>
      <c r="AA646" s="933"/>
      <c r="AB646" s="933"/>
      <c r="AC646" s="933"/>
      <c r="AD646" s="933"/>
      <c r="AE646" s="933"/>
    </row>
    <row r="647" spans="1:31" ht="12.75">
      <c r="A647" s="933"/>
      <c r="B647" s="933"/>
      <c r="C647" s="933"/>
      <c r="D647" s="933"/>
      <c r="E647" s="933"/>
      <c r="F647" s="933"/>
      <c r="G647" s="933"/>
      <c r="H647" s="933"/>
      <c r="I647" s="933"/>
      <c r="J647" s="933"/>
      <c r="K647" s="933"/>
      <c r="L647" s="933"/>
      <c r="M647" s="933"/>
      <c r="N647" s="933"/>
      <c r="O647" s="933"/>
      <c r="P647" s="933"/>
      <c r="Q647" s="933"/>
      <c r="R647" s="933"/>
      <c r="S647" s="933"/>
      <c r="T647" s="933"/>
      <c r="U647" s="933"/>
      <c r="V647" s="933"/>
      <c r="W647" s="933"/>
      <c r="X647" s="933"/>
      <c r="Y647" s="933"/>
      <c r="Z647" s="933"/>
      <c r="AA647" s="933"/>
      <c r="AB647" s="933"/>
      <c r="AC647" s="933"/>
      <c r="AD647" s="933"/>
      <c r="AE647" s="933"/>
    </row>
    <row r="648" spans="1:31" ht="12.75">
      <c r="A648" s="933"/>
      <c r="B648" s="933"/>
      <c r="C648" s="933"/>
      <c r="D648" s="933"/>
      <c r="E648" s="933"/>
      <c r="F648" s="933"/>
      <c r="G648" s="933"/>
      <c r="H648" s="933"/>
      <c r="I648" s="933"/>
      <c r="J648" s="933"/>
      <c r="K648" s="933"/>
      <c r="L648" s="933"/>
      <c r="M648" s="933"/>
      <c r="N648" s="933"/>
      <c r="O648" s="933"/>
      <c r="P648" s="933"/>
      <c r="Q648" s="933"/>
      <c r="R648" s="933"/>
      <c r="S648" s="933"/>
      <c r="T648" s="933"/>
      <c r="U648" s="933"/>
      <c r="V648" s="933"/>
      <c r="W648" s="933"/>
      <c r="X648" s="933"/>
      <c r="Y648" s="933"/>
      <c r="Z648" s="933"/>
      <c r="AA648" s="933"/>
      <c r="AB648" s="933"/>
      <c r="AC648" s="933"/>
      <c r="AD648" s="933"/>
      <c r="AE648" s="933"/>
    </row>
    <row r="649" spans="1:31" ht="12.75">
      <c r="A649" s="933"/>
      <c r="B649" s="933"/>
      <c r="C649" s="933"/>
      <c r="D649" s="933"/>
      <c r="E649" s="933"/>
      <c r="F649" s="933"/>
      <c r="G649" s="933"/>
      <c r="H649" s="933"/>
      <c r="I649" s="933"/>
      <c r="J649" s="933"/>
      <c r="K649" s="933"/>
      <c r="L649" s="933"/>
      <c r="M649" s="933"/>
      <c r="N649" s="933"/>
      <c r="O649" s="933"/>
      <c r="P649" s="933"/>
      <c r="Q649" s="933"/>
      <c r="R649" s="933"/>
      <c r="S649" s="933"/>
      <c r="T649" s="933"/>
      <c r="U649" s="933"/>
      <c r="V649" s="933"/>
      <c r="W649" s="933"/>
      <c r="X649" s="933"/>
      <c r="Y649" s="933"/>
      <c r="Z649" s="933"/>
      <c r="AA649" s="933"/>
      <c r="AB649" s="933"/>
      <c r="AC649" s="933"/>
      <c r="AD649" s="933"/>
      <c r="AE649" s="933"/>
    </row>
    <row r="650" spans="1:31" ht="12.75">
      <c r="A650" s="933"/>
      <c r="B650" s="933"/>
      <c r="C650" s="933"/>
      <c r="D650" s="933"/>
      <c r="E650" s="933"/>
      <c r="F650" s="933"/>
      <c r="G650" s="933"/>
      <c r="H650" s="933"/>
      <c r="I650" s="933"/>
      <c r="J650" s="933"/>
      <c r="K650" s="933"/>
      <c r="L650" s="933"/>
      <c r="M650" s="933"/>
      <c r="N650" s="933"/>
      <c r="O650" s="933"/>
      <c r="P650" s="933"/>
      <c r="Q650" s="933"/>
      <c r="R650" s="933"/>
      <c r="S650" s="933"/>
      <c r="T650" s="933"/>
      <c r="U650" s="933"/>
      <c r="V650" s="933"/>
      <c r="W650" s="933"/>
      <c r="X650" s="933"/>
      <c r="Y650" s="933"/>
      <c r="Z650" s="933"/>
      <c r="AA650" s="933"/>
      <c r="AB650" s="933"/>
      <c r="AC650" s="933"/>
      <c r="AD650" s="933"/>
      <c r="AE650" s="933"/>
    </row>
    <row r="651" spans="1:31" ht="12.75">
      <c r="A651" s="933"/>
      <c r="B651" s="933"/>
      <c r="C651" s="933"/>
      <c r="D651" s="933"/>
      <c r="E651" s="933"/>
      <c r="F651" s="933"/>
      <c r="G651" s="933"/>
      <c r="H651" s="933"/>
      <c r="I651" s="933"/>
      <c r="J651" s="933"/>
      <c r="K651" s="933"/>
      <c r="L651" s="933"/>
      <c r="M651" s="933"/>
      <c r="N651" s="933"/>
      <c r="O651" s="933"/>
      <c r="P651" s="933"/>
      <c r="Q651" s="933"/>
      <c r="R651" s="933"/>
      <c r="S651" s="933"/>
      <c r="T651" s="933"/>
      <c r="U651" s="933"/>
      <c r="V651" s="933"/>
      <c r="W651" s="933"/>
      <c r="X651" s="933"/>
      <c r="Y651" s="933"/>
      <c r="Z651" s="933"/>
      <c r="AA651" s="933"/>
      <c r="AB651" s="933"/>
      <c r="AC651" s="933"/>
      <c r="AD651" s="933"/>
      <c r="AE651" s="933"/>
    </row>
    <row r="652" spans="1:31" ht="12.75">
      <c r="A652" s="933"/>
      <c r="B652" s="933"/>
      <c r="C652" s="933"/>
      <c r="D652" s="933"/>
      <c r="E652" s="933"/>
      <c r="F652" s="933"/>
      <c r="G652" s="933"/>
      <c r="H652" s="933"/>
      <c r="I652" s="933"/>
      <c r="J652" s="933"/>
      <c r="K652" s="933"/>
      <c r="L652" s="933"/>
      <c r="M652" s="933"/>
      <c r="N652" s="933"/>
      <c r="O652" s="933"/>
      <c r="P652" s="933"/>
      <c r="Q652" s="933"/>
      <c r="R652" s="933"/>
      <c r="S652" s="933"/>
      <c r="T652" s="933"/>
      <c r="U652" s="933"/>
      <c r="V652" s="933"/>
      <c r="W652" s="933"/>
      <c r="X652" s="933"/>
      <c r="Y652" s="933"/>
      <c r="Z652" s="933"/>
      <c r="AA652" s="933"/>
      <c r="AB652" s="933"/>
      <c r="AC652" s="933"/>
      <c r="AD652" s="933"/>
      <c r="AE652" s="933"/>
    </row>
    <row r="653" spans="1:31" ht="12.75">
      <c r="A653" s="933"/>
      <c r="B653" s="933"/>
      <c r="C653" s="933"/>
      <c r="D653" s="933"/>
      <c r="E653" s="933"/>
      <c r="F653" s="933"/>
      <c r="G653" s="933"/>
      <c r="H653" s="933"/>
      <c r="I653" s="933"/>
      <c r="J653" s="933"/>
      <c r="K653" s="933"/>
      <c r="L653" s="933"/>
      <c r="M653" s="933"/>
      <c r="N653" s="933"/>
      <c r="O653" s="933"/>
      <c r="P653" s="933"/>
      <c r="Q653" s="933"/>
      <c r="R653" s="933"/>
      <c r="S653" s="933"/>
      <c r="T653" s="933"/>
      <c r="U653" s="933"/>
      <c r="V653" s="933"/>
      <c r="W653" s="933"/>
      <c r="X653" s="933"/>
      <c r="Y653" s="933"/>
      <c r="Z653" s="933"/>
      <c r="AA653" s="933"/>
      <c r="AB653" s="933"/>
      <c r="AC653" s="933"/>
      <c r="AD653" s="933"/>
      <c r="AE653" s="933"/>
    </row>
    <row r="654" spans="1:31" ht="12.75">
      <c r="A654" s="933"/>
      <c r="B654" s="933"/>
      <c r="C654" s="933"/>
      <c r="D654" s="933"/>
      <c r="E654" s="933"/>
      <c r="F654" s="933"/>
      <c r="G654" s="933"/>
      <c r="H654" s="933"/>
      <c r="I654" s="933"/>
      <c r="J654" s="933"/>
      <c r="K654" s="933"/>
      <c r="L654" s="933"/>
      <c r="M654" s="933"/>
      <c r="N654" s="933"/>
      <c r="O654" s="933"/>
      <c r="P654" s="933"/>
      <c r="Q654" s="933"/>
      <c r="R654" s="933"/>
      <c r="S654" s="933"/>
      <c r="T654" s="933"/>
      <c r="U654" s="933"/>
      <c r="V654" s="933"/>
      <c r="W654" s="933"/>
      <c r="X654" s="933"/>
      <c r="Y654" s="933"/>
      <c r="Z654" s="933"/>
      <c r="AA654" s="933"/>
      <c r="AB654" s="933"/>
      <c r="AC654" s="933"/>
      <c r="AD654" s="933"/>
      <c r="AE654" s="933"/>
    </row>
    <row r="655" spans="1:31" ht="12.75">
      <c r="A655" s="933"/>
      <c r="B655" s="933"/>
      <c r="C655" s="933"/>
      <c r="D655" s="933"/>
      <c r="E655" s="933"/>
      <c r="F655" s="933"/>
      <c r="G655" s="933"/>
      <c r="H655" s="933"/>
      <c r="I655" s="933"/>
      <c r="J655" s="933"/>
      <c r="K655" s="933"/>
      <c r="L655" s="933"/>
      <c r="M655" s="933"/>
      <c r="N655" s="933"/>
      <c r="O655" s="933"/>
      <c r="P655" s="933"/>
      <c r="Q655" s="933"/>
      <c r="R655" s="933"/>
      <c r="S655" s="933"/>
      <c r="T655" s="933"/>
      <c r="U655" s="933"/>
      <c r="V655" s="933"/>
      <c r="W655" s="933"/>
      <c r="X655" s="933"/>
      <c r="Y655" s="933"/>
      <c r="Z655" s="933"/>
      <c r="AA655" s="933"/>
      <c r="AB655" s="933"/>
      <c r="AC655" s="933"/>
      <c r="AD655" s="933"/>
      <c r="AE655" s="933"/>
    </row>
    <row r="656" spans="1:31" ht="12.75">
      <c r="A656" s="933"/>
      <c r="B656" s="933"/>
      <c r="C656" s="933"/>
      <c r="D656" s="933"/>
      <c r="E656" s="933"/>
      <c r="F656" s="933"/>
      <c r="G656" s="933"/>
      <c r="H656" s="933"/>
      <c r="I656" s="933"/>
      <c r="J656" s="933"/>
      <c r="K656" s="933"/>
      <c r="L656" s="933"/>
      <c r="M656" s="933"/>
      <c r="N656" s="933"/>
      <c r="O656" s="933"/>
      <c r="P656" s="933"/>
      <c r="Q656" s="933"/>
      <c r="R656" s="933"/>
      <c r="S656" s="933"/>
      <c r="T656" s="933"/>
      <c r="U656" s="933"/>
      <c r="V656" s="933"/>
      <c r="W656" s="933"/>
      <c r="X656" s="933"/>
      <c r="Y656" s="933"/>
      <c r="Z656" s="933"/>
      <c r="AA656" s="933"/>
      <c r="AB656" s="933"/>
      <c r="AC656" s="933"/>
      <c r="AD656" s="933"/>
      <c r="AE656" s="933"/>
    </row>
    <row r="657" spans="1:31" ht="12.75">
      <c r="A657" s="933"/>
      <c r="B657" s="933"/>
      <c r="C657" s="933"/>
      <c r="D657" s="933"/>
      <c r="E657" s="933"/>
      <c r="F657" s="933"/>
      <c r="G657" s="933"/>
      <c r="H657" s="933"/>
      <c r="I657" s="933"/>
      <c r="J657" s="933"/>
      <c r="K657" s="933"/>
      <c r="L657" s="933"/>
      <c r="M657" s="933"/>
      <c r="N657" s="933"/>
      <c r="O657" s="933"/>
      <c r="P657" s="933"/>
      <c r="Q657" s="933"/>
      <c r="R657" s="933"/>
      <c r="S657" s="933"/>
      <c r="T657" s="933"/>
      <c r="U657" s="933"/>
      <c r="V657" s="933"/>
      <c r="W657" s="933"/>
      <c r="X657" s="933"/>
      <c r="Y657" s="933"/>
      <c r="Z657" s="933"/>
      <c r="AA657" s="933"/>
      <c r="AB657" s="933"/>
      <c r="AC657" s="933"/>
      <c r="AD657" s="933"/>
      <c r="AE657" s="933"/>
    </row>
    <row r="658" spans="1:31" ht="12.75">
      <c r="A658" s="933"/>
      <c r="B658" s="933"/>
      <c r="C658" s="933"/>
      <c r="D658" s="933"/>
      <c r="E658" s="933"/>
      <c r="F658" s="933"/>
      <c r="G658" s="933"/>
      <c r="H658" s="933"/>
      <c r="I658" s="933"/>
      <c r="J658" s="933"/>
      <c r="K658" s="933"/>
      <c r="L658" s="933"/>
      <c r="M658" s="933"/>
      <c r="N658" s="933"/>
      <c r="O658" s="933"/>
      <c r="P658" s="933"/>
      <c r="Q658" s="933"/>
      <c r="R658" s="933"/>
      <c r="S658" s="933"/>
      <c r="T658" s="933"/>
      <c r="U658" s="933"/>
      <c r="V658" s="933"/>
      <c r="W658" s="933"/>
      <c r="X658" s="933"/>
      <c r="Y658" s="933"/>
      <c r="Z658" s="933"/>
      <c r="AA658" s="933"/>
      <c r="AB658" s="933"/>
      <c r="AC658" s="933"/>
      <c r="AD658" s="933"/>
      <c r="AE658" s="933"/>
    </row>
    <row r="659" spans="1:31" ht="12.75">
      <c r="A659" s="933"/>
      <c r="B659" s="933"/>
      <c r="C659" s="933"/>
      <c r="D659" s="933"/>
      <c r="E659" s="933"/>
      <c r="F659" s="933"/>
      <c r="G659" s="933"/>
      <c r="H659" s="933"/>
      <c r="I659" s="933"/>
      <c r="J659" s="933"/>
      <c r="K659" s="933"/>
      <c r="L659" s="933"/>
      <c r="M659" s="933"/>
      <c r="N659" s="933"/>
      <c r="O659" s="933"/>
      <c r="P659" s="933"/>
      <c r="Q659" s="933"/>
      <c r="R659" s="933"/>
      <c r="S659" s="933"/>
      <c r="T659" s="933"/>
      <c r="U659" s="933"/>
      <c r="V659" s="933"/>
      <c r="W659" s="933"/>
      <c r="X659" s="933"/>
      <c r="Y659" s="933"/>
      <c r="Z659" s="933"/>
      <c r="AA659" s="933"/>
      <c r="AB659" s="933"/>
      <c r="AC659" s="933"/>
      <c r="AD659" s="933"/>
      <c r="AE659" s="933"/>
    </row>
    <row r="660" spans="1:31" ht="12.75">
      <c r="A660" s="933"/>
      <c r="B660" s="933"/>
      <c r="C660" s="933"/>
      <c r="D660" s="933"/>
      <c r="E660" s="933"/>
      <c r="F660" s="933"/>
      <c r="G660" s="933"/>
      <c r="H660" s="933"/>
      <c r="I660" s="933"/>
      <c r="J660" s="933"/>
      <c r="K660" s="933"/>
      <c r="L660" s="933"/>
      <c r="M660" s="933"/>
      <c r="N660" s="933"/>
      <c r="O660" s="933"/>
      <c r="P660" s="933"/>
      <c r="Q660" s="933"/>
      <c r="R660" s="933"/>
      <c r="S660" s="933"/>
      <c r="T660" s="933"/>
      <c r="U660" s="933"/>
      <c r="V660" s="933"/>
      <c r="W660" s="933"/>
      <c r="X660" s="933"/>
      <c r="Y660" s="933"/>
      <c r="Z660" s="933"/>
      <c r="AA660" s="933"/>
      <c r="AB660" s="933"/>
      <c r="AC660" s="933"/>
      <c r="AD660" s="933"/>
      <c r="AE660" s="933"/>
    </row>
    <row r="661" spans="1:31" ht="12.75">
      <c r="A661" s="933"/>
      <c r="B661" s="933"/>
      <c r="C661" s="933"/>
      <c r="D661" s="933"/>
      <c r="E661" s="933"/>
      <c r="F661" s="933"/>
      <c r="G661" s="933"/>
      <c r="H661" s="933"/>
      <c r="I661" s="933"/>
      <c r="J661" s="933"/>
      <c r="K661" s="933"/>
      <c r="L661" s="933"/>
      <c r="M661" s="933"/>
      <c r="N661" s="933"/>
      <c r="O661" s="933"/>
      <c r="P661" s="933"/>
      <c r="Q661" s="933"/>
      <c r="R661" s="933"/>
      <c r="S661" s="933"/>
      <c r="T661" s="933"/>
      <c r="U661" s="933"/>
      <c r="V661" s="933"/>
      <c r="W661" s="933"/>
      <c r="X661" s="933"/>
      <c r="Y661" s="933"/>
      <c r="Z661" s="933"/>
      <c r="AA661" s="933"/>
      <c r="AB661" s="933"/>
      <c r="AC661" s="933"/>
      <c r="AD661" s="933"/>
      <c r="AE661" s="933"/>
    </row>
    <row r="662" spans="1:31" ht="12.75">
      <c r="A662" s="933"/>
      <c r="B662" s="933"/>
      <c r="C662" s="933"/>
      <c r="D662" s="933"/>
      <c r="E662" s="933"/>
      <c r="F662" s="933"/>
      <c r="G662" s="933"/>
      <c r="H662" s="933"/>
      <c r="I662" s="933"/>
      <c r="J662" s="933"/>
      <c r="K662" s="933"/>
      <c r="L662" s="933"/>
      <c r="M662" s="933"/>
      <c r="N662" s="933"/>
      <c r="O662" s="933"/>
      <c r="P662" s="933"/>
      <c r="Q662" s="933"/>
      <c r="R662" s="933"/>
      <c r="S662" s="933"/>
      <c r="T662" s="933"/>
      <c r="U662" s="933"/>
      <c r="V662" s="933"/>
      <c r="W662" s="933"/>
      <c r="X662" s="933"/>
      <c r="Y662" s="933"/>
      <c r="Z662" s="933"/>
      <c r="AA662" s="933"/>
      <c r="AB662" s="933"/>
      <c r="AC662" s="933"/>
      <c r="AD662" s="933"/>
      <c r="AE662" s="933"/>
    </row>
    <row r="663" spans="1:31" ht="12.75">
      <c r="A663" s="933"/>
      <c r="B663" s="933"/>
      <c r="C663" s="933"/>
      <c r="D663" s="933"/>
      <c r="E663" s="933"/>
      <c r="F663" s="933"/>
      <c r="G663" s="933"/>
      <c r="H663" s="933"/>
      <c r="I663" s="933"/>
      <c r="J663" s="933"/>
      <c r="K663" s="933"/>
      <c r="L663" s="933"/>
      <c r="M663" s="933"/>
      <c r="N663" s="933"/>
      <c r="O663" s="933"/>
      <c r="P663" s="933"/>
      <c r="Q663" s="933"/>
      <c r="R663" s="933"/>
      <c r="S663" s="933"/>
      <c r="T663" s="933"/>
      <c r="U663" s="933"/>
      <c r="V663" s="933"/>
      <c r="W663" s="933"/>
      <c r="X663" s="933"/>
      <c r="Y663" s="933"/>
      <c r="Z663" s="933"/>
      <c r="AA663" s="933"/>
      <c r="AB663" s="933"/>
      <c r="AC663" s="933"/>
      <c r="AD663" s="933"/>
      <c r="AE663" s="933"/>
    </row>
    <row r="664" spans="1:31" ht="12.75">
      <c r="A664" s="933"/>
      <c r="B664" s="933"/>
      <c r="C664" s="933"/>
      <c r="D664" s="933"/>
      <c r="E664" s="933"/>
      <c r="F664" s="933"/>
      <c r="G664" s="933"/>
      <c r="H664" s="933"/>
      <c r="I664" s="933"/>
      <c r="J664" s="933"/>
      <c r="K664" s="933"/>
      <c r="L664" s="933"/>
      <c r="M664" s="933"/>
      <c r="N664" s="933"/>
      <c r="O664" s="933"/>
      <c r="P664" s="933"/>
      <c r="Q664" s="933"/>
      <c r="R664" s="933"/>
      <c r="S664" s="933"/>
      <c r="T664" s="933"/>
      <c r="U664" s="933"/>
      <c r="V664" s="933"/>
      <c r="W664" s="933"/>
      <c r="X664" s="933"/>
      <c r="Y664" s="933"/>
      <c r="Z664" s="933"/>
      <c r="AA664" s="933"/>
      <c r="AB664" s="933"/>
      <c r="AC664" s="933"/>
      <c r="AD664" s="933"/>
      <c r="AE664" s="933"/>
    </row>
    <row r="665" spans="1:31" ht="12.75">
      <c r="A665" s="933"/>
      <c r="B665" s="933"/>
      <c r="C665" s="933"/>
      <c r="D665" s="933"/>
      <c r="E665" s="933"/>
      <c r="F665" s="933"/>
      <c r="G665" s="933"/>
      <c r="H665" s="933"/>
      <c r="I665" s="933"/>
      <c r="J665" s="933"/>
      <c r="K665" s="933"/>
      <c r="L665" s="933"/>
      <c r="M665" s="933"/>
      <c r="N665" s="933"/>
      <c r="O665" s="933"/>
      <c r="P665" s="933"/>
      <c r="Q665" s="933"/>
      <c r="R665" s="933"/>
      <c r="S665" s="933"/>
      <c r="T665" s="933"/>
      <c r="U665" s="933"/>
      <c r="V665" s="933"/>
      <c r="W665" s="933"/>
      <c r="X665" s="933"/>
      <c r="Y665" s="933"/>
      <c r="Z665" s="933"/>
      <c r="AA665" s="933"/>
      <c r="AB665" s="933"/>
      <c r="AC665" s="933"/>
      <c r="AD665" s="933"/>
      <c r="AE665" s="933"/>
    </row>
    <row r="666" spans="1:31" ht="12.75">
      <c r="A666" s="933"/>
      <c r="B666" s="933"/>
      <c r="C666" s="933"/>
      <c r="D666" s="933"/>
      <c r="E666" s="933"/>
      <c r="F666" s="933"/>
      <c r="G666" s="933"/>
      <c r="H666" s="933"/>
      <c r="I666" s="933"/>
      <c r="J666" s="933"/>
      <c r="K666" s="933"/>
      <c r="L666" s="933"/>
      <c r="M666" s="933"/>
      <c r="N666" s="933"/>
      <c r="O666" s="933"/>
      <c r="P666" s="933"/>
      <c r="Q666" s="933"/>
      <c r="R666" s="933"/>
      <c r="S666" s="933"/>
      <c r="T666" s="933"/>
      <c r="U666" s="933"/>
      <c r="V666" s="933"/>
      <c r="W666" s="933"/>
      <c r="X666" s="933"/>
      <c r="Y666" s="933"/>
      <c r="Z666" s="933"/>
      <c r="AA666" s="933"/>
      <c r="AB666" s="933"/>
      <c r="AC666" s="933"/>
      <c r="AD666" s="933"/>
      <c r="AE666" s="933"/>
    </row>
    <row r="667" spans="1:31" ht="12.75">
      <c r="A667" s="933"/>
      <c r="B667" s="933"/>
      <c r="C667" s="933"/>
      <c r="D667" s="933"/>
      <c r="E667" s="933"/>
      <c r="F667" s="933"/>
      <c r="G667" s="933"/>
      <c r="H667" s="933"/>
      <c r="I667" s="933"/>
      <c r="J667" s="933"/>
      <c r="K667" s="933"/>
      <c r="L667" s="933"/>
      <c r="M667" s="933"/>
      <c r="N667" s="933"/>
      <c r="O667" s="933"/>
      <c r="P667" s="933"/>
      <c r="Q667" s="933"/>
      <c r="R667" s="933"/>
      <c r="S667" s="933"/>
      <c r="T667" s="933"/>
      <c r="U667" s="933"/>
      <c r="V667" s="933"/>
      <c r="W667" s="933"/>
      <c r="X667" s="933"/>
      <c r="Y667" s="933"/>
      <c r="Z667" s="933"/>
      <c r="AA667" s="933"/>
      <c r="AB667" s="933"/>
      <c r="AC667" s="933"/>
      <c r="AD667" s="933"/>
      <c r="AE667" s="933"/>
    </row>
    <row r="668" spans="1:31" ht="12.75">
      <c r="A668" s="933"/>
      <c r="B668" s="933"/>
      <c r="C668" s="933"/>
      <c r="D668" s="933"/>
      <c r="E668" s="933"/>
      <c r="F668" s="933"/>
      <c r="G668" s="933"/>
      <c r="H668" s="933"/>
      <c r="I668" s="933"/>
      <c r="J668" s="933"/>
      <c r="K668" s="933"/>
      <c r="L668" s="933"/>
      <c r="M668" s="933"/>
      <c r="N668" s="933"/>
      <c r="O668" s="933"/>
      <c r="P668" s="933"/>
      <c r="Q668" s="933"/>
      <c r="R668" s="933"/>
      <c r="S668" s="933"/>
      <c r="T668" s="933"/>
      <c r="U668" s="933"/>
      <c r="V668" s="933"/>
      <c r="W668" s="933"/>
      <c r="X668" s="933"/>
      <c r="Y668" s="933"/>
      <c r="Z668" s="933"/>
      <c r="AA668" s="933"/>
      <c r="AB668" s="933"/>
      <c r="AC668" s="933"/>
      <c r="AD668" s="933"/>
      <c r="AE668" s="933"/>
    </row>
    <row r="669" spans="1:31" ht="12.75">
      <c r="A669" s="933"/>
      <c r="B669" s="933"/>
      <c r="C669" s="933"/>
      <c r="D669" s="933"/>
      <c r="E669" s="933"/>
      <c r="F669" s="933"/>
      <c r="G669" s="933"/>
      <c r="H669" s="933"/>
      <c r="I669" s="933"/>
      <c r="J669" s="933"/>
      <c r="K669" s="933"/>
      <c r="L669" s="933"/>
      <c r="M669" s="933"/>
      <c r="N669" s="933"/>
      <c r="O669" s="933"/>
      <c r="P669" s="933"/>
      <c r="Q669" s="933"/>
      <c r="R669" s="933"/>
      <c r="S669" s="933"/>
      <c r="T669" s="933"/>
      <c r="U669" s="933"/>
      <c r="V669" s="933"/>
      <c r="W669" s="933"/>
      <c r="X669" s="933"/>
      <c r="Y669" s="933"/>
      <c r="Z669" s="933"/>
      <c r="AA669" s="933"/>
      <c r="AB669" s="933"/>
      <c r="AC669" s="933"/>
      <c r="AD669" s="933"/>
      <c r="AE669" s="933"/>
    </row>
    <row r="670" spans="1:31" ht="12.75">
      <c r="A670" s="933"/>
      <c r="B670" s="933"/>
      <c r="C670" s="933"/>
      <c r="D670" s="933"/>
      <c r="E670" s="933"/>
      <c r="F670" s="933"/>
      <c r="G670" s="933"/>
      <c r="H670" s="933"/>
      <c r="I670" s="933"/>
      <c r="J670" s="933"/>
      <c r="K670" s="933"/>
      <c r="L670" s="933"/>
      <c r="M670" s="933"/>
      <c r="N670" s="933"/>
      <c r="O670" s="933"/>
      <c r="P670" s="933"/>
      <c r="Q670" s="933"/>
      <c r="R670" s="933"/>
      <c r="S670" s="933"/>
      <c r="T670" s="933"/>
      <c r="U670" s="933"/>
      <c r="V670" s="933"/>
      <c r="W670" s="933"/>
      <c r="X670" s="933"/>
      <c r="Y670" s="933"/>
      <c r="Z670" s="933"/>
      <c r="AA670" s="933"/>
      <c r="AB670" s="933"/>
      <c r="AC670" s="933"/>
      <c r="AD670" s="933"/>
      <c r="AE670" s="933"/>
    </row>
    <row r="671" spans="1:31" ht="12.75">
      <c r="A671" s="933"/>
      <c r="B671" s="933"/>
      <c r="C671" s="933"/>
      <c r="D671" s="933"/>
      <c r="E671" s="933"/>
      <c r="F671" s="933"/>
      <c r="G671" s="933"/>
      <c r="H671" s="933"/>
      <c r="I671" s="933"/>
      <c r="J671" s="933"/>
      <c r="K671" s="933"/>
      <c r="L671" s="933"/>
      <c r="M671" s="933"/>
      <c r="N671" s="933"/>
      <c r="O671" s="933"/>
      <c r="P671" s="933"/>
      <c r="Q671" s="933"/>
      <c r="R671" s="933"/>
      <c r="S671" s="933"/>
      <c r="T671" s="933"/>
      <c r="U671" s="933"/>
      <c r="V671" s="933"/>
      <c r="W671" s="933"/>
      <c r="X671" s="933"/>
      <c r="Y671" s="933"/>
      <c r="Z671" s="933"/>
      <c r="AA671" s="933"/>
      <c r="AB671" s="933"/>
      <c r="AC671" s="933"/>
      <c r="AD671" s="933"/>
      <c r="AE671" s="933"/>
    </row>
    <row r="672" spans="1:31" ht="12.75">
      <c r="A672" s="933"/>
      <c r="B672" s="933"/>
      <c r="C672" s="933"/>
      <c r="D672" s="933"/>
      <c r="E672" s="933"/>
      <c r="F672" s="933"/>
      <c r="G672" s="933"/>
      <c r="H672" s="933"/>
      <c r="I672" s="933"/>
      <c r="J672" s="933"/>
      <c r="K672" s="933"/>
      <c r="L672" s="933"/>
      <c r="M672" s="933"/>
      <c r="N672" s="933"/>
      <c r="O672" s="933"/>
      <c r="P672" s="933"/>
      <c r="Q672" s="933"/>
      <c r="R672" s="933"/>
      <c r="S672" s="933"/>
      <c r="T672" s="933"/>
      <c r="U672" s="933"/>
      <c r="V672" s="933"/>
      <c r="W672" s="933"/>
      <c r="X672" s="933"/>
      <c r="Y672" s="933"/>
      <c r="Z672" s="933"/>
      <c r="AA672" s="933"/>
      <c r="AB672" s="933"/>
      <c r="AC672" s="933"/>
      <c r="AD672" s="933"/>
      <c r="AE672" s="933"/>
    </row>
    <row r="673" spans="1:31" ht="12.75">
      <c r="A673" s="933"/>
      <c r="B673" s="933"/>
      <c r="C673" s="933"/>
      <c r="D673" s="933"/>
      <c r="E673" s="933"/>
      <c r="F673" s="933"/>
      <c r="G673" s="933"/>
      <c r="H673" s="933"/>
      <c r="I673" s="933"/>
      <c r="J673" s="933"/>
      <c r="K673" s="933"/>
      <c r="L673" s="933"/>
      <c r="M673" s="933"/>
      <c r="N673" s="933"/>
      <c r="O673" s="933"/>
      <c r="P673" s="933"/>
      <c r="Q673" s="933"/>
      <c r="R673" s="933"/>
      <c r="S673" s="933"/>
      <c r="T673" s="933"/>
      <c r="U673" s="933"/>
      <c r="V673" s="933"/>
      <c r="W673" s="933"/>
      <c r="X673" s="933"/>
      <c r="Y673" s="933"/>
      <c r="Z673" s="933"/>
      <c r="AA673" s="933"/>
      <c r="AB673" s="933"/>
      <c r="AC673" s="933"/>
      <c r="AD673" s="933"/>
      <c r="AE673" s="933"/>
    </row>
    <row r="674" spans="1:31" ht="12.75">
      <c r="A674" s="933"/>
      <c r="B674" s="933"/>
      <c r="C674" s="933"/>
      <c r="D674" s="933"/>
      <c r="E674" s="933"/>
      <c r="F674" s="933"/>
      <c r="G674" s="933"/>
      <c r="H674" s="933"/>
      <c r="I674" s="933"/>
      <c r="J674" s="933"/>
      <c r="K674" s="933"/>
      <c r="L674" s="933"/>
      <c r="M674" s="933"/>
      <c r="N674" s="933"/>
      <c r="O674" s="933"/>
      <c r="P674" s="933"/>
      <c r="Q674" s="933"/>
      <c r="R674" s="933"/>
      <c r="S674" s="933"/>
      <c r="T674" s="933"/>
      <c r="U674" s="933"/>
      <c r="V674" s="933"/>
      <c r="W674" s="933"/>
      <c r="X674" s="933"/>
      <c r="Y674" s="933"/>
      <c r="Z674" s="933"/>
      <c r="AA674" s="933"/>
      <c r="AB674" s="933"/>
      <c r="AC674" s="933"/>
      <c r="AD674" s="933"/>
      <c r="AE674" s="933"/>
    </row>
    <row r="675" spans="1:31" ht="12.75">
      <c r="A675" s="933"/>
      <c r="B675" s="933"/>
      <c r="C675" s="933"/>
      <c r="D675" s="933"/>
      <c r="E675" s="933"/>
      <c r="F675" s="933"/>
      <c r="G675" s="933"/>
      <c r="H675" s="933"/>
      <c r="I675" s="933"/>
      <c r="J675" s="933"/>
      <c r="K675" s="933"/>
      <c r="L675" s="933"/>
      <c r="M675" s="933"/>
      <c r="N675" s="933"/>
      <c r="O675" s="933"/>
      <c r="P675" s="933"/>
      <c r="Q675" s="933"/>
      <c r="R675" s="933"/>
      <c r="S675" s="933"/>
      <c r="T675" s="933"/>
      <c r="U675" s="933"/>
      <c r="V675" s="933"/>
      <c r="W675" s="933"/>
      <c r="X675" s="933"/>
      <c r="Y675" s="933"/>
      <c r="Z675" s="933"/>
      <c r="AA675" s="933"/>
      <c r="AB675" s="933"/>
      <c r="AC675" s="933"/>
      <c r="AD675" s="933"/>
      <c r="AE675" s="933"/>
    </row>
    <row r="676" spans="1:31" ht="12.75">
      <c r="A676" s="933"/>
      <c r="B676" s="933"/>
      <c r="C676" s="933"/>
      <c r="D676" s="933"/>
      <c r="E676" s="933"/>
      <c r="F676" s="933"/>
      <c r="G676" s="933"/>
      <c r="H676" s="933"/>
      <c r="I676" s="933"/>
      <c r="J676" s="933"/>
      <c r="K676" s="933"/>
      <c r="L676" s="933"/>
      <c r="M676" s="933"/>
      <c r="N676" s="933"/>
      <c r="O676" s="933"/>
      <c r="P676" s="933"/>
      <c r="Q676" s="933"/>
      <c r="R676" s="933"/>
      <c r="S676" s="933"/>
      <c r="T676" s="933"/>
      <c r="U676" s="933"/>
      <c r="V676" s="933"/>
      <c r="W676" s="933"/>
      <c r="X676" s="933"/>
      <c r="Y676" s="933"/>
      <c r="Z676" s="933"/>
      <c r="AA676" s="933"/>
      <c r="AB676" s="933"/>
      <c r="AC676" s="933"/>
      <c r="AD676" s="933"/>
      <c r="AE676" s="933"/>
    </row>
    <row r="677" spans="1:31" ht="12.75">
      <c r="A677" s="933"/>
      <c r="B677" s="933"/>
      <c r="C677" s="933"/>
      <c r="D677" s="933"/>
      <c r="E677" s="933"/>
      <c r="F677" s="933"/>
      <c r="G677" s="933"/>
      <c r="H677" s="933"/>
      <c r="I677" s="933"/>
      <c r="J677" s="933"/>
      <c r="K677" s="933"/>
      <c r="L677" s="933"/>
      <c r="M677" s="933"/>
      <c r="N677" s="933"/>
      <c r="O677" s="933"/>
      <c r="P677" s="933"/>
      <c r="Q677" s="933"/>
      <c r="R677" s="933"/>
      <c r="S677" s="933"/>
      <c r="T677" s="933"/>
      <c r="U677" s="933"/>
      <c r="V677" s="933"/>
      <c r="W677" s="933"/>
      <c r="X677" s="933"/>
      <c r="Y677" s="933"/>
      <c r="Z677" s="933"/>
      <c r="AA677" s="933"/>
      <c r="AB677" s="933"/>
      <c r="AC677" s="933"/>
      <c r="AD677" s="933"/>
      <c r="AE677" s="933"/>
    </row>
    <row r="678" spans="1:31" ht="12.75">
      <c r="A678" s="933"/>
      <c r="B678" s="933"/>
      <c r="C678" s="933"/>
      <c r="D678" s="933"/>
      <c r="E678" s="933"/>
      <c r="F678" s="933"/>
      <c r="G678" s="933"/>
      <c r="H678" s="933"/>
      <c r="I678" s="933"/>
      <c r="J678" s="933"/>
      <c r="K678" s="933"/>
      <c r="L678" s="933"/>
      <c r="M678" s="933"/>
      <c r="N678" s="933"/>
      <c r="O678" s="933"/>
      <c r="P678" s="933"/>
      <c r="Q678" s="933"/>
      <c r="R678" s="933"/>
      <c r="S678" s="933"/>
      <c r="T678" s="933"/>
      <c r="U678" s="933"/>
      <c r="V678" s="933"/>
      <c r="W678" s="933"/>
      <c r="X678" s="933"/>
      <c r="Y678" s="933"/>
      <c r="Z678" s="933"/>
      <c r="AA678" s="933"/>
      <c r="AB678" s="933"/>
      <c r="AC678" s="933"/>
      <c r="AD678" s="933"/>
      <c r="AE678" s="933"/>
    </row>
    <row r="679" spans="1:31" ht="12.75">
      <c r="A679" s="933"/>
      <c r="B679" s="933"/>
      <c r="C679" s="933"/>
      <c r="D679" s="933"/>
      <c r="E679" s="933"/>
      <c r="F679" s="933"/>
      <c r="G679" s="933"/>
      <c r="H679" s="933"/>
      <c r="I679" s="933"/>
      <c r="J679" s="933"/>
      <c r="K679" s="933"/>
      <c r="L679" s="933"/>
      <c r="M679" s="933"/>
      <c r="N679" s="933"/>
      <c r="O679" s="933"/>
      <c r="P679" s="933"/>
      <c r="Q679" s="933"/>
      <c r="R679" s="933"/>
      <c r="S679" s="933"/>
      <c r="T679" s="933"/>
      <c r="U679" s="933"/>
      <c r="V679" s="933"/>
      <c r="W679" s="933"/>
      <c r="X679" s="933"/>
      <c r="Y679" s="933"/>
      <c r="Z679" s="933"/>
      <c r="AA679" s="933"/>
      <c r="AB679" s="933"/>
      <c r="AC679" s="933"/>
      <c r="AD679" s="933"/>
      <c r="AE679" s="933"/>
    </row>
    <row r="680" spans="1:31" ht="12.75">
      <c r="A680" s="933"/>
      <c r="B680" s="933"/>
      <c r="C680" s="933"/>
      <c r="D680" s="933"/>
      <c r="E680" s="933"/>
      <c r="F680" s="933"/>
      <c r="G680" s="933"/>
      <c r="H680" s="933"/>
      <c r="I680" s="933"/>
      <c r="J680" s="933"/>
      <c r="K680" s="933"/>
      <c r="L680" s="933"/>
      <c r="M680" s="933"/>
      <c r="N680" s="933"/>
      <c r="O680" s="933"/>
      <c r="P680" s="933"/>
      <c r="Q680" s="933"/>
      <c r="R680" s="933"/>
      <c r="S680" s="933"/>
      <c r="T680" s="933"/>
      <c r="U680" s="933"/>
      <c r="V680" s="933"/>
      <c r="W680" s="933"/>
      <c r="X680" s="933"/>
      <c r="Y680" s="933"/>
      <c r="Z680" s="933"/>
      <c r="AA680" s="933"/>
      <c r="AB680" s="933"/>
      <c r="AC680" s="933"/>
      <c r="AD680" s="933"/>
      <c r="AE680" s="933"/>
    </row>
    <row r="681" spans="1:31" ht="12.75">
      <c r="A681" s="933"/>
      <c r="B681" s="933"/>
      <c r="C681" s="933"/>
      <c r="D681" s="933"/>
      <c r="E681" s="933"/>
      <c r="F681" s="933"/>
      <c r="G681" s="933"/>
      <c r="H681" s="933"/>
      <c r="I681" s="933"/>
      <c r="J681" s="933"/>
      <c r="K681" s="933"/>
      <c r="L681" s="933"/>
      <c r="M681" s="933"/>
      <c r="N681" s="933"/>
      <c r="O681" s="933"/>
      <c r="P681" s="933"/>
      <c r="Q681" s="933"/>
      <c r="R681" s="933"/>
      <c r="S681" s="933"/>
      <c r="T681" s="933"/>
      <c r="U681" s="933"/>
      <c r="V681" s="933"/>
      <c r="W681" s="933"/>
      <c r="X681" s="933"/>
      <c r="Y681" s="933"/>
      <c r="Z681" s="933"/>
      <c r="AA681" s="933"/>
      <c r="AB681" s="933"/>
      <c r="AC681" s="933"/>
      <c r="AD681" s="933"/>
      <c r="AE681" s="933"/>
    </row>
    <row r="682" spans="1:31" ht="12.75">
      <c r="A682" s="933"/>
      <c r="B682" s="933"/>
      <c r="C682" s="933"/>
      <c r="D682" s="933"/>
      <c r="E682" s="933"/>
      <c r="F682" s="933"/>
      <c r="G682" s="933"/>
      <c r="H682" s="933"/>
      <c r="I682" s="933"/>
      <c r="J682" s="933"/>
      <c r="K682" s="933"/>
      <c r="L682" s="933"/>
      <c r="M682" s="933"/>
      <c r="N682" s="933"/>
      <c r="O682" s="933"/>
      <c r="P682" s="933"/>
      <c r="Q682" s="933"/>
      <c r="R682" s="933"/>
      <c r="S682" s="933"/>
      <c r="T682" s="933"/>
      <c r="U682" s="933"/>
      <c r="V682" s="933"/>
      <c r="W682" s="933"/>
      <c r="X682" s="933"/>
      <c r="Y682" s="933"/>
      <c r="Z682" s="933"/>
      <c r="AA682" s="933"/>
      <c r="AB682" s="933"/>
      <c r="AC682" s="933"/>
      <c r="AD682" s="933"/>
      <c r="AE682" s="933"/>
    </row>
    <row r="683" spans="1:31" ht="12.75">
      <c r="A683" s="933"/>
      <c r="B683" s="933"/>
      <c r="C683" s="933"/>
      <c r="D683" s="933"/>
      <c r="E683" s="933"/>
      <c r="F683" s="933"/>
      <c r="G683" s="933"/>
      <c r="H683" s="933"/>
      <c r="I683" s="933"/>
      <c r="J683" s="933"/>
      <c r="K683" s="933"/>
      <c r="L683" s="933"/>
      <c r="M683" s="933"/>
      <c r="N683" s="933"/>
      <c r="O683" s="933"/>
      <c r="P683" s="933"/>
      <c r="Q683" s="933"/>
      <c r="R683" s="933"/>
      <c r="S683" s="933"/>
      <c r="T683" s="933"/>
      <c r="U683" s="933"/>
      <c r="V683" s="933"/>
      <c r="W683" s="933"/>
      <c r="X683" s="933"/>
      <c r="Y683" s="933"/>
      <c r="Z683" s="933"/>
      <c r="AA683" s="933"/>
      <c r="AB683" s="933"/>
      <c r="AC683" s="933"/>
      <c r="AD683" s="933"/>
      <c r="AE683" s="933"/>
    </row>
    <row r="684" spans="1:31" ht="12.75">
      <c r="A684" s="933"/>
      <c r="B684" s="933"/>
      <c r="C684" s="933"/>
      <c r="D684" s="933"/>
      <c r="E684" s="933"/>
      <c r="F684" s="933"/>
      <c r="G684" s="933"/>
      <c r="H684" s="933"/>
      <c r="I684" s="933"/>
      <c r="J684" s="933"/>
      <c r="K684" s="933"/>
      <c r="L684" s="933"/>
      <c r="M684" s="933"/>
      <c r="N684" s="933"/>
      <c r="O684" s="933"/>
      <c r="P684" s="933"/>
      <c r="Q684" s="933"/>
      <c r="R684" s="933"/>
      <c r="S684" s="933"/>
      <c r="T684" s="933"/>
      <c r="U684" s="933"/>
      <c r="V684" s="933"/>
      <c r="W684" s="933"/>
      <c r="X684" s="933"/>
      <c r="Y684" s="933"/>
      <c r="Z684" s="933"/>
      <c r="AA684" s="933"/>
      <c r="AB684" s="933"/>
      <c r="AC684" s="933"/>
      <c r="AD684" s="933"/>
      <c r="AE684" s="933"/>
    </row>
    <row r="685" spans="1:31" ht="12.75">
      <c r="A685" s="933"/>
      <c r="B685" s="933"/>
      <c r="C685" s="933"/>
      <c r="D685" s="933"/>
      <c r="E685" s="933"/>
      <c r="F685" s="933"/>
      <c r="G685" s="933"/>
      <c r="H685" s="933"/>
      <c r="I685" s="933"/>
      <c r="J685" s="933"/>
      <c r="K685" s="933"/>
      <c r="L685" s="933"/>
      <c r="M685" s="933"/>
      <c r="N685" s="933"/>
      <c r="O685" s="933"/>
      <c r="P685" s="933"/>
      <c r="Q685" s="933"/>
      <c r="R685" s="933"/>
      <c r="S685" s="933"/>
      <c r="T685" s="933"/>
      <c r="U685" s="933"/>
      <c r="V685" s="933"/>
      <c r="W685" s="933"/>
      <c r="X685" s="933"/>
      <c r="Y685" s="933"/>
      <c r="Z685" s="933"/>
      <c r="AA685" s="933"/>
      <c r="AB685" s="933"/>
      <c r="AC685" s="933"/>
      <c r="AD685" s="933"/>
      <c r="AE685" s="933"/>
    </row>
    <row r="686" spans="1:31" ht="12.75">
      <c r="A686" s="933"/>
      <c r="B686" s="933"/>
      <c r="C686" s="933"/>
      <c r="D686" s="933"/>
      <c r="E686" s="933"/>
      <c r="F686" s="933"/>
      <c r="G686" s="933"/>
      <c r="H686" s="933"/>
      <c r="I686" s="933"/>
      <c r="J686" s="933"/>
      <c r="K686" s="933"/>
      <c r="L686" s="933"/>
      <c r="M686" s="933"/>
      <c r="N686" s="933"/>
      <c r="O686" s="933"/>
      <c r="P686" s="933"/>
      <c r="Q686" s="933"/>
      <c r="R686" s="933"/>
      <c r="S686" s="933"/>
      <c r="T686" s="933"/>
      <c r="U686" s="933"/>
      <c r="V686" s="933"/>
      <c r="W686" s="933"/>
      <c r="X686" s="933"/>
      <c r="Y686" s="933"/>
      <c r="Z686" s="933"/>
      <c r="AA686" s="933"/>
      <c r="AB686" s="933"/>
      <c r="AC686" s="933"/>
      <c r="AD686" s="933"/>
      <c r="AE686" s="933"/>
    </row>
    <row r="687" spans="1:31" ht="12.75">
      <c r="A687" s="933"/>
      <c r="B687" s="933"/>
      <c r="C687" s="933"/>
      <c r="D687" s="933"/>
      <c r="E687" s="933"/>
      <c r="F687" s="933"/>
      <c r="G687" s="933"/>
      <c r="H687" s="933"/>
      <c r="I687" s="933"/>
      <c r="J687" s="933"/>
      <c r="K687" s="933"/>
      <c r="L687" s="933"/>
      <c r="M687" s="933"/>
      <c r="N687" s="933"/>
      <c r="O687" s="933"/>
      <c r="P687" s="933"/>
      <c r="Q687" s="933"/>
      <c r="R687" s="933"/>
      <c r="S687" s="933"/>
      <c r="T687" s="933"/>
      <c r="U687" s="933"/>
      <c r="V687" s="933"/>
      <c r="W687" s="933"/>
      <c r="X687" s="933"/>
      <c r="Y687" s="933"/>
      <c r="Z687" s="933"/>
      <c r="AA687" s="933"/>
      <c r="AB687" s="933"/>
      <c r="AC687" s="933"/>
      <c r="AD687" s="933"/>
      <c r="AE687" s="933"/>
    </row>
    <row r="688" spans="1:31" ht="12.75">
      <c r="A688" s="933"/>
      <c r="B688" s="933"/>
      <c r="C688" s="933"/>
      <c r="D688" s="933"/>
      <c r="E688" s="933"/>
      <c r="F688" s="933"/>
      <c r="G688" s="933"/>
      <c r="H688" s="933"/>
      <c r="I688" s="933"/>
      <c r="J688" s="933"/>
      <c r="K688" s="933"/>
      <c r="L688" s="933"/>
      <c r="M688" s="933"/>
      <c r="N688" s="933"/>
      <c r="O688" s="933"/>
      <c r="P688" s="933"/>
      <c r="Q688" s="933"/>
      <c r="R688" s="933"/>
      <c r="S688" s="933"/>
      <c r="T688" s="933"/>
      <c r="U688" s="933"/>
      <c r="V688" s="933"/>
      <c r="W688" s="933"/>
      <c r="X688" s="933"/>
      <c r="Y688" s="933"/>
      <c r="Z688" s="933"/>
      <c r="AA688" s="933"/>
      <c r="AB688" s="933"/>
      <c r="AC688" s="933"/>
      <c r="AD688" s="933"/>
      <c r="AE688" s="933"/>
    </row>
    <row r="689" spans="1:31" ht="12.75">
      <c r="A689" s="933"/>
      <c r="B689" s="933"/>
      <c r="C689" s="933"/>
      <c r="D689" s="933"/>
      <c r="E689" s="933"/>
      <c r="F689" s="933"/>
      <c r="G689" s="933"/>
      <c r="H689" s="933"/>
      <c r="I689" s="933"/>
      <c r="J689" s="933"/>
      <c r="K689" s="933"/>
      <c r="L689" s="933"/>
      <c r="M689" s="933"/>
      <c r="N689" s="933"/>
      <c r="O689" s="933"/>
      <c r="P689" s="933"/>
      <c r="Q689" s="933"/>
      <c r="R689" s="933"/>
      <c r="S689" s="933"/>
      <c r="T689" s="933"/>
      <c r="U689" s="933"/>
      <c r="V689" s="933"/>
      <c r="W689" s="933"/>
      <c r="X689" s="933"/>
      <c r="Y689" s="933"/>
      <c r="Z689" s="933"/>
      <c r="AA689" s="933"/>
      <c r="AB689" s="933"/>
      <c r="AC689" s="933"/>
      <c r="AD689" s="933"/>
      <c r="AE689" s="933"/>
    </row>
    <row r="690" spans="1:31" ht="12.75">
      <c r="A690" s="933"/>
      <c r="B690" s="933"/>
      <c r="C690" s="933"/>
      <c r="D690" s="933"/>
      <c r="E690" s="933"/>
      <c r="F690" s="933"/>
      <c r="G690" s="933"/>
      <c r="H690" s="933"/>
      <c r="I690" s="933"/>
      <c r="J690" s="933"/>
      <c r="K690" s="933"/>
      <c r="L690" s="933"/>
      <c r="M690" s="933"/>
      <c r="N690" s="933"/>
      <c r="O690" s="933"/>
      <c r="P690" s="933"/>
      <c r="Q690" s="933"/>
      <c r="R690" s="933"/>
      <c r="S690" s="933"/>
      <c r="T690" s="933"/>
      <c r="U690" s="933"/>
      <c r="V690" s="933"/>
      <c r="W690" s="933"/>
      <c r="X690" s="933"/>
      <c r="Y690" s="933"/>
      <c r="Z690" s="933"/>
      <c r="AA690" s="933"/>
      <c r="AB690" s="933"/>
      <c r="AC690" s="933"/>
      <c r="AD690" s="933"/>
      <c r="AE690" s="933"/>
    </row>
    <row r="691" spans="1:31" ht="12.75">
      <c r="A691" s="933"/>
      <c r="B691" s="933"/>
      <c r="C691" s="933"/>
      <c r="D691" s="933"/>
      <c r="E691" s="933"/>
      <c r="F691" s="933"/>
      <c r="G691" s="933"/>
      <c r="H691" s="933"/>
      <c r="I691" s="933"/>
      <c r="J691" s="933"/>
      <c r="K691" s="933"/>
      <c r="L691" s="933"/>
      <c r="M691" s="933"/>
      <c r="N691" s="933"/>
      <c r="O691" s="933"/>
      <c r="P691" s="933"/>
      <c r="Q691" s="933"/>
      <c r="R691" s="933"/>
      <c r="S691" s="933"/>
      <c r="T691" s="933"/>
      <c r="U691" s="933"/>
      <c r="V691" s="933"/>
      <c r="W691" s="933"/>
      <c r="X691" s="933"/>
      <c r="Y691" s="933"/>
      <c r="Z691" s="933"/>
      <c r="AA691" s="933"/>
      <c r="AB691" s="933"/>
      <c r="AC691" s="933"/>
      <c r="AD691" s="933"/>
      <c r="AE691" s="933"/>
    </row>
    <row r="692" spans="1:31" ht="12.75">
      <c r="A692" s="933"/>
      <c r="B692" s="933"/>
      <c r="C692" s="933"/>
      <c r="D692" s="933"/>
      <c r="E692" s="933"/>
      <c r="F692" s="933"/>
      <c r="G692" s="933"/>
      <c r="H692" s="933"/>
      <c r="I692" s="933"/>
      <c r="J692" s="933"/>
      <c r="K692" s="933"/>
      <c r="L692" s="933"/>
      <c r="M692" s="933"/>
      <c r="N692" s="933"/>
      <c r="O692" s="933"/>
      <c r="P692" s="933"/>
      <c r="Q692" s="933"/>
      <c r="R692" s="933"/>
      <c r="S692" s="933"/>
      <c r="T692" s="933"/>
      <c r="U692" s="933"/>
      <c r="V692" s="933"/>
      <c r="W692" s="933"/>
      <c r="X692" s="933"/>
      <c r="Y692" s="933"/>
      <c r="Z692" s="933"/>
      <c r="AA692" s="933"/>
      <c r="AB692" s="933"/>
      <c r="AC692" s="933"/>
      <c r="AD692" s="933"/>
      <c r="AE692" s="933"/>
    </row>
    <row r="693" spans="1:31" ht="12.75">
      <c r="A693" s="933"/>
      <c r="B693" s="933"/>
      <c r="C693" s="933"/>
      <c r="D693" s="933"/>
      <c r="E693" s="933"/>
      <c r="F693" s="933"/>
      <c r="G693" s="933"/>
      <c r="H693" s="933"/>
      <c r="I693" s="933"/>
      <c r="J693" s="933"/>
      <c r="K693" s="933"/>
      <c r="L693" s="933"/>
      <c r="M693" s="933"/>
      <c r="N693" s="933"/>
      <c r="O693" s="933"/>
      <c r="P693" s="933"/>
      <c r="Q693" s="933"/>
      <c r="R693" s="933"/>
      <c r="S693" s="933"/>
      <c r="T693" s="933"/>
      <c r="U693" s="933"/>
      <c r="V693" s="933"/>
      <c r="W693" s="933"/>
      <c r="X693" s="933"/>
      <c r="Y693" s="933"/>
      <c r="Z693" s="933"/>
      <c r="AA693" s="933"/>
      <c r="AB693" s="933"/>
      <c r="AC693" s="933"/>
      <c r="AD693" s="933"/>
      <c r="AE693" s="933"/>
    </row>
    <row r="694" spans="1:31" ht="12.75">
      <c r="A694" s="933"/>
      <c r="B694" s="933"/>
      <c r="C694" s="933"/>
      <c r="D694" s="933"/>
      <c r="E694" s="933"/>
      <c r="F694" s="933"/>
      <c r="G694" s="933"/>
      <c r="H694" s="933"/>
      <c r="I694" s="933"/>
      <c r="J694" s="933"/>
      <c r="K694" s="933"/>
      <c r="L694" s="933"/>
      <c r="M694" s="933"/>
      <c r="N694" s="933"/>
      <c r="O694" s="933"/>
      <c r="P694" s="933"/>
      <c r="Q694" s="933"/>
      <c r="R694" s="933"/>
      <c r="S694" s="933"/>
      <c r="T694" s="933"/>
      <c r="U694" s="933"/>
      <c r="V694" s="933"/>
      <c r="W694" s="933"/>
      <c r="X694" s="933"/>
      <c r="Y694" s="933"/>
      <c r="Z694" s="933"/>
      <c r="AA694" s="933"/>
      <c r="AB694" s="933"/>
      <c r="AC694" s="933"/>
      <c r="AD694" s="933"/>
      <c r="AE694" s="933"/>
    </row>
    <row r="695" spans="1:31" ht="12.75">
      <c r="A695" s="933"/>
      <c r="B695" s="933"/>
      <c r="C695" s="933"/>
      <c r="D695" s="933"/>
      <c r="E695" s="933"/>
      <c r="F695" s="933"/>
      <c r="G695" s="933"/>
      <c r="H695" s="933"/>
      <c r="I695" s="933"/>
      <c r="J695" s="933"/>
      <c r="K695" s="933"/>
      <c r="L695" s="933"/>
      <c r="M695" s="933"/>
      <c r="N695" s="933"/>
      <c r="O695" s="933"/>
      <c r="P695" s="933"/>
      <c r="Q695" s="933"/>
      <c r="R695" s="933"/>
      <c r="S695" s="933"/>
      <c r="T695" s="933"/>
      <c r="U695" s="933"/>
      <c r="V695" s="933"/>
      <c r="W695" s="933"/>
      <c r="X695" s="933"/>
      <c r="Y695" s="933"/>
      <c r="Z695" s="933"/>
      <c r="AA695" s="933"/>
      <c r="AB695" s="933"/>
      <c r="AC695" s="933"/>
      <c r="AD695" s="933"/>
      <c r="AE695" s="933"/>
    </row>
    <row r="696" spans="1:31" ht="12.75">
      <c r="A696" s="933"/>
      <c r="B696" s="933"/>
      <c r="C696" s="933"/>
      <c r="D696" s="933"/>
      <c r="E696" s="933"/>
      <c r="F696" s="933"/>
      <c r="G696" s="933"/>
      <c r="H696" s="933"/>
      <c r="I696" s="933"/>
      <c r="J696" s="933"/>
      <c r="K696" s="933"/>
      <c r="L696" s="933"/>
      <c r="M696" s="933"/>
      <c r="N696" s="933"/>
      <c r="O696" s="933"/>
      <c r="P696" s="933"/>
      <c r="Q696" s="933"/>
      <c r="R696" s="933"/>
      <c r="S696" s="933"/>
      <c r="T696" s="933"/>
      <c r="U696" s="933"/>
      <c r="V696" s="933"/>
      <c r="W696" s="933"/>
      <c r="X696" s="933"/>
      <c r="Y696" s="933"/>
      <c r="Z696" s="933"/>
      <c r="AA696" s="933"/>
      <c r="AB696" s="933"/>
      <c r="AC696" s="933"/>
      <c r="AD696" s="933"/>
      <c r="AE696" s="933"/>
    </row>
    <row r="697" spans="1:31" ht="12.75">
      <c r="A697" s="933"/>
      <c r="B697" s="933"/>
      <c r="C697" s="933"/>
      <c r="D697" s="933"/>
      <c r="E697" s="933"/>
      <c r="F697" s="933"/>
      <c r="G697" s="933"/>
      <c r="H697" s="933"/>
      <c r="I697" s="933"/>
      <c r="J697" s="933"/>
      <c r="K697" s="933"/>
      <c r="L697" s="933"/>
      <c r="M697" s="933"/>
      <c r="N697" s="933"/>
      <c r="O697" s="933"/>
      <c r="P697" s="933"/>
      <c r="Q697" s="933"/>
      <c r="R697" s="933"/>
      <c r="S697" s="933"/>
      <c r="T697" s="933"/>
      <c r="U697" s="933"/>
      <c r="V697" s="933"/>
      <c r="W697" s="933"/>
      <c r="X697" s="933"/>
      <c r="Y697" s="933"/>
      <c r="Z697" s="933"/>
      <c r="AA697" s="933"/>
      <c r="AB697" s="933"/>
      <c r="AC697" s="933"/>
      <c r="AD697" s="933"/>
      <c r="AE697" s="933"/>
    </row>
    <row r="698" spans="1:31" ht="12.75">
      <c r="A698" s="933"/>
      <c r="B698" s="933"/>
      <c r="C698" s="933"/>
      <c r="D698" s="933"/>
      <c r="E698" s="933"/>
      <c r="F698" s="933"/>
      <c r="G698" s="933"/>
      <c r="H698" s="933"/>
      <c r="I698" s="933"/>
      <c r="J698" s="933"/>
      <c r="K698" s="933"/>
      <c r="L698" s="933"/>
      <c r="M698" s="933"/>
      <c r="N698" s="933"/>
      <c r="O698" s="933"/>
      <c r="P698" s="933"/>
      <c r="Q698" s="933"/>
      <c r="R698" s="933"/>
      <c r="S698" s="933"/>
      <c r="T698" s="933"/>
      <c r="U698" s="933"/>
      <c r="V698" s="933"/>
      <c r="W698" s="933"/>
      <c r="X698" s="933"/>
      <c r="Y698" s="933"/>
      <c r="Z698" s="933"/>
      <c r="AA698" s="933"/>
      <c r="AB698" s="933"/>
      <c r="AC698" s="933"/>
      <c r="AD698" s="933"/>
      <c r="AE698" s="933"/>
    </row>
    <row r="699" spans="1:31" ht="12.75">
      <c r="A699" s="933"/>
      <c r="B699" s="933"/>
      <c r="C699" s="933"/>
      <c r="D699" s="933"/>
      <c r="E699" s="933"/>
      <c r="F699" s="933"/>
      <c r="G699" s="933"/>
      <c r="H699" s="933"/>
      <c r="I699" s="933"/>
      <c r="J699" s="933"/>
      <c r="K699" s="933"/>
      <c r="L699" s="933"/>
      <c r="M699" s="933"/>
      <c r="N699" s="933"/>
      <c r="O699" s="933"/>
      <c r="P699" s="933"/>
      <c r="Q699" s="933"/>
      <c r="R699" s="933"/>
      <c r="S699" s="933"/>
      <c r="T699" s="933"/>
      <c r="U699" s="933"/>
      <c r="V699" s="933"/>
      <c r="W699" s="933"/>
      <c r="X699" s="933"/>
      <c r="Y699" s="933"/>
      <c r="Z699" s="933"/>
      <c r="AA699" s="933"/>
      <c r="AB699" s="933"/>
      <c r="AC699" s="933"/>
      <c r="AD699" s="933"/>
      <c r="AE699" s="933"/>
    </row>
    <row r="700" spans="1:31" ht="12.75">
      <c r="A700" s="933"/>
      <c r="B700" s="933"/>
      <c r="C700" s="933"/>
      <c r="D700" s="933"/>
      <c r="E700" s="933"/>
      <c r="F700" s="933"/>
      <c r="G700" s="933"/>
      <c r="H700" s="933"/>
      <c r="I700" s="933"/>
      <c r="J700" s="933"/>
      <c r="K700" s="933"/>
      <c r="L700" s="933"/>
      <c r="M700" s="933"/>
      <c r="N700" s="933"/>
      <c r="O700" s="933"/>
      <c r="P700" s="933"/>
      <c r="Q700" s="933"/>
      <c r="R700" s="933"/>
      <c r="S700" s="933"/>
      <c r="T700" s="933"/>
      <c r="U700" s="933"/>
      <c r="V700" s="933"/>
      <c r="W700" s="933"/>
      <c r="X700" s="933"/>
      <c r="Y700" s="933"/>
      <c r="Z700" s="933"/>
      <c r="AA700" s="933"/>
      <c r="AB700" s="933"/>
      <c r="AC700" s="933"/>
      <c r="AD700" s="933"/>
      <c r="AE700" s="933"/>
    </row>
    <row r="701" spans="1:31" ht="12.75">
      <c r="A701" s="933"/>
      <c r="B701" s="933"/>
      <c r="C701" s="933"/>
      <c r="D701" s="933"/>
      <c r="E701" s="933"/>
      <c r="F701" s="933"/>
      <c r="G701" s="933"/>
      <c r="H701" s="933"/>
      <c r="I701" s="933"/>
      <c r="J701" s="933"/>
      <c r="K701" s="933"/>
      <c r="L701" s="933"/>
      <c r="M701" s="933"/>
      <c r="N701" s="933"/>
      <c r="O701" s="933"/>
      <c r="P701" s="933"/>
      <c r="Q701" s="933"/>
      <c r="R701" s="933"/>
      <c r="S701" s="933"/>
      <c r="T701" s="933"/>
      <c r="U701" s="933"/>
      <c r="V701" s="933"/>
      <c r="W701" s="933"/>
      <c r="X701" s="933"/>
      <c r="Y701" s="933"/>
      <c r="Z701" s="933"/>
      <c r="AA701" s="933"/>
      <c r="AB701" s="933"/>
      <c r="AC701" s="933"/>
      <c r="AD701" s="933"/>
      <c r="AE701" s="933"/>
    </row>
    <row r="702" spans="1:31" ht="12.75">
      <c r="A702" s="933"/>
      <c r="B702" s="933"/>
      <c r="C702" s="933"/>
      <c r="D702" s="933"/>
      <c r="E702" s="933"/>
      <c r="F702" s="933"/>
      <c r="G702" s="933"/>
      <c r="H702" s="933"/>
      <c r="I702" s="933"/>
      <c r="J702" s="933"/>
      <c r="K702" s="933"/>
      <c r="L702" s="933"/>
      <c r="M702" s="933"/>
      <c r="N702" s="933"/>
      <c r="O702" s="933"/>
      <c r="P702" s="933"/>
      <c r="Q702" s="933"/>
      <c r="R702" s="933"/>
      <c r="S702" s="933"/>
      <c r="T702" s="933"/>
      <c r="U702" s="933"/>
      <c r="V702" s="933"/>
      <c r="W702" s="933"/>
      <c r="X702" s="933"/>
      <c r="Y702" s="933"/>
      <c r="Z702" s="933"/>
      <c r="AA702" s="933"/>
      <c r="AB702" s="933"/>
      <c r="AC702" s="933"/>
      <c r="AD702" s="933"/>
      <c r="AE702" s="933"/>
    </row>
    <row r="703" spans="1:31" ht="12.75">
      <c r="A703" s="933"/>
      <c r="B703" s="933"/>
      <c r="C703" s="933"/>
      <c r="D703" s="933"/>
      <c r="E703" s="933"/>
      <c r="F703" s="933"/>
      <c r="G703" s="933"/>
      <c r="H703" s="933"/>
      <c r="I703" s="933"/>
      <c r="J703" s="933"/>
      <c r="K703" s="933"/>
      <c r="L703" s="933"/>
      <c r="M703" s="933"/>
      <c r="N703" s="933"/>
      <c r="O703" s="933"/>
      <c r="P703" s="933"/>
      <c r="Q703" s="933"/>
      <c r="R703" s="933"/>
      <c r="S703" s="933"/>
      <c r="T703" s="933"/>
      <c r="U703" s="933"/>
      <c r="V703" s="933"/>
      <c r="W703" s="933"/>
      <c r="X703" s="933"/>
      <c r="Y703" s="933"/>
      <c r="Z703" s="933"/>
      <c r="AA703" s="933"/>
      <c r="AB703" s="933"/>
      <c r="AC703" s="933"/>
      <c r="AD703" s="933"/>
      <c r="AE703" s="933"/>
    </row>
    <row r="704" spans="1:31" ht="12.75">
      <c r="A704" s="933"/>
      <c r="B704" s="933"/>
      <c r="C704" s="933"/>
      <c r="D704" s="933"/>
      <c r="E704" s="933"/>
      <c r="F704" s="933"/>
      <c r="G704" s="933"/>
      <c r="H704" s="933"/>
      <c r="I704" s="933"/>
      <c r="J704" s="933"/>
      <c r="K704" s="933"/>
      <c r="L704" s="933"/>
      <c r="M704" s="933"/>
      <c r="N704" s="933"/>
      <c r="O704" s="933"/>
      <c r="P704" s="933"/>
      <c r="Q704" s="933"/>
      <c r="R704" s="933"/>
      <c r="S704" s="933"/>
      <c r="T704" s="933"/>
      <c r="U704" s="933"/>
      <c r="V704" s="933"/>
      <c r="W704" s="933"/>
      <c r="X704" s="933"/>
      <c r="Y704" s="933"/>
      <c r="Z704" s="933"/>
      <c r="AA704" s="933"/>
      <c r="AB704" s="933"/>
      <c r="AC704" s="933"/>
      <c r="AD704" s="933"/>
      <c r="AE704" s="933"/>
    </row>
    <row r="705" spans="1:31" ht="12.75">
      <c r="A705" s="933"/>
      <c r="B705" s="933"/>
      <c r="C705" s="933"/>
      <c r="D705" s="933"/>
      <c r="E705" s="933"/>
      <c r="F705" s="933"/>
      <c r="G705" s="933"/>
      <c r="H705" s="933"/>
      <c r="I705" s="933"/>
      <c r="J705" s="933"/>
      <c r="K705" s="933"/>
      <c r="L705" s="933"/>
      <c r="M705" s="933"/>
      <c r="N705" s="933"/>
      <c r="O705" s="933"/>
      <c r="P705" s="933"/>
      <c r="Q705" s="933"/>
      <c r="R705" s="933"/>
      <c r="S705" s="933"/>
      <c r="T705" s="933"/>
      <c r="U705" s="933"/>
      <c r="V705" s="933"/>
      <c r="W705" s="933"/>
      <c r="X705" s="933"/>
      <c r="Y705" s="933"/>
      <c r="Z705" s="933"/>
      <c r="AA705" s="933"/>
      <c r="AB705" s="933"/>
      <c r="AC705" s="933"/>
      <c r="AD705" s="933"/>
      <c r="AE705" s="933"/>
    </row>
    <row r="706" spans="1:31" ht="12.75">
      <c r="A706" s="933"/>
      <c r="B706" s="933"/>
      <c r="C706" s="933"/>
      <c r="D706" s="933"/>
      <c r="E706" s="933"/>
      <c r="F706" s="933"/>
      <c r="G706" s="933"/>
      <c r="H706" s="933"/>
      <c r="I706" s="933"/>
      <c r="J706" s="933"/>
      <c r="K706" s="933"/>
      <c r="L706" s="933"/>
      <c r="M706" s="933"/>
      <c r="N706" s="933"/>
      <c r="O706" s="933"/>
      <c r="P706" s="933"/>
      <c r="Q706" s="933"/>
      <c r="R706" s="933"/>
      <c r="S706" s="933"/>
      <c r="T706" s="933"/>
      <c r="U706" s="933"/>
      <c r="V706" s="933"/>
      <c r="W706" s="933"/>
      <c r="X706" s="933"/>
      <c r="Y706" s="933"/>
      <c r="Z706" s="933"/>
      <c r="AA706" s="933"/>
      <c r="AB706" s="933"/>
      <c r="AC706" s="933"/>
      <c r="AD706" s="933"/>
      <c r="AE706" s="933"/>
    </row>
    <row r="707" spans="1:31" ht="12.75">
      <c r="A707" s="933"/>
      <c r="B707" s="933"/>
      <c r="C707" s="933"/>
      <c r="D707" s="933"/>
      <c r="E707" s="933"/>
      <c r="F707" s="933"/>
      <c r="G707" s="933"/>
      <c r="H707" s="933"/>
      <c r="I707" s="933"/>
      <c r="J707" s="933"/>
      <c r="K707" s="933"/>
      <c r="L707" s="933"/>
      <c r="M707" s="933"/>
      <c r="N707" s="933"/>
      <c r="O707" s="933"/>
      <c r="P707" s="933"/>
      <c r="Q707" s="933"/>
      <c r="R707" s="933"/>
      <c r="S707" s="933"/>
      <c r="T707" s="933"/>
      <c r="U707" s="933"/>
      <c r="V707" s="933"/>
      <c r="W707" s="933"/>
      <c r="X707" s="933"/>
      <c r="Y707" s="933"/>
      <c r="Z707" s="933"/>
      <c r="AA707" s="933"/>
      <c r="AB707" s="933"/>
      <c r="AC707" s="933"/>
      <c r="AD707" s="933"/>
      <c r="AE707" s="933"/>
    </row>
    <row r="708" spans="1:31" ht="12.75">
      <c r="A708" s="933"/>
      <c r="B708" s="933"/>
      <c r="C708" s="933"/>
      <c r="D708" s="933"/>
      <c r="E708" s="933"/>
      <c r="F708" s="933"/>
      <c r="G708" s="933"/>
      <c r="H708" s="933"/>
      <c r="I708" s="933"/>
      <c r="J708" s="933"/>
      <c r="K708" s="933"/>
      <c r="L708" s="933"/>
      <c r="M708" s="933"/>
      <c r="N708" s="933"/>
      <c r="O708" s="933"/>
      <c r="P708" s="933"/>
      <c r="Q708" s="933"/>
      <c r="R708" s="933"/>
      <c r="S708" s="933"/>
      <c r="T708" s="933"/>
      <c r="U708" s="933"/>
      <c r="V708" s="933"/>
      <c r="W708" s="933"/>
      <c r="X708" s="933"/>
      <c r="Y708" s="933"/>
      <c r="Z708" s="933"/>
      <c r="AA708" s="933"/>
      <c r="AB708" s="933"/>
      <c r="AC708" s="933"/>
      <c r="AD708" s="933"/>
      <c r="AE708" s="933"/>
    </row>
    <row r="709" spans="1:31" ht="12.75">
      <c r="A709" s="933"/>
      <c r="B709" s="933"/>
      <c r="C709" s="933"/>
      <c r="D709" s="933"/>
      <c r="E709" s="933"/>
      <c r="F709" s="933"/>
      <c r="G709" s="933"/>
      <c r="H709" s="933"/>
      <c r="I709" s="933"/>
      <c r="J709" s="933"/>
      <c r="K709" s="933"/>
      <c r="L709" s="933"/>
      <c r="M709" s="933"/>
      <c r="N709" s="933"/>
      <c r="O709" s="933"/>
      <c r="P709" s="933"/>
      <c r="Q709" s="933"/>
      <c r="R709" s="933"/>
      <c r="S709" s="933"/>
      <c r="T709" s="933"/>
      <c r="U709" s="933"/>
      <c r="V709" s="933"/>
      <c r="W709" s="933"/>
      <c r="X709" s="933"/>
      <c r="Y709" s="933"/>
      <c r="Z709" s="933"/>
      <c r="AA709" s="933"/>
      <c r="AB709" s="933"/>
      <c r="AC709" s="933"/>
      <c r="AD709" s="933"/>
      <c r="AE709" s="933"/>
    </row>
    <row r="710" spans="1:31" ht="12.75">
      <c r="A710" s="933"/>
      <c r="B710" s="933"/>
      <c r="C710" s="933"/>
      <c r="D710" s="933"/>
      <c r="E710" s="933"/>
      <c r="F710" s="933"/>
      <c r="G710" s="933"/>
      <c r="H710" s="933"/>
      <c r="I710" s="933"/>
      <c r="J710" s="933"/>
      <c r="K710" s="933"/>
      <c r="L710" s="933"/>
      <c r="M710" s="933"/>
      <c r="N710" s="933"/>
      <c r="O710" s="933"/>
      <c r="P710" s="933"/>
      <c r="Q710" s="933"/>
      <c r="R710" s="933"/>
      <c r="S710" s="933"/>
      <c r="T710" s="933"/>
      <c r="U710" s="933"/>
      <c r="V710" s="933"/>
      <c r="W710" s="933"/>
      <c r="X710" s="933"/>
      <c r="Y710" s="933"/>
      <c r="Z710" s="933"/>
      <c r="AA710" s="933"/>
      <c r="AB710" s="933"/>
      <c r="AC710" s="933"/>
      <c r="AD710" s="933"/>
      <c r="AE710" s="933"/>
    </row>
    <row r="711" spans="1:31" ht="12.75">
      <c r="A711" s="933"/>
      <c r="B711" s="933"/>
      <c r="C711" s="933"/>
      <c r="D711" s="933"/>
      <c r="E711" s="933"/>
      <c r="F711" s="933"/>
      <c r="G711" s="933"/>
      <c r="H711" s="933"/>
      <c r="I711" s="933"/>
      <c r="J711" s="933"/>
      <c r="K711" s="933"/>
      <c r="L711" s="933"/>
      <c r="M711" s="933"/>
      <c r="N711" s="933"/>
      <c r="O711" s="933"/>
      <c r="P711" s="933"/>
      <c r="Q711" s="933"/>
      <c r="R711" s="933"/>
      <c r="S711" s="933"/>
      <c r="T711" s="933"/>
      <c r="U711" s="933"/>
      <c r="V711" s="933"/>
      <c r="W711" s="933"/>
      <c r="X711" s="933"/>
      <c r="Y711" s="933"/>
      <c r="Z711" s="933"/>
      <c r="AA711" s="933"/>
      <c r="AB711" s="933"/>
      <c r="AC711" s="933"/>
      <c r="AD711" s="933"/>
      <c r="AE711" s="933"/>
    </row>
    <row r="712" spans="1:31" ht="12.75">
      <c r="A712" s="933"/>
      <c r="B712" s="933"/>
      <c r="C712" s="933"/>
      <c r="D712" s="933"/>
      <c r="E712" s="933"/>
      <c r="F712" s="933"/>
      <c r="G712" s="933"/>
      <c r="H712" s="933"/>
      <c r="I712" s="933"/>
      <c r="J712" s="933"/>
      <c r="K712" s="933"/>
      <c r="L712" s="933"/>
      <c r="M712" s="933"/>
      <c r="N712" s="933"/>
      <c r="O712" s="933"/>
      <c r="P712" s="933"/>
      <c r="Q712" s="933"/>
      <c r="R712" s="933"/>
      <c r="S712" s="933"/>
      <c r="T712" s="933"/>
      <c r="U712" s="933"/>
      <c r="V712" s="933"/>
      <c r="W712" s="933"/>
      <c r="X712" s="933"/>
      <c r="Y712" s="933"/>
      <c r="Z712" s="933"/>
      <c r="AA712" s="933"/>
      <c r="AB712" s="933"/>
      <c r="AC712" s="933"/>
      <c r="AD712" s="933"/>
      <c r="AE712" s="933"/>
    </row>
    <row r="713" spans="1:31" ht="12.75">
      <c r="A713" s="933"/>
      <c r="B713" s="933"/>
      <c r="C713" s="933"/>
      <c r="D713" s="933"/>
      <c r="E713" s="933"/>
      <c r="F713" s="933"/>
      <c r="G713" s="933"/>
      <c r="H713" s="933"/>
      <c r="I713" s="933"/>
      <c r="J713" s="933"/>
      <c r="K713" s="933"/>
      <c r="L713" s="933"/>
      <c r="M713" s="933"/>
      <c r="N713" s="933"/>
      <c r="O713" s="933"/>
      <c r="P713" s="933"/>
      <c r="Q713" s="933"/>
      <c r="R713" s="933"/>
      <c r="S713" s="933"/>
      <c r="T713" s="933"/>
      <c r="U713" s="933"/>
      <c r="V713" s="933"/>
      <c r="W713" s="933"/>
      <c r="X713" s="933"/>
      <c r="Y713" s="933"/>
      <c r="Z713" s="933"/>
      <c r="AA713" s="933"/>
      <c r="AB713" s="933"/>
      <c r="AC713" s="933"/>
      <c r="AD713" s="933"/>
      <c r="AE713" s="933"/>
    </row>
    <row r="714" spans="1:31" ht="12.75">
      <c r="A714" s="933"/>
      <c r="B714" s="933"/>
      <c r="C714" s="933"/>
      <c r="D714" s="933"/>
      <c r="E714" s="933"/>
      <c r="F714" s="933"/>
      <c r="G714" s="933"/>
      <c r="H714" s="933"/>
      <c r="I714" s="933"/>
      <c r="J714" s="933"/>
      <c r="K714" s="933"/>
      <c r="L714" s="933"/>
      <c r="M714" s="933"/>
      <c r="N714" s="933"/>
      <c r="O714" s="933"/>
      <c r="P714" s="933"/>
      <c r="Q714" s="933"/>
      <c r="R714" s="933"/>
      <c r="S714" s="933"/>
      <c r="T714" s="933"/>
      <c r="U714" s="933"/>
      <c r="V714" s="933"/>
      <c r="W714" s="933"/>
      <c r="X714" s="933"/>
      <c r="Y714" s="933"/>
      <c r="Z714" s="933"/>
      <c r="AA714" s="933"/>
      <c r="AB714" s="933"/>
      <c r="AC714" s="933"/>
      <c r="AD714" s="933"/>
      <c r="AE714" s="933"/>
    </row>
    <row r="715" spans="1:31" ht="12.75">
      <c r="A715" s="933"/>
      <c r="B715" s="933"/>
      <c r="C715" s="933"/>
      <c r="D715" s="933"/>
      <c r="E715" s="933"/>
      <c r="F715" s="933"/>
      <c r="G715" s="933"/>
      <c r="H715" s="933"/>
      <c r="I715" s="933"/>
      <c r="J715" s="933"/>
      <c r="K715" s="933"/>
      <c r="L715" s="933"/>
      <c r="M715" s="933"/>
      <c r="N715" s="933"/>
      <c r="O715" s="933"/>
      <c r="P715" s="933"/>
      <c r="Q715" s="933"/>
      <c r="R715" s="933"/>
      <c r="S715" s="933"/>
      <c r="T715" s="933"/>
      <c r="U715" s="933"/>
      <c r="V715" s="933"/>
      <c r="W715" s="933"/>
      <c r="X715" s="933"/>
      <c r="Y715" s="933"/>
      <c r="Z715" s="933"/>
      <c r="AA715" s="933"/>
      <c r="AB715" s="933"/>
      <c r="AC715" s="933"/>
      <c r="AD715" s="933"/>
      <c r="AE715" s="933"/>
    </row>
    <row r="716" spans="1:31" ht="12.75">
      <c r="A716" s="933"/>
      <c r="B716" s="933"/>
      <c r="C716" s="933"/>
      <c r="D716" s="933"/>
      <c r="E716" s="933"/>
      <c r="F716" s="933"/>
      <c r="G716" s="933"/>
      <c r="H716" s="933"/>
      <c r="I716" s="933"/>
      <c r="J716" s="933"/>
      <c r="K716" s="933"/>
      <c r="L716" s="933"/>
      <c r="M716" s="933"/>
      <c r="N716" s="933"/>
      <c r="O716" s="933"/>
      <c r="P716" s="933"/>
      <c r="Q716" s="933"/>
      <c r="R716" s="933"/>
      <c r="S716" s="933"/>
      <c r="T716" s="933"/>
      <c r="U716" s="933"/>
      <c r="V716" s="933"/>
      <c r="W716" s="933"/>
      <c r="X716" s="933"/>
      <c r="Y716" s="933"/>
      <c r="Z716" s="933"/>
      <c r="AA716" s="933"/>
      <c r="AB716" s="933"/>
      <c r="AC716" s="933"/>
      <c r="AD716" s="933"/>
      <c r="AE716" s="933"/>
    </row>
    <row r="717" spans="1:31" ht="12.75">
      <c r="A717" s="933"/>
      <c r="B717" s="933"/>
      <c r="C717" s="933"/>
      <c r="D717" s="933"/>
      <c r="E717" s="933"/>
      <c r="F717" s="933"/>
      <c r="G717" s="933"/>
      <c r="H717" s="933"/>
      <c r="I717" s="933"/>
      <c r="J717" s="933"/>
      <c r="K717" s="933"/>
      <c r="L717" s="933"/>
      <c r="M717" s="933"/>
      <c r="N717" s="933"/>
      <c r="O717" s="933"/>
      <c r="P717" s="933"/>
      <c r="Q717" s="933"/>
      <c r="R717" s="933"/>
      <c r="S717" s="933"/>
      <c r="T717" s="933"/>
      <c r="U717" s="933"/>
      <c r="V717" s="933"/>
      <c r="W717" s="933"/>
      <c r="X717" s="933"/>
      <c r="Y717" s="933"/>
      <c r="Z717" s="933"/>
      <c r="AA717" s="933"/>
      <c r="AB717" s="933"/>
      <c r="AC717" s="933"/>
      <c r="AD717" s="933"/>
      <c r="AE717" s="933"/>
    </row>
    <row r="718" spans="1:31" ht="12.75">
      <c r="A718" s="933"/>
      <c r="B718" s="933"/>
      <c r="C718" s="933"/>
      <c r="D718" s="933"/>
      <c r="E718" s="933"/>
      <c r="F718" s="933"/>
      <c r="G718" s="933"/>
      <c r="H718" s="933"/>
      <c r="I718" s="933"/>
      <c r="J718" s="933"/>
      <c r="K718" s="933"/>
      <c r="L718" s="933"/>
      <c r="M718" s="933"/>
      <c r="N718" s="933"/>
      <c r="O718" s="933"/>
      <c r="P718" s="933"/>
      <c r="Q718" s="933"/>
      <c r="R718" s="933"/>
      <c r="S718" s="933"/>
      <c r="T718" s="933"/>
      <c r="U718" s="933"/>
      <c r="V718" s="933"/>
      <c r="W718" s="933"/>
      <c r="X718" s="933"/>
      <c r="Y718" s="933"/>
      <c r="Z718" s="933"/>
      <c r="AA718" s="933"/>
      <c r="AB718" s="933"/>
      <c r="AC718" s="933"/>
      <c r="AD718" s="933"/>
      <c r="AE718" s="933"/>
    </row>
    <row r="719" spans="1:31" ht="12.75">
      <c r="A719" s="933"/>
      <c r="B719" s="933"/>
      <c r="C719" s="933"/>
      <c r="D719" s="933"/>
      <c r="E719" s="933"/>
      <c r="F719" s="933"/>
      <c r="G719" s="933"/>
      <c r="H719" s="933"/>
      <c r="I719" s="933"/>
      <c r="J719" s="933"/>
      <c r="K719" s="933"/>
      <c r="L719" s="933"/>
      <c r="M719" s="933"/>
      <c r="N719" s="933"/>
      <c r="O719" s="933"/>
      <c r="P719" s="933"/>
      <c r="Q719" s="933"/>
      <c r="R719" s="933"/>
      <c r="S719" s="933"/>
      <c r="T719" s="933"/>
      <c r="U719" s="933"/>
      <c r="V719" s="933"/>
      <c r="W719" s="933"/>
      <c r="X719" s="933"/>
      <c r="Y719" s="933"/>
      <c r="Z719" s="933"/>
      <c r="AA719" s="933"/>
      <c r="AB719" s="933"/>
      <c r="AC719" s="933"/>
      <c r="AD719" s="933"/>
      <c r="AE719" s="933"/>
    </row>
    <row r="720" spans="1:31" ht="12.75">
      <c r="A720" s="933"/>
      <c r="B720" s="933"/>
      <c r="C720" s="933"/>
      <c r="D720" s="933"/>
      <c r="E720" s="933"/>
      <c r="F720" s="933"/>
      <c r="G720" s="933"/>
      <c r="H720" s="933"/>
      <c r="I720" s="933"/>
      <c r="J720" s="933"/>
      <c r="K720" s="933"/>
      <c r="L720" s="933"/>
      <c r="M720" s="933"/>
      <c r="N720" s="933"/>
      <c r="O720" s="933"/>
      <c r="P720" s="933"/>
      <c r="Q720" s="933"/>
      <c r="R720" s="933"/>
      <c r="S720" s="933"/>
      <c r="T720" s="933"/>
      <c r="U720" s="933"/>
      <c r="V720" s="933"/>
      <c r="W720" s="933"/>
      <c r="X720" s="933"/>
      <c r="Y720" s="933"/>
      <c r="Z720" s="933"/>
      <c r="AA720" s="933"/>
      <c r="AB720" s="933"/>
      <c r="AC720" s="933"/>
      <c r="AD720" s="933"/>
      <c r="AE720" s="933"/>
    </row>
    <row r="721" spans="1:31" ht="12.75">
      <c r="A721" s="933"/>
      <c r="B721" s="933"/>
      <c r="C721" s="933"/>
      <c r="D721" s="933"/>
      <c r="E721" s="933"/>
      <c r="F721" s="933"/>
      <c r="G721" s="933"/>
      <c r="H721" s="933"/>
      <c r="I721" s="933"/>
      <c r="J721" s="933"/>
      <c r="K721" s="933"/>
      <c r="L721" s="933"/>
      <c r="M721" s="933"/>
      <c r="N721" s="933"/>
      <c r="O721" s="933"/>
      <c r="P721" s="933"/>
      <c r="Q721" s="933"/>
      <c r="R721" s="933"/>
      <c r="S721" s="933"/>
      <c r="T721" s="933"/>
      <c r="U721" s="933"/>
      <c r="V721" s="933"/>
      <c r="W721" s="933"/>
      <c r="X721" s="933"/>
      <c r="Y721" s="933"/>
      <c r="Z721" s="933"/>
      <c r="AA721" s="933"/>
      <c r="AB721" s="933"/>
      <c r="AC721" s="933"/>
      <c r="AD721" s="933"/>
      <c r="AE721" s="933"/>
    </row>
    <row r="722" spans="1:31" ht="12.75">
      <c r="A722" s="933"/>
      <c r="B722" s="933"/>
      <c r="C722" s="933"/>
      <c r="D722" s="933"/>
      <c r="E722" s="933"/>
      <c r="F722" s="933"/>
      <c r="G722" s="933"/>
      <c r="H722" s="933"/>
      <c r="I722" s="933"/>
      <c r="J722" s="933"/>
      <c r="K722" s="933"/>
      <c r="L722" s="933"/>
      <c r="M722" s="933"/>
      <c r="N722" s="933"/>
      <c r="O722" s="933"/>
      <c r="P722" s="933"/>
      <c r="Q722" s="933"/>
      <c r="R722" s="933"/>
      <c r="S722" s="933"/>
      <c r="T722" s="933"/>
      <c r="U722" s="933"/>
      <c r="V722" s="933"/>
      <c r="W722" s="933"/>
      <c r="X722" s="933"/>
      <c r="Y722" s="933"/>
      <c r="Z722" s="933"/>
      <c r="AA722" s="933"/>
      <c r="AB722" s="933"/>
      <c r="AC722" s="933"/>
      <c r="AD722" s="933"/>
      <c r="AE722" s="933"/>
    </row>
    <row r="723" spans="1:31" ht="12.75">
      <c r="A723" s="933"/>
      <c r="B723" s="933"/>
      <c r="C723" s="933"/>
      <c r="D723" s="933"/>
      <c r="E723" s="933"/>
      <c r="F723" s="933"/>
      <c r="G723" s="933"/>
      <c r="H723" s="933"/>
      <c r="I723" s="933"/>
      <c r="J723" s="933"/>
      <c r="K723" s="933"/>
      <c r="L723" s="933"/>
      <c r="M723" s="933"/>
      <c r="N723" s="933"/>
      <c r="O723" s="933"/>
      <c r="P723" s="933"/>
      <c r="Q723" s="933"/>
      <c r="R723" s="933"/>
      <c r="S723" s="933"/>
      <c r="T723" s="933"/>
      <c r="U723" s="933"/>
      <c r="V723" s="933"/>
      <c r="W723" s="933"/>
      <c r="X723" s="933"/>
      <c r="Y723" s="933"/>
      <c r="Z723" s="933"/>
      <c r="AA723" s="933"/>
      <c r="AB723" s="933"/>
      <c r="AC723" s="933"/>
      <c r="AD723" s="933"/>
      <c r="AE723" s="933"/>
    </row>
    <row r="724" spans="1:31" ht="12.75">
      <c r="A724" s="933"/>
      <c r="B724" s="933"/>
      <c r="C724" s="933"/>
      <c r="D724" s="933"/>
      <c r="E724" s="933"/>
      <c r="F724" s="933"/>
      <c r="G724" s="933"/>
      <c r="H724" s="933"/>
      <c r="I724" s="933"/>
      <c r="J724" s="933"/>
      <c r="K724" s="933"/>
      <c r="L724" s="933"/>
      <c r="M724" s="933"/>
      <c r="N724" s="933"/>
      <c r="O724" s="933"/>
      <c r="P724" s="933"/>
      <c r="Q724" s="933"/>
      <c r="R724" s="933"/>
      <c r="S724" s="933"/>
      <c r="T724" s="933"/>
      <c r="U724" s="933"/>
      <c r="V724" s="933"/>
      <c r="W724" s="933"/>
      <c r="X724" s="933"/>
      <c r="Y724" s="933"/>
      <c r="Z724" s="933"/>
      <c r="AA724" s="933"/>
      <c r="AB724" s="933"/>
      <c r="AC724" s="933"/>
      <c r="AD724" s="933"/>
      <c r="AE724" s="933"/>
    </row>
    <row r="725" spans="1:31" ht="12.75">
      <c r="A725" s="933"/>
      <c r="B725" s="933"/>
      <c r="C725" s="933"/>
      <c r="D725" s="933"/>
      <c r="E725" s="933"/>
      <c r="F725" s="933"/>
      <c r="G725" s="933"/>
      <c r="H725" s="933"/>
      <c r="I725" s="933"/>
      <c r="J725" s="933"/>
      <c r="K725" s="933"/>
      <c r="L725" s="933"/>
      <c r="M725" s="933"/>
      <c r="N725" s="933"/>
      <c r="O725" s="933"/>
      <c r="P725" s="933"/>
      <c r="Q725" s="933"/>
      <c r="R725" s="933"/>
      <c r="S725" s="933"/>
      <c r="T725" s="933"/>
      <c r="U725" s="933"/>
      <c r="V725" s="933"/>
      <c r="W725" s="933"/>
      <c r="X725" s="933"/>
      <c r="Y725" s="933"/>
      <c r="Z725" s="933"/>
      <c r="AA725" s="933"/>
      <c r="AB725" s="933"/>
      <c r="AC725" s="933"/>
      <c r="AD725" s="933"/>
      <c r="AE725" s="933"/>
    </row>
    <row r="726" spans="1:31" ht="12.75">
      <c r="A726" s="933"/>
      <c r="B726" s="933"/>
      <c r="C726" s="933"/>
      <c r="D726" s="933"/>
      <c r="E726" s="933"/>
      <c r="F726" s="933"/>
      <c r="G726" s="933"/>
      <c r="H726" s="933"/>
      <c r="I726" s="933"/>
      <c r="J726" s="933"/>
      <c r="K726" s="933"/>
      <c r="L726" s="933"/>
      <c r="M726" s="933"/>
      <c r="N726" s="933"/>
      <c r="O726" s="933"/>
      <c r="P726" s="933"/>
      <c r="Q726" s="933"/>
      <c r="R726" s="933"/>
      <c r="S726" s="933"/>
      <c r="T726" s="933"/>
      <c r="U726" s="933"/>
      <c r="V726" s="933"/>
      <c r="W726" s="933"/>
      <c r="X726" s="933"/>
      <c r="Y726" s="933"/>
      <c r="Z726" s="933"/>
      <c r="AA726" s="933"/>
      <c r="AB726" s="933"/>
      <c r="AC726" s="933"/>
      <c r="AD726" s="933"/>
      <c r="AE726" s="933"/>
    </row>
    <row r="727" spans="1:31" ht="12.75">
      <c r="A727" s="933"/>
      <c r="B727" s="933"/>
      <c r="C727" s="933"/>
      <c r="D727" s="933"/>
      <c r="E727" s="933"/>
      <c r="F727" s="933"/>
      <c r="G727" s="933"/>
      <c r="H727" s="933"/>
      <c r="I727" s="933"/>
      <c r="J727" s="933"/>
      <c r="K727" s="933"/>
      <c r="L727" s="933"/>
      <c r="M727" s="933"/>
      <c r="N727" s="933"/>
      <c r="O727" s="933"/>
      <c r="P727" s="933"/>
      <c r="Q727" s="933"/>
      <c r="R727" s="933"/>
      <c r="S727" s="933"/>
      <c r="T727" s="933"/>
      <c r="U727" s="933"/>
      <c r="V727" s="933"/>
      <c r="W727" s="933"/>
      <c r="X727" s="933"/>
      <c r="Y727" s="933"/>
      <c r="Z727" s="933"/>
      <c r="AA727" s="933"/>
      <c r="AB727" s="933"/>
      <c r="AC727" s="933"/>
      <c r="AD727" s="933"/>
      <c r="AE727" s="933"/>
    </row>
    <row r="728" spans="1:31" ht="12.75">
      <c r="A728" s="933"/>
      <c r="B728" s="933"/>
      <c r="C728" s="933"/>
      <c r="D728" s="933"/>
      <c r="E728" s="933"/>
      <c r="F728" s="933"/>
      <c r="G728" s="933"/>
      <c r="H728" s="933"/>
      <c r="I728" s="933"/>
      <c r="J728" s="933"/>
      <c r="K728" s="933"/>
      <c r="L728" s="933"/>
      <c r="M728" s="933"/>
      <c r="N728" s="933"/>
      <c r="O728" s="933"/>
      <c r="P728" s="933"/>
      <c r="Q728" s="933"/>
      <c r="R728" s="933"/>
      <c r="S728" s="933"/>
      <c r="T728" s="933"/>
      <c r="U728" s="933"/>
      <c r="V728" s="933"/>
      <c r="W728" s="933"/>
      <c r="X728" s="933"/>
      <c r="Y728" s="933"/>
      <c r="Z728" s="933"/>
      <c r="AA728" s="933"/>
      <c r="AB728" s="933"/>
      <c r="AC728" s="933"/>
      <c r="AD728" s="933"/>
      <c r="AE728" s="933"/>
    </row>
    <row r="729" spans="1:31" ht="12.75">
      <c r="A729" s="933"/>
      <c r="B729" s="933"/>
      <c r="C729" s="933"/>
      <c r="D729" s="933"/>
      <c r="E729" s="933"/>
      <c r="F729" s="933"/>
      <c r="G729" s="933"/>
      <c r="H729" s="933"/>
      <c r="I729" s="933"/>
      <c r="J729" s="933"/>
      <c r="K729" s="933"/>
      <c r="L729" s="933"/>
      <c r="M729" s="933"/>
      <c r="N729" s="933"/>
      <c r="O729" s="933"/>
      <c r="P729" s="933"/>
      <c r="Q729" s="933"/>
      <c r="R729" s="933"/>
      <c r="S729" s="933"/>
      <c r="T729" s="933"/>
      <c r="U729" s="933"/>
      <c r="V729" s="933"/>
      <c r="W729" s="933"/>
      <c r="X729" s="933"/>
      <c r="Y729" s="933"/>
      <c r="Z729" s="933"/>
      <c r="AA729" s="933"/>
      <c r="AB729" s="933"/>
      <c r="AC729" s="933"/>
      <c r="AD729" s="933"/>
      <c r="AE729" s="933"/>
    </row>
    <row r="730" spans="1:31" ht="12.75">
      <c r="A730" s="933"/>
      <c r="B730" s="933"/>
      <c r="C730" s="933"/>
      <c r="D730" s="933"/>
      <c r="E730" s="933"/>
      <c r="F730" s="933"/>
      <c r="G730" s="933"/>
      <c r="H730" s="933"/>
      <c r="I730" s="933"/>
      <c r="J730" s="933"/>
      <c r="K730" s="933"/>
      <c r="L730" s="933"/>
      <c r="M730" s="933"/>
      <c r="N730" s="933"/>
      <c r="O730" s="933"/>
      <c r="P730" s="933"/>
      <c r="Q730" s="933"/>
      <c r="R730" s="933"/>
      <c r="S730" s="933"/>
      <c r="T730" s="933"/>
      <c r="U730" s="933"/>
      <c r="V730" s="933"/>
      <c r="W730" s="933"/>
      <c r="X730" s="933"/>
      <c r="Y730" s="933"/>
      <c r="Z730" s="933"/>
      <c r="AA730" s="933"/>
      <c r="AB730" s="933"/>
      <c r="AC730" s="933"/>
      <c r="AD730" s="933"/>
      <c r="AE730" s="933"/>
    </row>
    <row r="731" spans="1:31" ht="12.75">
      <c r="A731" s="933"/>
      <c r="B731" s="933"/>
      <c r="C731" s="933"/>
      <c r="D731" s="933"/>
      <c r="E731" s="933"/>
      <c r="F731" s="933"/>
      <c r="G731" s="933"/>
      <c r="H731" s="933"/>
      <c r="I731" s="933"/>
      <c r="J731" s="933"/>
      <c r="K731" s="933"/>
      <c r="L731" s="933"/>
      <c r="M731" s="933"/>
      <c r="N731" s="933"/>
      <c r="O731" s="933"/>
      <c r="P731" s="933"/>
      <c r="Q731" s="933"/>
      <c r="R731" s="933"/>
      <c r="S731" s="933"/>
      <c r="T731" s="933"/>
      <c r="U731" s="933"/>
      <c r="V731" s="933"/>
      <c r="W731" s="933"/>
      <c r="X731" s="933"/>
      <c r="Y731" s="933"/>
      <c r="Z731" s="933"/>
      <c r="AA731" s="933"/>
      <c r="AB731" s="933"/>
      <c r="AC731" s="933"/>
      <c r="AD731" s="933"/>
      <c r="AE731" s="933"/>
    </row>
    <row r="732" spans="1:31" ht="12.75">
      <c r="A732" s="933"/>
      <c r="B732" s="933"/>
      <c r="C732" s="933"/>
      <c r="D732" s="933"/>
      <c r="E732" s="933"/>
      <c r="F732" s="933"/>
      <c r="G732" s="933"/>
      <c r="H732" s="933"/>
      <c r="I732" s="933"/>
      <c r="J732" s="933"/>
      <c r="K732" s="933"/>
      <c r="L732" s="933"/>
      <c r="M732" s="933"/>
      <c r="N732" s="933"/>
      <c r="O732" s="933"/>
      <c r="P732" s="933"/>
      <c r="Q732" s="933"/>
      <c r="R732" s="933"/>
      <c r="S732" s="933"/>
      <c r="T732" s="933"/>
      <c r="U732" s="933"/>
      <c r="V732" s="933"/>
      <c r="W732" s="933"/>
      <c r="X732" s="933"/>
      <c r="Y732" s="933"/>
      <c r="Z732" s="933"/>
      <c r="AA732" s="933"/>
      <c r="AB732" s="933"/>
      <c r="AC732" s="933"/>
      <c r="AD732" s="933"/>
      <c r="AE732" s="933"/>
    </row>
    <row r="733" spans="1:31" ht="12.75">
      <c r="A733" s="933"/>
      <c r="B733" s="933"/>
      <c r="C733" s="933"/>
      <c r="D733" s="933"/>
      <c r="E733" s="933"/>
      <c r="F733" s="933"/>
      <c r="G733" s="933"/>
      <c r="H733" s="933"/>
      <c r="I733" s="933"/>
      <c r="J733" s="933"/>
      <c r="K733" s="933"/>
      <c r="L733" s="933"/>
      <c r="M733" s="933"/>
      <c r="N733" s="933"/>
      <c r="O733" s="933"/>
      <c r="P733" s="933"/>
      <c r="Q733" s="933"/>
      <c r="R733" s="933"/>
      <c r="S733" s="933"/>
      <c r="T733" s="933"/>
      <c r="U733" s="933"/>
      <c r="V733" s="933"/>
      <c r="W733" s="933"/>
      <c r="X733" s="933"/>
      <c r="Y733" s="933"/>
      <c r="Z733" s="933"/>
      <c r="AA733" s="933"/>
      <c r="AB733" s="933"/>
      <c r="AC733" s="933"/>
      <c r="AD733" s="933"/>
      <c r="AE733" s="933"/>
    </row>
    <row r="734" spans="1:31" ht="12.75">
      <c r="A734" s="933"/>
      <c r="B734" s="933"/>
      <c r="C734" s="933"/>
      <c r="D734" s="933"/>
      <c r="E734" s="933"/>
      <c r="F734" s="933"/>
      <c r="G734" s="933"/>
      <c r="H734" s="933"/>
      <c r="I734" s="933"/>
      <c r="J734" s="933"/>
      <c r="K734" s="933"/>
      <c r="L734" s="933"/>
      <c r="M734" s="933"/>
      <c r="N734" s="933"/>
      <c r="O734" s="933"/>
      <c r="P734" s="933"/>
      <c r="Q734" s="933"/>
      <c r="R734" s="933"/>
      <c r="S734" s="933"/>
      <c r="T734" s="933"/>
      <c r="U734" s="933"/>
      <c r="V734" s="933"/>
      <c r="W734" s="933"/>
      <c r="X734" s="933"/>
      <c r="Y734" s="933"/>
      <c r="Z734" s="933"/>
      <c r="AA734" s="933"/>
      <c r="AB734" s="933"/>
      <c r="AC734" s="933"/>
      <c r="AD734" s="933"/>
      <c r="AE734" s="933"/>
    </row>
    <row r="735" spans="1:31" ht="12.75">
      <c r="A735" s="933"/>
      <c r="B735" s="933"/>
      <c r="C735" s="933"/>
      <c r="D735" s="933"/>
      <c r="E735" s="933"/>
      <c r="F735" s="933"/>
      <c r="G735" s="933"/>
      <c r="H735" s="933"/>
      <c r="I735" s="933"/>
      <c r="J735" s="933"/>
      <c r="K735" s="933"/>
      <c r="L735" s="933"/>
      <c r="M735" s="933"/>
      <c r="N735" s="933"/>
      <c r="O735" s="933"/>
      <c r="P735" s="933"/>
      <c r="Q735" s="933"/>
      <c r="R735" s="933"/>
      <c r="S735" s="933"/>
      <c r="T735" s="933"/>
      <c r="U735" s="933"/>
      <c r="V735" s="933"/>
      <c r="W735" s="933"/>
      <c r="X735" s="933"/>
      <c r="Y735" s="933"/>
      <c r="Z735" s="933"/>
      <c r="AA735" s="933"/>
      <c r="AB735" s="933"/>
      <c r="AC735" s="933"/>
      <c r="AD735" s="933"/>
      <c r="AE735" s="933"/>
    </row>
    <row r="736" spans="1:31" ht="12.75">
      <c r="A736" s="933"/>
      <c r="B736" s="933"/>
      <c r="C736" s="933"/>
      <c r="D736" s="933"/>
      <c r="E736" s="933"/>
      <c r="F736" s="933"/>
      <c r="G736" s="933"/>
      <c r="H736" s="933"/>
      <c r="I736" s="933"/>
      <c r="J736" s="933"/>
      <c r="K736" s="933"/>
      <c r="L736" s="933"/>
      <c r="M736" s="933"/>
      <c r="N736" s="933"/>
      <c r="O736" s="933"/>
      <c r="P736" s="933"/>
      <c r="Q736" s="933"/>
      <c r="R736" s="933"/>
      <c r="S736" s="933"/>
      <c r="T736" s="933"/>
      <c r="U736" s="933"/>
      <c r="V736" s="933"/>
      <c r="W736" s="933"/>
      <c r="X736" s="933"/>
      <c r="Y736" s="933"/>
      <c r="Z736" s="933"/>
      <c r="AA736" s="933"/>
      <c r="AB736" s="933"/>
      <c r="AC736" s="933"/>
      <c r="AD736" s="933"/>
      <c r="AE736" s="933"/>
    </row>
    <row r="737" spans="1:31" ht="12.75">
      <c r="A737" s="933"/>
      <c r="B737" s="933"/>
      <c r="C737" s="933"/>
      <c r="D737" s="933"/>
      <c r="E737" s="933"/>
      <c r="F737" s="933"/>
      <c r="G737" s="933"/>
      <c r="H737" s="933"/>
      <c r="I737" s="933"/>
      <c r="J737" s="933"/>
      <c r="K737" s="933"/>
      <c r="L737" s="933"/>
      <c r="M737" s="933"/>
      <c r="N737" s="933"/>
      <c r="O737" s="933"/>
      <c r="P737" s="933"/>
      <c r="Q737" s="933"/>
      <c r="R737" s="933"/>
      <c r="S737" s="933"/>
      <c r="T737" s="933"/>
      <c r="U737" s="933"/>
      <c r="V737" s="933"/>
      <c r="W737" s="933"/>
      <c r="X737" s="933"/>
      <c r="Y737" s="933"/>
      <c r="Z737" s="933"/>
      <c r="AA737" s="933"/>
      <c r="AB737" s="933"/>
      <c r="AC737" s="933"/>
      <c r="AD737" s="933"/>
      <c r="AE737" s="933"/>
    </row>
    <row r="738" spans="1:31" ht="12.75">
      <c r="A738" s="933"/>
      <c r="B738" s="933"/>
      <c r="C738" s="933"/>
      <c r="D738" s="933"/>
      <c r="E738" s="933"/>
      <c r="F738" s="933"/>
      <c r="G738" s="933"/>
      <c r="H738" s="933"/>
      <c r="I738" s="933"/>
      <c r="J738" s="933"/>
      <c r="K738" s="933"/>
      <c r="L738" s="933"/>
      <c r="M738" s="933"/>
      <c r="N738" s="933"/>
      <c r="O738" s="933"/>
      <c r="P738" s="933"/>
      <c r="Q738" s="933"/>
      <c r="R738" s="933"/>
      <c r="S738" s="933"/>
      <c r="T738" s="933"/>
      <c r="U738" s="933"/>
      <c r="V738" s="933"/>
      <c r="W738" s="933"/>
      <c r="X738" s="933"/>
      <c r="Y738" s="933"/>
      <c r="Z738" s="933"/>
      <c r="AA738" s="933"/>
      <c r="AB738" s="933"/>
      <c r="AC738" s="933"/>
      <c r="AD738" s="933"/>
      <c r="AE738" s="933"/>
    </row>
    <row r="739" spans="1:31" ht="12.75">
      <c r="A739" s="933"/>
      <c r="B739" s="933"/>
      <c r="C739" s="933"/>
      <c r="D739" s="933"/>
      <c r="E739" s="933"/>
      <c r="F739" s="933"/>
      <c r="G739" s="933"/>
      <c r="H739" s="933"/>
      <c r="I739" s="933"/>
      <c r="J739" s="933"/>
      <c r="K739" s="933"/>
      <c r="L739" s="933"/>
      <c r="M739" s="933"/>
      <c r="N739" s="933"/>
      <c r="O739" s="933"/>
      <c r="P739" s="933"/>
      <c r="Q739" s="933"/>
      <c r="R739" s="933"/>
      <c r="S739" s="933"/>
      <c r="T739" s="933"/>
      <c r="U739" s="933"/>
      <c r="V739" s="933"/>
      <c r="W739" s="933"/>
      <c r="X739" s="933"/>
      <c r="Y739" s="933"/>
      <c r="Z739" s="933"/>
      <c r="AA739" s="933"/>
      <c r="AB739" s="933"/>
      <c r="AC739" s="933"/>
      <c r="AD739" s="933"/>
      <c r="AE739" s="933"/>
    </row>
    <row r="740" spans="1:31" ht="12.75">
      <c r="A740" s="933"/>
      <c r="B740" s="933"/>
      <c r="C740" s="933"/>
      <c r="D740" s="933"/>
      <c r="E740" s="933"/>
      <c r="F740" s="933"/>
      <c r="G740" s="933"/>
      <c r="H740" s="933"/>
      <c r="I740" s="933"/>
      <c r="J740" s="933"/>
      <c r="K740" s="933"/>
      <c r="L740" s="933"/>
      <c r="M740" s="933"/>
      <c r="N740" s="933"/>
      <c r="O740" s="933"/>
      <c r="P740" s="933"/>
      <c r="Q740" s="933"/>
      <c r="R740" s="933"/>
      <c r="S740" s="933"/>
      <c r="T740" s="933"/>
      <c r="U740" s="933"/>
      <c r="V740" s="933"/>
      <c r="W740" s="933"/>
      <c r="X740" s="933"/>
      <c r="Y740" s="933"/>
      <c r="Z740" s="933"/>
      <c r="AA740" s="933"/>
      <c r="AB740" s="933"/>
      <c r="AC740" s="933"/>
      <c r="AD740" s="933"/>
      <c r="AE740" s="933"/>
    </row>
    <row r="741" spans="1:31" ht="12.75">
      <c r="A741" s="933"/>
      <c r="B741" s="933"/>
      <c r="C741" s="933"/>
      <c r="D741" s="933"/>
      <c r="E741" s="933"/>
      <c r="F741" s="933"/>
      <c r="G741" s="933"/>
      <c r="H741" s="933"/>
      <c r="I741" s="933"/>
      <c r="J741" s="933"/>
      <c r="K741" s="933"/>
      <c r="L741" s="933"/>
      <c r="M741" s="933"/>
      <c r="N741" s="933"/>
      <c r="O741" s="933"/>
      <c r="P741" s="933"/>
      <c r="Q741" s="933"/>
      <c r="R741" s="933"/>
      <c r="S741" s="933"/>
      <c r="T741" s="933"/>
      <c r="U741" s="933"/>
      <c r="V741" s="933"/>
      <c r="W741" s="933"/>
      <c r="X741" s="933"/>
      <c r="Y741" s="933"/>
      <c r="Z741" s="933"/>
      <c r="AA741" s="933"/>
      <c r="AB741" s="933"/>
      <c r="AC741" s="933"/>
      <c r="AD741" s="933"/>
      <c r="AE741" s="933"/>
    </row>
    <row r="742" spans="1:31" ht="12.75">
      <c r="A742" s="933"/>
      <c r="B742" s="933"/>
      <c r="C742" s="933"/>
      <c r="D742" s="933"/>
      <c r="E742" s="933"/>
      <c r="F742" s="933"/>
      <c r="G742" s="933"/>
      <c r="H742" s="933"/>
      <c r="I742" s="933"/>
      <c r="J742" s="933"/>
      <c r="K742" s="933"/>
      <c r="L742" s="933"/>
      <c r="M742" s="933"/>
      <c r="N742" s="933"/>
      <c r="O742" s="933"/>
      <c r="P742" s="933"/>
      <c r="Q742" s="933"/>
      <c r="R742" s="933"/>
      <c r="S742" s="933"/>
      <c r="T742" s="933"/>
      <c r="U742" s="933"/>
      <c r="V742" s="933"/>
      <c r="W742" s="933"/>
      <c r="X742" s="933"/>
      <c r="Y742" s="933"/>
      <c r="Z742" s="933"/>
      <c r="AA742" s="933"/>
      <c r="AB742" s="933"/>
      <c r="AC742" s="933"/>
      <c r="AD742" s="933"/>
      <c r="AE742" s="933"/>
    </row>
    <row r="743" spans="1:31" ht="12.75">
      <c r="A743" s="933"/>
      <c r="B743" s="933"/>
      <c r="C743" s="933"/>
      <c r="D743" s="933"/>
      <c r="E743" s="933"/>
      <c r="F743" s="933"/>
      <c r="G743" s="933"/>
      <c r="H743" s="933"/>
      <c r="I743" s="933"/>
      <c r="J743" s="933"/>
      <c r="K743" s="933"/>
      <c r="L743" s="933"/>
      <c r="M743" s="933"/>
      <c r="N743" s="933"/>
      <c r="O743" s="933"/>
      <c r="P743" s="933"/>
      <c r="Q743" s="933"/>
      <c r="R743" s="933"/>
      <c r="S743" s="933"/>
      <c r="T743" s="933"/>
      <c r="U743" s="933"/>
      <c r="V743" s="933"/>
      <c r="W743" s="933"/>
      <c r="X743" s="933"/>
      <c r="Y743" s="933"/>
      <c r="Z743" s="933"/>
      <c r="AA743" s="933"/>
      <c r="AB743" s="933"/>
      <c r="AC743" s="933"/>
      <c r="AD743" s="933"/>
      <c r="AE743" s="933"/>
    </row>
    <row r="744" spans="1:31" ht="12.75">
      <c r="A744" s="933"/>
      <c r="B744" s="933"/>
      <c r="C744" s="933"/>
      <c r="D744" s="933"/>
      <c r="E744" s="933"/>
      <c r="F744" s="933"/>
      <c r="G744" s="933"/>
      <c r="H744" s="933"/>
      <c r="I744" s="933"/>
      <c r="J744" s="933"/>
      <c r="K744" s="933"/>
      <c r="L744" s="933"/>
      <c r="M744" s="933"/>
      <c r="N744" s="933"/>
      <c r="O744" s="933"/>
      <c r="P744" s="933"/>
      <c r="Q744" s="933"/>
      <c r="R744" s="933"/>
      <c r="S744" s="933"/>
      <c r="T744" s="933"/>
      <c r="U744" s="933"/>
      <c r="V744" s="933"/>
      <c r="W744" s="933"/>
      <c r="X744" s="933"/>
      <c r="Y744" s="933"/>
      <c r="Z744" s="933"/>
      <c r="AA744" s="933"/>
      <c r="AB744" s="933"/>
      <c r="AC744" s="933"/>
      <c r="AD744" s="933"/>
      <c r="AE744" s="933"/>
    </row>
    <row r="745" spans="1:31" ht="12.75">
      <c r="A745" s="933"/>
      <c r="B745" s="933"/>
      <c r="C745" s="933"/>
      <c r="D745" s="933"/>
      <c r="E745" s="933"/>
      <c r="F745" s="933"/>
      <c r="G745" s="933"/>
      <c r="H745" s="933"/>
      <c r="I745" s="933"/>
      <c r="J745" s="933"/>
      <c r="K745" s="933"/>
      <c r="L745" s="933"/>
      <c r="M745" s="933"/>
      <c r="N745" s="933"/>
      <c r="O745" s="933"/>
      <c r="P745" s="933"/>
      <c r="Q745" s="933"/>
      <c r="R745" s="933"/>
      <c r="S745" s="933"/>
      <c r="T745" s="933"/>
      <c r="U745" s="933"/>
      <c r="V745" s="933"/>
      <c r="W745" s="933"/>
      <c r="X745" s="933"/>
      <c r="Y745" s="933"/>
      <c r="Z745" s="933"/>
      <c r="AA745" s="933"/>
      <c r="AB745" s="933"/>
      <c r="AC745" s="933"/>
      <c r="AD745" s="933"/>
      <c r="AE745" s="933"/>
    </row>
    <row r="746" spans="1:31" ht="12.75">
      <c r="A746" s="933"/>
      <c r="B746" s="933"/>
      <c r="C746" s="933"/>
      <c r="D746" s="933"/>
      <c r="E746" s="933"/>
      <c r="F746" s="933"/>
      <c r="G746" s="933"/>
      <c r="H746" s="933"/>
      <c r="I746" s="933"/>
      <c r="J746" s="933"/>
      <c r="K746" s="933"/>
      <c r="L746" s="933"/>
      <c r="M746" s="933"/>
      <c r="N746" s="933"/>
      <c r="O746" s="933"/>
      <c r="P746" s="933"/>
      <c r="Q746" s="933"/>
      <c r="R746" s="933"/>
      <c r="S746" s="933"/>
      <c r="T746" s="933"/>
      <c r="U746" s="933"/>
      <c r="V746" s="933"/>
      <c r="W746" s="933"/>
      <c r="X746" s="933"/>
      <c r="Y746" s="933"/>
      <c r="Z746" s="933"/>
      <c r="AA746" s="933"/>
      <c r="AB746" s="933"/>
      <c r="AC746" s="933"/>
      <c r="AD746" s="933"/>
      <c r="AE746" s="933"/>
    </row>
    <row r="747" spans="1:31" ht="12.75">
      <c r="A747" s="933"/>
      <c r="B747" s="933"/>
      <c r="C747" s="933"/>
      <c r="D747" s="933"/>
      <c r="E747" s="933"/>
      <c r="F747" s="933"/>
      <c r="G747" s="933"/>
      <c r="H747" s="933"/>
      <c r="I747" s="933"/>
      <c r="J747" s="933"/>
      <c r="K747" s="933"/>
      <c r="L747" s="933"/>
      <c r="M747" s="933"/>
      <c r="N747" s="933"/>
      <c r="O747" s="933"/>
      <c r="P747" s="933"/>
      <c r="Q747" s="933"/>
      <c r="R747" s="933"/>
      <c r="S747" s="933"/>
      <c r="T747" s="933"/>
      <c r="U747" s="933"/>
      <c r="V747" s="933"/>
      <c r="W747" s="933"/>
      <c r="X747" s="933"/>
      <c r="Y747" s="933"/>
      <c r="Z747" s="933"/>
      <c r="AA747" s="933"/>
      <c r="AB747" s="933"/>
      <c r="AC747" s="933"/>
      <c r="AD747" s="933"/>
      <c r="AE747" s="933"/>
    </row>
    <row r="748" spans="1:31" ht="12.75">
      <c r="A748" s="933"/>
      <c r="B748" s="933"/>
      <c r="C748" s="933"/>
      <c r="D748" s="933"/>
      <c r="E748" s="933"/>
      <c r="F748" s="933"/>
      <c r="G748" s="933"/>
      <c r="H748" s="933"/>
      <c r="I748" s="933"/>
      <c r="J748" s="933"/>
      <c r="K748" s="933"/>
      <c r="L748" s="933"/>
      <c r="M748" s="933"/>
      <c r="N748" s="933"/>
      <c r="O748" s="933"/>
      <c r="P748" s="933"/>
      <c r="Q748" s="933"/>
      <c r="R748" s="933"/>
      <c r="S748" s="933"/>
      <c r="T748" s="933"/>
      <c r="U748" s="933"/>
      <c r="V748" s="933"/>
      <c r="W748" s="933"/>
      <c r="X748" s="933"/>
      <c r="Y748" s="933"/>
      <c r="Z748" s="933"/>
      <c r="AA748" s="933"/>
      <c r="AB748" s="933"/>
      <c r="AC748" s="933"/>
      <c r="AD748" s="933"/>
      <c r="AE748" s="933"/>
    </row>
    <row r="749" spans="1:31" ht="12.75">
      <c r="A749" s="933"/>
      <c r="B749" s="933"/>
      <c r="C749" s="933"/>
      <c r="D749" s="933"/>
      <c r="E749" s="933"/>
      <c r="F749" s="933"/>
      <c r="G749" s="933"/>
      <c r="H749" s="933"/>
      <c r="I749" s="933"/>
      <c r="J749" s="933"/>
      <c r="K749" s="933"/>
      <c r="L749" s="933"/>
      <c r="M749" s="933"/>
      <c r="N749" s="933"/>
      <c r="O749" s="933"/>
      <c r="P749" s="933"/>
      <c r="Q749" s="933"/>
      <c r="R749" s="933"/>
      <c r="S749" s="933"/>
      <c r="T749" s="933"/>
      <c r="U749" s="933"/>
      <c r="V749" s="933"/>
      <c r="W749" s="933"/>
      <c r="X749" s="933"/>
      <c r="Y749" s="933"/>
      <c r="Z749" s="933"/>
      <c r="AA749" s="933"/>
      <c r="AB749" s="933"/>
      <c r="AC749" s="933"/>
      <c r="AD749" s="933"/>
      <c r="AE749" s="933"/>
    </row>
    <row r="750" spans="1:31" ht="12.75">
      <c r="A750" s="933"/>
      <c r="B750" s="933"/>
      <c r="C750" s="933"/>
      <c r="D750" s="933"/>
      <c r="E750" s="933"/>
      <c r="F750" s="933"/>
      <c r="G750" s="933"/>
      <c r="H750" s="933"/>
      <c r="I750" s="933"/>
      <c r="J750" s="933"/>
      <c r="K750" s="933"/>
      <c r="L750" s="933"/>
      <c r="M750" s="933"/>
      <c r="N750" s="933"/>
      <c r="O750" s="933"/>
      <c r="P750" s="933"/>
      <c r="Q750" s="933"/>
      <c r="R750" s="933"/>
      <c r="S750" s="933"/>
      <c r="T750" s="933"/>
      <c r="U750" s="933"/>
      <c r="V750" s="933"/>
      <c r="W750" s="933"/>
      <c r="X750" s="933"/>
      <c r="Y750" s="933"/>
      <c r="Z750" s="933"/>
      <c r="AA750" s="933"/>
      <c r="AB750" s="933"/>
      <c r="AC750" s="933"/>
      <c r="AD750" s="933"/>
      <c r="AE750" s="933"/>
    </row>
    <row r="751" spans="1:31" ht="12.75">
      <c r="A751" s="933"/>
      <c r="B751" s="933"/>
      <c r="C751" s="933"/>
      <c r="D751" s="933"/>
      <c r="E751" s="933"/>
      <c r="F751" s="933"/>
      <c r="G751" s="933"/>
      <c r="H751" s="933"/>
      <c r="I751" s="933"/>
      <c r="J751" s="933"/>
      <c r="K751" s="933"/>
      <c r="L751" s="933"/>
      <c r="M751" s="933"/>
      <c r="N751" s="933"/>
      <c r="O751" s="933"/>
      <c r="P751" s="933"/>
      <c r="Q751" s="933"/>
      <c r="R751" s="933"/>
      <c r="S751" s="933"/>
      <c r="T751" s="933"/>
      <c r="U751" s="933"/>
      <c r="V751" s="933"/>
      <c r="W751" s="933"/>
      <c r="X751" s="933"/>
      <c r="Y751" s="933"/>
      <c r="Z751" s="933"/>
      <c r="AA751" s="933"/>
      <c r="AB751" s="933"/>
      <c r="AC751" s="933"/>
      <c r="AD751" s="933"/>
      <c r="AE751" s="933"/>
    </row>
    <row r="752" spans="1:31" ht="12.75">
      <c r="A752" s="933"/>
      <c r="B752" s="933"/>
      <c r="C752" s="933"/>
      <c r="D752" s="933"/>
      <c r="E752" s="933"/>
      <c r="F752" s="933"/>
      <c r="G752" s="933"/>
      <c r="H752" s="933"/>
      <c r="I752" s="933"/>
      <c r="J752" s="933"/>
      <c r="K752" s="933"/>
      <c r="L752" s="933"/>
      <c r="M752" s="933"/>
      <c r="N752" s="933"/>
      <c r="O752" s="933"/>
      <c r="P752" s="933"/>
      <c r="Q752" s="933"/>
      <c r="R752" s="933"/>
      <c r="S752" s="933"/>
      <c r="T752" s="933"/>
      <c r="U752" s="933"/>
      <c r="V752" s="933"/>
      <c r="W752" s="933"/>
      <c r="X752" s="933"/>
      <c r="Y752" s="933"/>
      <c r="Z752" s="933"/>
      <c r="AA752" s="933"/>
      <c r="AB752" s="933"/>
      <c r="AC752" s="933"/>
      <c r="AD752" s="933"/>
      <c r="AE752" s="933"/>
    </row>
    <row r="753" spans="1:31" ht="12.75">
      <c r="A753" s="933"/>
      <c r="B753" s="933"/>
      <c r="C753" s="933"/>
      <c r="D753" s="933"/>
      <c r="E753" s="933"/>
      <c r="F753" s="933"/>
      <c r="G753" s="933"/>
      <c r="H753" s="933"/>
      <c r="I753" s="933"/>
      <c r="J753" s="933"/>
      <c r="K753" s="933"/>
      <c r="L753" s="933"/>
      <c r="M753" s="933"/>
      <c r="N753" s="933"/>
      <c r="O753" s="933"/>
      <c r="P753" s="933"/>
      <c r="Q753" s="933"/>
      <c r="R753" s="933"/>
      <c r="S753" s="933"/>
      <c r="T753" s="933"/>
      <c r="U753" s="933"/>
      <c r="V753" s="933"/>
      <c r="W753" s="933"/>
      <c r="X753" s="933"/>
      <c r="Y753" s="933"/>
      <c r="Z753" s="933"/>
      <c r="AA753" s="933"/>
      <c r="AB753" s="933"/>
      <c r="AC753" s="933"/>
      <c r="AD753" s="933"/>
      <c r="AE753" s="933"/>
    </row>
    <row r="754" spans="1:31" ht="12.75">
      <c r="A754" s="933"/>
      <c r="B754" s="933"/>
      <c r="C754" s="933"/>
      <c r="D754" s="933"/>
      <c r="E754" s="933"/>
      <c r="F754" s="933"/>
      <c r="G754" s="933"/>
      <c r="H754" s="933"/>
      <c r="I754" s="933"/>
      <c r="J754" s="933"/>
      <c r="K754" s="933"/>
      <c r="L754" s="933"/>
      <c r="M754" s="933"/>
      <c r="N754" s="933"/>
      <c r="O754" s="933"/>
      <c r="P754" s="933"/>
      <c r="Q754" s="933"/>
      <c r="R754" s="933"/>
      <c r="S754" s="933"/>
      <c r="T754" s="933"/>
      <c r="U754" s="933"/>
      <c r="V754" s="933"/>
      <c r="W754" s="933"/>
      <c r="X754" s="933"/>
      <c r="Y754" s="933"/>
      <c r="Z754" s="933"/>
      <c r="AA754" s="933"/>
      <c r="AB754" s="933"/>
      <c r="AC754" s="933"/>
      <c r="AD754" s="933"/>
      <c r="AE754" s="933"/>
    </row>
    <row r="755" spans="1:31" ht="12.75">
      <c r="A755" s="933"/>
      <c r="B755" s="933"/>
      <c r="C755" s="933"/>
      <c r="D755" s="933"/>
      <c r="E755" s="933"/>
      <c r="F755" s="933"/>
      <c r="G755" s="933"/>
      <c r="H755" s="933"/>
      <c r="I755" s="933"/>
      <c r="J755" s="933"/>
      <c r="K755" s="933"/>
      <c r="L755" s="933"/>
      <c r="M755" s="933"/>
      <c r="N755" s="933"/>
      <c r="O755" s="933"/>
      <c r="P755" s="933"/>
      <c r="Q755" s="933"/>
      <c r="R755" s="933"/>
      <c r="S755" s="933"/>
      <c r="T755" s="933"/>
      <c r="U755" s="933"/>
      <c r="V755" s="933"/>
      <c r="W755" s="933"/>
      <c r="X755" s="933"/>
      <c r="Y755" s="933"/>
      <c r="Z755" s="933"/>
      <c r="AA755" s="933"/>
      <c r="AB755" s="933"/>
      <c r="AC755" s="933"/>
      <c r="AD755" s="933"/>
      <c r="AE755" s="933"/>
    </row>
    <row r="756" spans="1:31" ht="12.75">
      <c r="A756" s="933"/>
      <c r="B756" s="933"/>
      <c r="C756" s="933"/>
      <c r="D756" s="933"/>
      <c r="E756" s="933"/>
      <c r="F756" s="933"/>
      <c r="G756" s="933"/>
      <c r="H756" s="933"/>
      <c r="I756" s="933"/>
      <c r="J756" s="933"/>
      <c r="K756" s="933"/>
      <c r="L756" s="933"/>
      <c r="M756" s="933"/>
      <c r="N756" s="933"/>
      <c r="O756" s="933"/>
      <c r="P756" s="933"/>
      <c r="Q756" s="933"/>
      <c r="R756" s="933"/>
      <c r="S756" s="933"/>
      <c r="T756" s="933"/>
      <c r="U756" s="933"/>
      <c r="V756" s="933"/>
      <c r="W756" s="933"/>
      <c r="X756" s="933"/>
      <c r="Y756" s="933"/>
      <c r="Z756" s="933"/>
      <c r="AA756" s="933"/>
      <c r="AB756" s="933"/>
      <c r="AC756" s="933"/>
      <c r="AD756" s="933"/>
      <c r="AE756" s="933"/>
    </row>
    <row r="757" spans="1:31" ht="12.75">
      <c r="A757" s="933"/>
      <c r="B757" s="933"/>
      <c r="C757" s="933"/>
      <c r="D757" s="933"/>
      <c r="E757" s="933"/>
      <c r="F757" s="933"/>
      <c r="G757" s="933"/>
      <c r="H757" s="933"/>
      <c r="I757" s="933"/>
      <c r="J757" s="933"/>
      <c r="K757" s="933"/>
      <c r="L757" s="933"/>
      <c r="M757" s="933"/>
      <c r="N757" s="933"/>
      <c r="O757" s="933"/>
      <c r="P757" s="933"/>
      <c r="Q757" s="933"/>
      <c r="R757" s="933"/>
      <c r="S757" s="933"/>
      <c r="T757" s="933"/>
      <c r="U757" s="933"/>
      <c r="V757" s="933"/>
      <c r="W757" s="933"/>
      <c r="X757" s="933"/>
      <c r="Y757" s="933"/>
      <c r="Z757" s="933"/>
      <c r="AA757" s="933"/>
      <c r="AB757" s="933"/>
      <c r="AC757" s="933"/>
      <c r="AD757" s="933"/>
      <c r="AE757" s="933"/>
    </row>
    <row r="758" spans="1:31" ht="12.75">
      <c r="A758" s="933"/>
      <c r="B758" s="933"/>
      <c r="C758" s="933"/>
      <c r="D758" s="933"/>
      <c r="E758" s="933"/>
      <c r="F758" s="933"/>
      <c r="G758" s="933"/>
      <c r="H758" s="933"/>
      <c r="I758" s="933"/>
      <c r="J758" s="933"/>
      <c r="K758" s="933"/>
      <c r="L758" s="933"/>
      <c r="M758" s="933"/>
      <c r="N758" s="933"/>
      <c r="O758" s="933"/>
      <c r="P758" s="933"/>
      <c r="Q758" s="933"/>
      <c r="R758" s="933"/>
      <c r="S758" s="933"/>
      <c r="T758" s="933"/>
      <c r="U758" s="933"/>
      <c r="V758" s="933"/>
      <c r="W758" s="933"/>
      <c r="X758" s="933"/>
      <c r="Y758" s="933"/>
      <c r="Z758" s="933"/>
      <c r="AA758" s="933"/>
      <c r="AB758" s="933"/>
      <c r="AC758" s="933"/>
      <c r="AD758" s="933"/>
      <c r="AE758" s="933"/>
    </row>
    <row r="759" spans="1:31" ht="12.75">
      <c r="A759" s="933"/>
      <c r="B759" s="933"/>
      <c r="C759" s="933"/>
      <c r="D759" s="933"/>
      <c r="E759" s="933"/>
      <c r="F759" s="933"/>
      <c r="G759" s="933"/>
      <c r="H759" s="933"/>
      <c r="I759" s="933"/>
      <c r="J759" s="933"/>
      <c r="K759" s="933"/>
      <c r="L759" s="933"/>
      <c r="M759" s="933"/>
      <c r="N759" s="933"/>
      <c r="O759" s="933"/>
      <c r="P759" s="933"/>
      <c r="Q759" s="933"/>
      <c r="R759" s="933"/>
      <c r="S759" s="933"/>
      <c r="T759" s="933"/>
      <c r="U759" s="933"/>
      <c r="V759" s="933"/>
      <c r="W759" s="933"/>
      <c r="X759" s="933"/>
      <c r="Y759" s="933"/>
      <c r="Z759" s="933"/>
      <c r="AA759" s="933"/>
      <c r="AB759" s="933"/>
      <c r="AC759" s="933"/>
      <c r="AD759" s="933"/>
      <c r="AE759" s="933"/>
    </row>
    <row r="760" spans="1:31" ht="12.75">
      <c r="A760" s="933"/>
      <c r="B760" s="933"/>
      <c r="C760" s="933"/>
      <c r="D760" s="933"/>
      <c r="E760" s="933"/>
      <c r="F760" s="933"/>
      <c r="G760" s="933"/>
      <c r="H760" s="933"/>
      <c r="I760" s="933"/>
      <c r="J760" s="933"/>
      <c r="K760" s="933"/>
      <c r="L760" s="933"/>
      <c r="M760" s="933"/>
      <c r="N760" s="933"/>
      <c r="O760" s="933"/>
      <c r="P760" s="933"/>
      <c r="Q760" s="933"/>
      <c r="R760" s="933"/>
      <c r="S760" s="933"/>
      <c r="T760" s="933"/>
      <c r="U760" s="933"/>
      <c r="V760" s="933"/>
      <c r="W760" s="933"/>
      <c r="X760" s="933"/>
      <c r="Y760" s="933"/>
      <c r="Z760" s="933"/>
      <c r="AA760" s="933"/>
      <c r="AB760" s="933"/>
      <c r="AC760" s="933"/>
      <c r="AD760" s="933"/>
      <c r="AE760" s="933"/>
    </row>
    <row r="761" spans="1:31" ht="12.75">
      <c r="A761" s="933"/>
      <c r="B761" s="933"/>
      <c r="C761" s="933"/>
      <c r="D761" s="933"/>
      <c r="E761" s="933"/>
      <c r="F761" s="933"/>
      <c r="G761" s="933"/>
      <c r="H761" s="933"/>
      <c r="I761" s="933"/>
      <c r="J761" s="933"/>
      <c r="K761" s="933"/>
      <c r="L761" s="933"/>
      <c r="M761" s="933"/>
      <c r="N761" s="933"/>
      <c r="O761" s="933"/>
      <c r="P761" s="933"/>
      <c r="Q761" s="933"/>
      <c r="R761" s="933"/>
      <c r="S761" s="933"/>
      <c r="T761" s="933"/>
      <c r="U761" s="933"/>
      <c r="V761" s="933"/>
      <c r="W761" s="933"/>
      <c r="X761" s="933"/>
      <c r="Y761" s="933"/>
      <c r="Z761" s="933"/>
      <c r="AA761" s="933"/>
      <c r="AB761" s="933"/>
      <c r="AC761" s="933"/>
      <c r="AD761" s="933"/>
      <c r="AE761" s="933"/>
    </row>
    <row r="762" spans="1:31" ht="12.75">
      <c r="A762" s="933"/>
      <c r="B762" s="933"/>
      <c r="C762" s="933"/>
      <c r="D762" s="933"/>
      <c r="E762" s="933"/>
      <c r="F762" s="933"/>
      <c r="G762" s="933"/>
      <c r="H762" s="933"/>
      <c r="I762" s="933"/>
      <c r="J762" s="933"/>
      <c r="K762" s="933"/>
      <c r="L762" s="933"/>
      <c r="M762" s="933"/>
      <c r="N762" s="933"/>
      <c r="O762" s="933"/>
      <c r="P762" s="933"/>
      <c r="Q762" s="933"/>
      <c r="R762" s="933"/>
      <c r="S762" s="933"/>
      <c r="T762" s="933"/>
      <c r="U762" s="933"/>
      <c r="V762" s="933"/>
      <c r="W762" s="933"/>
      <c r="X762" s="933"/>
      <c r="Y762" s="933"/>
      <c r="Z762" s="933"/>
      <c r="AA762" s="933"/>
      <c r="AB762" s="933"/>
      <c r="AC762" s="933"/>
      <c r="AD762" s="933"/>
      <c r="AE762" s="933"/>
    </row>
    <row r="763" spans="1:31" ht="12.75">
      <c r="A763" s="933"/>
      <c r="B763" s="933"/>
      <c r="C763" s="933"/>
      <c r="D763" s="933"/>
      <c r="E763" s="933"/>
      <c r="F763" s="933"/>
      <c r="G763" s="933"/>
      <c r="H763" s="933"/>
      <c r="I763" s="933"/>
      <c r="J763" s="933"/>
      <c r="K763" s="933"/>
      <c r="L763" s="933"/>
      <c r="M763" s="933"/>
      <c r="N763" s="933"/>
      <c r="O763" s="933"/>
      <c r="P763" s="933"/>
      <c r="Q763" s="933"/>
      <c r="R763" s="933"/>
      <c r="S763" s="933"/>
      <c r="T763" s="933"/>
      <c r="U763" s="933"/>
      <c r="V763" s="933"/>
      <c r="W763" s="933"/>
      <c r="X763" s="933"/>
      <c r="Y763" s="933"/>
      <c r="Z763" s="933"/>
      <c r="AA763" s="933"/>
      <c r="AB763" s="933"/>
      <c r="AC763" s="933"/>
      <c r="AD763" s="933"/>
      <c r="AE763" s="933"/>
    </row>
    <row r="764" spans="1:31" ht="12.75">
      <c r="A764" s="933"/>
      <c r="B764" s="933"/>
      <c r="C764" s="933"/>
      <c r="D764" s="933"/>
      <c r="E764" s="933"/>
      <c r="F764" s="933"/>
      <c r="G764" s="933"/>
      <c r="H764" s="933"/>
      <c r="I764" s="933"/>
      <c r="J764" s="933"/>
      <c r="K764" s="933"/>
      <c r="L764" s="933"/>
      <c r="M764" s="933"/>
      <c r="N764" s="933"/>
      <c r="O764" s="933"/>
      <c r="P764" s="933"/>
      <c r="Q764" s="933"/>
      <c r="R764" s="933"/>
      <c r="S764" s="933"/>
      <c r="T764" s="933"/>
      <c r="U764" s="933"/>
      <c r="V764" s="933"/>
      <c r="W764" s="933"/>
      <c r="X764" s="933"/>
      <c r="Y764" s="933"/>
      <c r="Z764" s="933"/>
      <c r="AA764" s="933"/>
      <c r="AB764" s="933"/>
      <c r="AC764" s="933"/>
      <c r="AD764" s="933"/>
      <c r="AE764" s="933"/>
    </row>
    <row r="765" spans="1:31" ht="12.75">
      <c r="A765" s="933"/>
      <c r="B765" s="933"/>
      <c r="C765" s="933"/>
      <c r="D765" s="933"/>
      <c r="E765" s="933"/>
      <c r="F765" s="933"/>
      <c r="G765" s="933"/>
      <c r="H765" s="933"/>
      <c r="I765" s="933"/>
      <c r="J765" s="933"/>
      <c r="K765" s="933"/>
      <c r="L765" s="933"/>
      <c r="M765" s="933"/>
      <c r="N765" s="933"/>
      <c r="O765" s="933"/>
      <c r="P765" s="933"/>
      <c r="Q765" s="933"/>
      <c r="R765" s="933"/>
      <c r="S765" s="933"/>
      <c r="T765" s="933"/>
      <c r="U765" s="933"/>
      <c r="V765" s="933"/>
      <c r="W765" s="933"/>
      <c r="X765" s="933"/>
      <c r="Y765" s="933"/>
      <c r="Z765" s="933"/>
      <c r="AA765" s="933"/>
      <c r="AB765" s="933"/>
      <c r="AC765" s="933"/>
      <c r="AD765" s="933"/>
      <c r="AE765" s="933"/>
    </row>
    <row r="766" spans="1:31" ht="12.75">
      <c r="A766" s="933"/>
      <c r="B766" s="933"/>
      <c r="C766" s="933"/>
      <c r="D766" s="933"/>
      <c r="E766" s="933"/>
      <c r="F766" s="933"/>
      <c r="G766" s="933"/>
      <c r="H766" s="933"/>
      <c r="I766" s="933"/>
      <c r="J766" s="933"/>
      <c r="K766" s="933"/>
      <c r="L766" s="933"/>
      <c r="M766" s="933"/>
      <c r="N766" s="933"/>
      <c r="O766" s="933"/>
      <c r="P766" s="933"/>
      <c r="Q766" s="933"/>
      <c r="R766" s="933"/>
      <c r="S766" s="933"/>
      <c r="T766" s="933"/>
      <c r="U766" s="933"/>
      <c r="V766" s="933"/>
      <c r="W766" s="933"/>
      <c r="X766" s="933"/>
      <c r="Y766" s="933"/>
      <c r="Z766" s="933"/>
      <c r="AA766" s="933"/>
      <c r="AB766" s="933"/>
      <c r="AC766" s="933"/>
      <c r="AD766" s="933"/>
      <c r="AE766" s="933"/>
    </row>
    <row r="767" spans="1:31" ht="12.75">
      <c r="A767" s="933"/>
      <c r="B767" s="933"/>
      <c r="C767" s="933"/>
      <c r="D767" s="933"/>
      <c r="E767" s="933"/>
      <c r="F767" s="933"/>
      <c r="G767" s="933"/>
      <c r="H767" s="933"/>
      <c r="I767" s="933"/>
      <c r="J767" s="933"/>
      <c r="K767" s="933"/>
      <c r="L767" s="933"/>
      <c r="M767" s="933"/>
      <c r="N767" s="933"/>
      <c r="O767" s="933"/>
      <c r="P767" s="933"/>
      <c r="Q767" s="933"/>
      <c r="R767" s="933"/>
      <c r="S767" s="933"/>
      <c r="T767" s="933"/>
      <c r="U767" s="933"/>
      <c r="V767" s="933"/>
      <c r="W767" s="933"/>
      <c r="X767" s="933"/>
      <c r="Y767" s="933"/>
      <c r="Z767" s="933"/>
      <c r="AA767" s="933"/>
      <c r="AB767" s="933"/>
      <c r="AC767" s="933"/>
      <c r="AD767" s="933"/>
      <c r="AE767" s="933"/>
    </row>
    <row r="768" spans="1:31" ht="12.75">
      <c r="A768" s="933"/>
      <c r="B768" s="933"/>
      <c r="C768" s="933"/>
      <c r="D768" s="933"/>
      <c r="E768" s="933"/>
      <c r="F768" s="933"/>
      <c r="G768" s="933"/>
      <c r="H768" s="933"/>
      <c r="I768" s="933"/>
      <c r="J768" s="933"/>
      <c r="K768" s="933"/>
      <c r="L768" s="933"/>
      <c r="M768" s="933"/>
      <c r="N768" s="933"/>
      <c r="O768" s="933"/>
      <c r="P768" s="933"/>
      <c r="Q768" s="933"/>
      <c r="R768" s="933"/>
      <c r="S768" s="933"/>
      <c r="T768" s="933"/>
      <c r="U768" s="933"/>
      <c r="V768" s="933"/>
      <c r="W768" s="933"/>
      <c r="X768" s="933"/>
      <c r="Y768" s="933"/>
      <c r="Z768" s="933"/>
      <c r="AA768" s="933"/>
      <c r="AB768" s="933"/>
      <c r="AC768" s="933"/>
      <c r="AD768" s="933"/>
      <c r="AE768" s="933"/>
    </row>
    <row r="769" spans="1:31" ht="12.75">
      <c r="A769" s="933"/>
      <c r="B769" s="933"/>
      <c r="C769" s="933"/>
      <c r="D769" s="933"/>
      <c r="E769" s="933"/>
      <c r="F769" s="933"/>
      <c r="G769" s="933"/>
      <c r="H769" s="933"/>
      <c r="I769" s="933"/>
      <c r="J769" s="933"/>
      <c r="K769" s="933"/>
      <c r="L769" s="933"/>
      <c r="M769" s="933"/>
      <c r="N769" s="933"/>
      <c r="O769" s="933"/>
      <c r="P769" s="933"/>
      <c r="Q769" s="933"/>
      <c r="R769" s="933"/>
      <c r="S769" s="933"/>
      <c r="T769" s="933"/>
      <c r="U769" s="933"/>
      <c r="V769" s="933"/>
      <c r="W769" s="933"/>
      <c r="X769" s="933"/>
      <c r="Y769" s="933"/>
      <c r="Z769" s="933"/>
      <c r="AA769" s="933"/>
      <c r="AB769" s="933"/>
      <c r="AC769" s="933"/>
      <c r="AD769" s="933"/>
      <c r="AE769" s="933"/>
    </row>
    <row r="770" spans="1:31" ht="12.75">
      <c r="A770" s="933"/>
      <c r="B770" s="933"/>
      <c r="C770" s="933"/>
      <c r="D770" s="933"/>
      <c r="E770" s="933"/>
      <c r="F770" s="933"/>
      <c r="G770" s="933"/>
      <c r="H770" s="933"/>
      <c r="I770" s="933"/>
      <c r="J770" s="933"/>
      <c r="K770" s="933"/>
      <c r="L770" s="933"/>
      <c r="M770" s="933"/>
      <c r="N770" s="933"/>
      <c r="O770" s="933"/>
      <c r="P770" s="933"/>
      <c r="Q770" s="933"/>
      <c r="R770" s="933"/>
      <c r="S770" s="933"/>
      <c r="T770" s="933"/>
      <c r="U770" s="933"/>
      <c r="V770" s="933"/>
      <c r="W770" s="933"/>
      <c r="X770" s="933"/>
      <c r="Y770" s="933"/>
      <c r="Z770" s="933"/>
      <c r="AA770" s="933"/>
      <c r="AB770" s="933"/>
      <c r="AC770" s="933"/>
      <c r="AD770" s="933"/>
      <c r="AE770" s="933"/>
    </row>
    <row r="771" spans="1:31" ht="12.75">
      <c r="A771" s="933"/>
      <c r="B771" s="933"/>
      <c r="C771" s="933"/>
      <c r="D771" s="933"/>
      <c r="E771" s="933"/>
      <c r="F771" s="933"/>
      <c r="G771" s="933"/>
      <c r="H771" s="933"/>
      <c r="I771" s="933"/>
      <c r="J771" s="933"/>
      <c r="K771" s="933"/>
      <c r="L771" s="933"/>
      <c r="M771" s="933"/>
      <c r="N771" s="933"/>
      <c r="O771" s="933"/>
      <c r="P771" s="933"/>
      <c r="Q771" s="933"/>
      <c r="R771" s="933"/>
      <c r="S771" s="933"/>
      <c r="T771" s="933"/>
      <c r="U771" s="933"/>
      <c r="V771" s="933"/>
      <c r="W771" s="933"/>
      <c r="X771" s="933"/>
      <c r="Y771" s="933"/>
      <c r="Z771" s="933"/>
      <c r="AA771" s="933"/>
      <c r="AB771" s="933"/>
      <c r="AC771" s="933"/>
      <c r="AD771" s="933"/>
      <c r="AE771" s="933"/>
    </row>
    <row r="772" spans="1:31" ht="12.75">
      <c r="A772" s="933"/>
      <c r="B772" s="933"/>
      <c r="C772" s="933"/>
      <c r="D772" s="933"/>
      <c r="E772" s="933"/>
      <c r="F772" s="933"/>
      <c r="G772" s="933"/>
      <c r="H772" s="933"/>
      <c r="I772" s="933"/>
      <c r="J772" s="933"/>
      <c r="K772" s="933"/>
      <c r="L772" s="933"/>
      <c r="M772" s="933"/>
      <c r="N772" s="933"/>
      <c r="O772" s="933"/>
      <c r="P772" s="933"/>
      <c r="Q772" s="933"/>
      <c r="R772" s="933"/>
      <c r="S772" s="933"/>
      <c r="T772" s="933"/>
      <c r="U772" s="933"/>
      <c r="V772" s="933"/>
      <c r="W772" s="933"/>
      <c r="X772" s="933"/>
      <c r="Y772" s="933"/>
      <c r="Z772" s="933"/>
      <c r="AA772" s="933"/>
      <c r="AB772" s="933"/>
      <c r="AC772" s="933"/>
      <c r="AD772" s="933"/>
      <c r="AE772" s="933"/>
    </row>
    <row r="773" spans="1:31" ht="12.75">
      <c r="A773" s="933"/>
      <c r="B773" s="933"/>
      <c r="C773" s="933"/>
      <c r="D773" s="933"/>
      <c r="E773" s="933"/>
      <c r="F773" s="933"/>
      <c r="G773" s="933"/>
      <c r="H773" s="933"/>
      <c r="I773" s="933"/>
      <c r="J773" s="933"/>
      <c r="K773" s="933"/>
      <c r="L773" s="933"/>
      <c r="M773" s="933"/>
      <c r="N773" s="933"/>
      <c r="O773" s="933"/>
      <c r="P773" s="933"/>
      <c r="Q773" s="933"/>
      <c r="R773" s="933"/>
      <c r="S773" s="933"/>
      <c r="T773" s="933"/>
      <c r="U773" s="933"/>
      <c r="V773" s="933"/>
      <c r="W773" s="933"/>
      <c r="X773" s="933"/>
      <c r="Y773" s="933"/>
      <c r="Z773" s="933"/>
      <c r="AA773" s="933"/>
      <c r="AB773" s="933"/>
      <c r="AC773" s="933"/>
      <c r="AD773" s="933"/>
      <c r="AE773" s="933"/>
    </row>
    <row r="774" spans="1:31" ht="12.75">
      <c r="A774" s="933"/>
      <c r="B774" s="933"/>
      <c r="C774" s="933"/>
      <c r="D774" s="933"/>
      <c r="E774" s="933"/>
      <c r="F774" s="933"/>
      <c r="G774" s="933"/>
      <c r="H774" s="933"/>
      <c r="I774" s="933"/>
      <c r="J774" s="933"/>
      <c r="K774" s="933"/>
      <c r="L774" s="933"/>
      <c r="M774" s="933"/>
      <c r="N774" s="933"/>
      <c r="O774" s="933"/>
      <c r="P774" s="933"/>
      <c r="Q774" s="933"/>
      <c r="R774" s="933"/>
      <c r="S774" s="933"/>
      <c r="T774" s="933"/>
      <c r="U774" s="933"/>
      <c r="V774" s="933"/>
      <c r="W774" s="933"/>
      <c r="X774" s="933"/>
      <c r="Y774" s="933"/>
      <c r="Z774" s="933"/>
      <c r="AA774" s="933"/>
      <c r="AB774" s="933"/>
      <c r="AC774" s="933"/>
      <c r="AD774" s="933"/>
      <c r="AE774" s="933"/>
    </row>
    <row r="775" spans="1:31" ht="12.75">
      <c r="A775" s="933"/>
      <c r="B775" s="933"/>
      <c r="C775" s="933"/>
      <c r="D775" s="933"/>
      <c r="E775" s="933"/>
      <c r="F775" s="933"/>
      <c r="G775" s="933"/>
      <c r="H775" s="933"/>
      <c r="I775" s="933"/>
      <c r="J775" s="933"/>
      <c r="K775" s="933"/>
      <c r="L775" s="933"/>
      <c r="M775" s="933"/>
      <c r="N775" s="933"/>
      <c r="O775" s="933"/>
      <c r="P775" s="933"/>
      <c r="Q775" s="933"/>
      <c r="R775" s="933"/>
      <c r="S775" s="933"/>
      <c r="T775" s="933"/>
      <c r="U775" s="933"/>
      <c r="V775" s="933"/>
      <c r="W775" s="933"/>
      <c r="X775" s="933"/>
      <c r="Y775" s="933"/>
      <c r="Z775" s="933"/>
      <c r="AA775" s="933"/>
      <c r="AB775" s="933"/>
      <c r="AC775" s="933"/>
      <c r="AD775" s="933"/>
      <c r="AE775" s="933"/>
    </row>
    <row r="776" spans="1:31" ht="12.75">
      <c r="A776" s="933"/>
      <c r="B776" s="933"/>
      <c r="C776" s="933"/>
      <c r="D776" s="933"/>
      <c r="E776" s="933"/>
      <c r="F776" s="933"/>
      <c r="G776" s="933"/>
      <c r="H776" s="933"/>
      <c r="I776" s="933"/>
      <c r="J776" s="933"/>
      <c r="K776" s="933"/>
      <c r="L776" s="933"/>
      <c r="M776" s="933"/>
      <c r="N776" s="933"/>
      <c r="O776" s="933"/>
      <c r="P776" s="933"/>
      <c r="Q776" s="933"/>
      <c r="R776" s="933"/>
      <c r="S776" s="933"/>
      <c r="T776" s="933"/>
      <c r="U776" s="933"/>
      <c r="V776" s="933"/>
      <c r="W776" s="933"/>
      <c r="X776" s="933"/>
      <c r="Y776" s="933"/>
      <c r="Z776" s="933"/>
      <c r="AA776" s="933"/>
      <c r="AB776" s="933"/>
      <c r="AC776" s="933"/>
      <c r="AD776" s="933"/>
      <c r="AE776" s="933"/>
    </row>
    <row r="777" spans="1:31" ht="12.75">
      <c r="A777" s="933"/>
      <c r="B777" s="933"/>
      <c r="C777" s="933"/>
      <c r="D777" s="933"/>
      <c r="E777" s="933"/>
      <c r="F777" s="933"/>
      <c r="G777" s="933"/>
      <c r="H777" s="933"/>
      <c r="I777" s="933"/>
      <c r="J777" s="933"/>
      <c r="K777" s="933"/>
      <c r="L777" s="933"/>
      <c r="M777" s="933"/>
      <c r="N777" s="933"/>
      <c r="O777" s="933"/>
      <c r="P777" s="933"/>
      <c r="Q777" s="933"/>
      <c r="R777" s="933"/>
      <c r="S777" s="933"/>
      <c r="T777" s="933"/>
      <c r="U777" s="933"/>
      <c r="V777" s="933"/>
      <c r="W777" s="933"/>
      <c r="X777" s="933"/>
      <c r="Y777" s="933"/>
      <c r="Z777" s="933"/>
      <c r="AA777" s="933"/>
      <c r="AB777" s="933"/>
      <c r="AC777" s="933"/>
      <c r="AD777" s="933"/>
      <c r="AE777" s="933"/>
    </row>
    <row r="778" spans="1:31" ht="12.75">
      <c r="A778" s="933"/>
      <c r="B778" s="933"/>
      <c r="C778" s="933"/>
      <c r="D778" s="933"/>
      <c r="E778" s="933"/>
      <c r="F778" s="933"/>
      <c r="G778" s="933"/>
      <c r="H778" s="933"/>
      <c r="I778" s="933"/>
      <c r="J778" s="933"/>
      <c r="K778" s="933"/>
      <c r="L778" s="933"/>
      <c r="M778" s="933"/>
      <c r="N778" s="933"/>
      <c r="O778" s="933"/>
      <c r="P778" s="933"/>
      <c r="Q778" s="933"/>
      <c r="R778" s="933"/>
      <c r="S778" s="933"/>
      <c r="T778" s="933"/>
      <c r="U778" s="933"/>
      <c r="V778" s="933"/>
      <c r="W778" s="933"/>
      <c r="X778" s="933"/>
      <c r="Y778" s="933"/>
      <c r="Z778" s="933"/>
      <c r="AA778" s="933"/>
      <c r="AB778" s="933"/>
      <c r="AC778" s="933"/>
      <c r="AD778" s="933"/>
      <c r="AE778" s="933"/>
    </row>
    <row r="779" spans="1:31" ht="12.75">
      <c r="A779" s="933"/>
      <c r="B779" s="933"/>
      <c r="C779" s="933"/>
      <c r="D779" s="933"/>
      <c r="E779" s="933"/>
      <c r="F779" s="933"/>
      <c r="G779" s="933"/>
      <c r="H779" s="933"/>
      <c r="I779" s="933"/>
      <c r="J779" s="933"/>
      <c r="K779" s="933"/>
      <c r="L779" s="933"/>
      <c r="M779" s="933"/>
      <c r="N779" s="933"/>
      <c r="O779" s="933"/>
      <c r="P779" s="933"/>
      <c r="Q779" s="933"/>
      <c r="R779" s="933"/>
      <c r="S779" s="933"/>
      <c r="T779" s="933"/>
      <c r="U779" s="933"/>
      <c r="V779" s="933"/>
      <c r="W779" s="933"/>
      <c r="X779" s="933"/>
      <c r="Y779" s="933"/>
      <c r="Z779" s="933"/>
      <c r="AA779" s="933"/>
      <c r="AB779" s="933"/>
      <c r="AC779" s="933"/>
      <c r="AD779" s="933"/>
      <c r="AE779" s="933"/>
    </row>
    <row r="780" spans="1:31" ht="12.75">
      <c r="A780" s="933"/>
      <c r="B780" s="933"/>
      <c r="C780" s="933"/>
      <c r="D780" s="933"/>
      <c r="E780" s="933"/>
      <c r="F780" s="933"/>
      <c r="G780" s="933"/>
      <c r="H780" s="933"/>
      <c r="I780" s="933"/>
      <c r="J780" s="933"/>
      <c r="K780" s="933"/>
      <c r="L780" s="933"/>
      <c r="M780" s="933"/>
      <c r="N780" s="933"/>
      <c r="O780" s="933"/>
      <c r="P780" s="933"/>
      <c r="Q780" s="933"/>
      <c r="R780" s="933"/>
      <c r="S780" s="933"/>
      <c r="T780" s="933"/>
      <c r="U780" s="933"/>
      <c r="V780" s="933"/>
      <c r="W780" s="933"/>
      <c r="X780" s="933"/>
      <c r="Y780" s="933"/>
      <c r="Z780" s="933"/>
      <c r="AA780" s="933"/>
      <c r="AB780" s="933"/>
      <c r="AC780" s="933"/>
      <c r="AD780" s="933"/>
      <c r="AE780" s="933"/>
    </row>
    <row r="781" spans="1:31" ht="12.75">
      <c r="A781" s="933"/>
      <c r="B781" s="933"/>
      <c r="C781" s="933"/>
      <c r="D781" s="933"/>
      <c r="E781" s="933"/>
      <c r="F781" s="933"/>
      <c r="G781" s="933"/>
      <c r="H781" s="933"/>
      <c r="I781" s="933"/>
      <c r="J781" s="933"/>
      <c r="K781" s="933"/>
      <c r="L781" s="933"/>
      <c r="M781" s="933"/>
      <c r="N781" s="933"/>
      <c r="O781" s="933"/>
      <c r="P781" s="933"/>
      <c r="Q781" s="933"/>
      <c r="R781" s="933"/>
      <c r="S781" s="933"/>
      <c r="T781" s="933"/>
      <c r="U781" s="933"/>
      <c r="V781" s="933"/>
      <c r="W781" s="933"/>
      <c r="X781" s="933"/>
      <c r="Y781" s="933"/>
      <c r="Z781" s="933"/>
      <c r="AA781" s="933"/>
      <c r="AB781" s="933"/>
      <c r="AC781" s="933"/>
      <c r="AD781" s="933"/>
      <c r="AE781" s="933"/>
    </row>
    <row r="782" spans="1:31" ht="12.75">
      <c r="A782" s="933"/>
      <c r="B782" s="933"/>
      <c r="C782" s="933"/>
      <c r="D782" s="933"/>
      <c r="E782" s="933"/>
      <c r="F782" s="933"/>
      <c r="G782" s="933"/>
      <c r="H782" s="933"/>
      <c r="I782" s="933"/>
      <c r="J782" s="933"/>
      <c r="K782" s="933"/>
      <c r="L782" s="933"/>
      <c r="M782" s="933"/>
      <c r="N782" s="933"/>
      <c r="O782" s="933"/>
      <c r="P782" s="933"/>
      <c r="Q782" s="933"/>
      <c r="R782" s="933"/>
      <c r="S782" s="933"/>
      <c r="T782" s="933"/>
      <c r="U782" s="933"/>
      <c r="V782" s="933"/>
      <c r="W782" s="933"/>
      <c r="X782" s="933"/>
      <c r="Y782" s="933"/>
      <c r="Z782" s="933"/>
      <c r="AA782" s="933"/>
      <c r="AB782" s="933"/>
      <c r="AC782" s="933"/>
      <c r="AD782" s="933"/>
      <c r="AE782" s="933"/>
    </row>
    <row r="783" spans="1:31" ht="12.75">
      <c r="A783" s="933"/>
      <c r="B783" s="933"/>
      <c r="C783" s="933"/>
      <c r="D783" s="933"/>
      <c r="E783" s="933"/>
      <c r="F783" s="933"/>
      <c r="G783" s="933"/>
      <c r="H783" s="933"/>
      <c r="I783" s="933"/>
      <c r="J783" s="933"/>
      <c r="K783" s="933"/>
      <c r="L783" s="933"/>
      <c r="M783" s="933"/>
      <c r="N783" s="933"/>
      <c r="O783" s="933"/>
      <c r="P783" s="933"/>
      <c r="Q783" s="933"/>
      <c r="R783" s="933"/>
      <c r="S783" s="933"/>
      <c r="T783" s="933"/>
      <c r="U783" s="933"/>
      <c r="V783" s="933"/>
      <c r="W783" s="933"/>
      <c r="X783" s="933"/>
      <c r="Y783" s="933"/>
      <c r="Z783" s="933"/>
      <c r="AA783" s="933"/>
      <c r="AB783" s="933"/>
      <c r="AC783" s="933"/>
      <c r="AD783" s="933"/>
      <c r="AE783" s="933"/>
    </row>
    <row r="784" spans="1:31" ht="12.75">
      <c r="A784" s="933"/>
      <c r="B784" s="933"/>
      <c r="C784" s="933"/>
      <c r="D784" s="933"/>
      <c r="E784" s="933"/>
      <c r="F784" s="933"/>
      <c r="G784" s="933"/>
      <c r="H784" s="933"/>
      <c r="I784" s="933"/>
      <c r="J784" s="933"/>
      <c r="K784" s="933"/>
      <c r="L784" s="933"/>
      <c r="M784" s="933"/>
      <c r="N784" s="933"/>
      <c r="O784" s="933"/>
      <c r="P784" s="933"/>
      <c r="Q784" s="933"/>
      <c r="R784" s="933"/>
      <c r="S784" s="933"/>
      <c r="T784" s="933"/>
      <c r="U784" s="933"/>
      <c r="V784" s="933"/>
      <c r="W784" s="933"/>
      <c r="X784" s="933"/>
      <c r="Y784" s="933"/>
      <c r="Z784" s="933"/>
      <c r="AA784" s="933"/>
      <c r="AB784" s="933"/>
      <c r="AC784" s="933"/>
      <c r="AD784" s="933"/>
      <c r="AE784" s="933"/>
    </row>
    <row r="785" spans="1:31" ht="12.75">
      <c r="A785" s="933"/>
      <c r="B785" s="933"/>
      <c r="C785" s="933"/>
      <c r="D785" s="933"/>
      <c r="E785" s="933"/>
      <c r="F785" s="933"/>
      <c r="G785" s="933"/>
      <c r="H785" s="933"/>
      <c r="I785" s="933"/>
      <c r="J785" s="933"/>
      <c r="K785" s="933"/>
      <c r="L785" s="933"/>
      <c r="M785" s="933"/>
      <c r="N785" s="933"/>
      <c r="O785" s="933"/>
      <c r="P785" s="933"/>
      <c r="Q785" s="933"/>
      <c r="R785" s="933"/>
      <c r="S785" s="933"/>
      <c r="T785" s="933"/>
      <c r="U785" s="933"/>
      <c r="V785" s="933"/>
      <c r="W785" s="933"/>
      <c r="X785" s="933"/>
      <c r="Y785" s="933"/>
      <c r="Z785" s="933"/>
      <c r="AA785" s="933"/>
      <c r="AB785" s="933"/>
      <c r="AC785" s="933"/>
      <c r="AD785" s="933"/>
      <c r="AE785" s="933"/>
    </row>
    <row r="786" spans="1:31" ht="12.75">
      <c r="A786" s="933"/>
      <c r="B786" s="933"/>
      <c r="C786" s="933"/>
      <c r="D786" s="933"/>
      <c r="E786" s="933"/>
      <c r="F786" s="933"/>
      <c r="G786" s="933"/>
      <c r="H786" s="933"/>
      <c r="I786" s="933"/>
      <c r="J786" s="933"/>
      <c r="K786" s="933"/>
      <c r="L786" s="933"/>
      <c r="M786" s="933"/>
      <c r="N786" s="933"/>
      <c r="O786" s="933"/>
      <c r="P786" s="933"/>
      <c r="Q786" s="933"/>
      <c r="R786" s="933"/>
      <c r="S786" s="933"/>
      <c r="T786" s="933"/>
      <c r="U786" s="933"/>
      <c r="V786" s="933"/>
      <c r="W786" s="933"/>
      <c r="X786" s="933"/>
      <c r="Y786" s="933"/>
      <c r="Z786" s="933"/>
      <c r="AA786" s="933"/>
      <c r="AB786" s="933"/>
      <c r="AC786" s="933"/>
      <c r="AD786" s="933"/>
      <c r="AE786" s="933"/>
    </row>
    <row r="787" spans="1:31" ht="12.75">
      <c r="A787" s="933"/>
      <c r="B787" s="933"/>
      <c r="C787" s="933"/>
      <c r="D787" s="933"/>
      <c r="E787" s="933"/>
      <c r="F787" s="933"/>
      <c r="G787" s="933"/>
      <c r="H787" s="933"/>
      <c r="I787" s="933"/>
      <c r="J787" s="933"/>
      <c r="K787" s="933"/>
      <c r="L787" s="933"/>
      <c r="M787" s="933"/>
      <c r="N787" s="933"/>
      <c r="O787" s="933"/>
      <c r="P787" s="933"/>
      <c r="Q787" s="933"/>
      <c r="R787" s="933"/>
      <c r="S787" s="933"/>
      <c r="T787" s="933"/>
      <c r="U787" s="933"/>
      <c r="V787" s="933"/>
      <c r="W787" s="933"/>
      <c r="X787" s="933"/>
      <c r="Y787" s="933"/>
      <c r="Z787" s="933"/>
      <c r="AA787" s="933"/>
      <c r="AB787" s="933"/>
      <c r="AC787" s="933"/>
      <c r="AD787" s="933"/>
      <c r="AE787" s="933"/>
    </row>
    <row r="788" spans="1:31" ht="12.75">
      <c r="A788" s="933"/>
      <c r="B788" s="933"/>
      <c r="C788" s="933"/>
      <c r="D788" s="933"/>
      <c r="E788" s="933"/>
      <c r="F788" s="933"/>
      <c r="G788" s="933"/>
      <c r="H788" s="933"/>
      <c r="I788" s="933"/>
      <c r="J788" s="933"/>
      <c r="K788" s="933"/>
      <c r="L788" s="933"/>
      <c r="M788" s="933"/>
      <c r="N788" s="933"/>
      <c r="O788" s="933"/>
      <c r="P788" s="933"/>
      <c r="Q788" s="933"/>
      <c r="R788" s="933"/>
      <c r="S788" s="933"/>
      <c r="T788" s="933"/>
      <c r="U788" s="933"/>
      <c r="V788" s="933"/>
      <c r="W788" s="933"/>
      <c r="X788" s="933"/>
      <c r="Y788" s="933"/>
      <c r="Z788" s="933"/>
      <c r="AA788" s="933"/>
      <c r="AB788" s="933"/>
      <c r="AC788" s="933"/>
      <c r="AD788" s="933"/>
      <c r="AE788" s="933"/>
    </row>
    <row r="789" spans="1:31" ht="12.75">
      <c r="A789" s="933"/>
      <c r="B789" s="933"/>
      <c r="C789" s="933"/>
      <c r="D789" s="933"/>
      <c r="E789" s="933"/>
      <c r="F789" s="933"/>
      <c r="G789" s="933"/>
      <c r="H789" s="933"/>
      <c r="I789" s="933"/>
      <c r="J789" s="933"/>
      <c r="K789" s="933"/>
      <c r="L789" s="933"/>
      <c r="M789" s="933"/>
      <c r="N789" s="933"/>
      <c r="O789" s="933"/>
      <c r="P789" s="933"/>
      <c r="Q789" s="933"/>
      <c r="R789" s="933"/>
      <c r="S789" s="933"/>
      <c r="T789" s="933"/>
      <c r="U789" s="933"/>
      <c r="V789" s="933"/>
      <c r="W789" s="933"/>
      <c r="X789" s="933"/>
      <c r="Y789" s="933"/>
      <c r="Z789" s="933"/>
      <c r="AA789" s="933"/>
      <c r="AB789" s="933"/>
      <c r="AC789" s="933"/>
      <c r="AD789" s="933"/>
      <c r="AE789" s="933"/>
    </row>
    <row r="790" spans="1:31" ht="12.75">
      <c r="A790" s="933"/>
      <c r="B790" s="933"/>
      <c r="C790" s="933"/>
      <c r="D790" s="933"/>
      <c r="E790" s="933"/>
      <c r="F790" s="933"/>
      <c r="G790" s="933"/>
      <c r="H790" s="933"/>
      <c r="I790" s="933"/>
      <c r="J790" s="933"/>
      <c r="K790" s="933"/>
      <c r="L790" s="933"/>
      <c r="M790" s="933"/>
      <c r="N790" s="933"/>
      <c r="O790" s="933"/>
      <c r="P790" s="933"/>
      <c r="Q790" s="933"/>
      <c r="R790" s="933"/>
      <c r="S790" s="933"/>
      <c r="T790" s="933"/>
      <c r="U790" s="933"/>
      <c r="V790" s="933"/>
      <c r="W790" s="933"/>
      <c r="X790" s="933"/>
      <c r="Y790" s="933"/>
      <c r="Z790" s="933"/>
      <c r="AA790" s="933"/>
      <c r="AB790" s="933"/>
      <c r="AC790" s="933"/>
      <c r="AD790" s="933"/>
      <c r="AE790" s="933"/>
    </row>
    <row r="791" spans="1:31" ht="12.75">
      <c r="A791" s="933"/>
      <c r="B791" s="933"/>
      <c r="C791" s="933"/>
      <c r="D791" s="933"/>
      <c r="E791" s="933"/>
      <c r="F791" s="933"/>
      <c r="G791" s="933"/>
      <c r="H791" s="933"/>
      <c r="I791" s="933"/>
      <c r="J791" s="933"/>
      <c r="K791" s="933"/>
      <c r="L791" s="933"/>
      <c r="M791" s="933"/>
      <c r="N791" s="933"/>
      <c r="O791" s="933"/>
      <c r="P791" s="933"/>
      <c r="Q791" s="933"/>
      <c r="R791" s="933"/>
      <c r="S791" s="933"/>
      <c r="T791" s="933"/>
      <c r="U791" s="933"/>
      <c r="V791" s="933"/>
      <c r="W791" s="933"/>
      <c r="X791" s="933"/>
      <c r="Y791" s="933"/>
      <c r="Z791" s="933"/>
      <c r="AA791" s="933"/>
      <c r="AB791" s="933"/>
      <c r="AC791" s="933"/>
      <c r="AD791" s="933"/>
      <c r="AE791" s="933"/>
    </row>
    <row r="792" spans="1:31" ht="12.75">
      <c r="A792" s="933"/>
      <c r="B792" s="933"/>
      <c r="C792" s="933"/>
      <c r="D792" s="933"/>
      <c r="E792" s="933"/>
      <c r="F792" s="933"/>
      <c r="G792" s="933"/>
      <c r="H792" s="933"/>
      <c r="I792" s="933"/>
      <c r="J792" s="933"/>
      <c r="K792" s="933"/>
      <c r="L792" s="933"/>
      <c r="M792" s="933"/>
      <c r="N792" s="933"/>
      <c r="O792" s="933"/>
      <c r="P792" s="933"/>
      <c r="Q792" s="933"/>
      <c r="R792" s="933"/>
      <c r="S792" s="933"/>
      <c r="T792" s="933"/>
      <c r="U792" s="933"/>
      <c r="V792" s="933"/>
      <c r="W792" s="933"/>
      <c r="X792" s="933"/>
      <c r="Y792" s="933"/>
      <c r="Z792" s="933"/>
      <c r="AA792" s="933"/>
      <c r="AB792" s="933"/>
      <c r="AC792" s="933"/>
      <c r="AD792" s="933"/>
      <c r="AE792" s="933"/>
    </row>
    <row r="793" spans="1:31" ht="12.75">
      <c r="A793" s="933"/>
      <c r="B793" s="933"/>
      <c r="C793" s="933"/>
      <c r="D793" s="933"/>
      <c r="E793" s="933"/>
      <c r="F793" s="933"/>
      <c r="G793" s="933"/>
      <c r="H793" s="933"/>
      <c r="I793" s="933"/>
      <c r="J793" s="933"/>
      <c r="K793" s="933"/>
      <c r="L793" s="933"/>
      <c r="M793" s="933"/>
      <c r="N793" s="933"/>
      <c r="O793" s="933"/>
      <c r="P793" s="933"/>
      <c r="Q793" s="933"/>
      <c r="R793" s="933"/>
      <c r="S793" s="933"/>
      <c r="T793" s="933"/>
      <c r="U793" s="933"/>
      <c r="V793" s="933"/>
      <c r="W793" s="933"/>
      <c r="X793" s="933"/>
      <c r="Y793" s="933"/>
      <c r="Z793" s="933"/>
      <c r="AA793" s="933"/>
      <c r="AB793" s="933"/>
      <c r="AC793" s="933"/>
      <c r="AD793" s="933"/>
      <c r="AE793" s="933"/>
    </row>
    <row r="794" spans="1:31" ht="12.75">
      <c r="A794" s="933"/>
      <c r="B794" s="933"/>
      <c r="C794" s="933"/>
      <c r="D794" s="933"/>
      <c r="E794" s="933"/>
      <c r="F794" s="933"/>
      <c r="G794" s="933"/>
      <c r="H794" s="933"/>
      <c r="I794" s="933"/>
      <c r="J794" s="933"/>
      <c r="K794" s="933"/>
      <c r="L794" s="933"/>
      <c r="M794" s="933"/>
      <c r="N794" s="933"/>
      <c r="O794" s="933"/>
      <c r="P794" s="933"/>
      <c r="Q794" s="933"/>
      <c r="R794" s="933"/>
      <c r="S794" s="933"/>
      <c r="T794" s="933"/>
      <c r="U794" s="933"/>
      <c r="V794" s="933"/>
      <c r="W794" s="933"/>
      <c r="X794" s="933"/>
      <c r="Y794" s="933"/>
      <c r="Z794" s="933"/>
      <c r="AA794" s="933"/>
      <c r="AB794" s="933"/>
      <c r="AC794" s="933"/>
      <c r="AD794" s="933"/>
      <c r="AE794" s="933"/>
    </row>
    <row r="795" spans="1:31" ht="12.75">
      <c r="A795" s="933"/>
      <c r="B795" s="933"/>
      <c r="C795" s="933"/>
      <c r="D795" s="933"/>
      <c r="E795" s="933"/>
      <c r="F795" s="933"/>
      <c r="G795" s="933"/>
      <c r="H795" s="933"/>
      <c r="I795" s="933"/>
      <c r="J795" s="933"/>
      <c r="K795" s="933"/>
      <c r="L795" s="933"/>
      <c r="M795" s="933"/>
      <c r="N795" s="933"/>
      <c r="O795" s="933"/>
      <c r="P795" s="933"/>
      <c r="Q795" s="933"/>
      <c r="R795" s="933"/>
      <c r="S795" s="933"/>
      <c r="T795" s="933"/>
      <c r="U795" s="933"/>
      <c r="V795" s="933"/>
      <c r="W795" s="933"/>
      <c r="X795" s="933"/>
      <c r="Y795" s="933"/>
      <c r="Z795" s="933"/>
      <c r="AA795" s="933"/>
      <c r="AB795" s="933"/>
      <c r="AC795" s="933"/>
      <c r="AD795" s="933"/>
      <c r="AE795" s="933"/>
    </row>
    <row r="796" spans="1:31" ht="12.75">
      <c r="A796" s="933"/>
      <c r="B796" s="933"/>
      <c r="C796" s="933"/>
      <c r="D796" s="933"/>
      <c r="E796" s="933"/>
      <c r="F796" s="933"/>
      <c r="G796" s="933"/>
      <c r="H796" s="933"/>
      <c r="I796" s="933"/>
      <c r="J796" s="933"/>
      <c r="K796" s="933"/>
      <c r="L796" s="933"/>
      <c r="M796" s="933"/>
      <c r="N796" s="933"/>
      <c r="O796" s="933"/>
      <c r="P796" s="933"/>
      <c r="Q796" s="933"/>
      <c r="R796" s="933"/>
      <c r="S796" s="933"/>
      <c r="T796" s="933"/>
      <c r="U796" s="933"/>
      <c r="V796" s="933"/>
      <c r="W796" s="933"/>
      <c r="X796" s="933"/>
      <c r="Y796" s="933"/>
      <c r="Z796" s="933"/>
      <c r="AA796" s="933"/>
      <c r="AB796" s="933"/>
      <c r="AC796" s="933"/>
      <c r="AD796" s="933"/>
      <c r="AE796" s="933"/>
    </row>
    <row r="797" spans="1:31" ht="12.75">
      <c r="A797" s="933"/>
      <c r="B797" s="933"/>
      <c r="C797" s="933"/>
      <c r="D797" s="933"/>
      <c r="E797" s="933"/>
      <c r="F797" s="933"/>
      <c r="G797" s="933"/>
      <c r="H797" s="933"/>
      <c r="I797" s="933"/>
      <c r="J797" s="933"/>
      <c r="K797" s="933"/>
      <c r="L797" s="933"/>
      <c r="M797" s="933"/>
      <c r="N797" s="933"/>
      <c r="O797" s="933"/>
      <c r="P797" s="933"/>
      <c r="Q797" s="933"/>
      <c r="R797" s="933"/>
      <c r="S797" s="933"/>
      <c r="T797" s="933"/>
      <c r="U797" s="933"/>
      <c r="V797" s="933"/>
      <c r="W797" s="933"/>
      <c r="X797" s="933"/>
      <c r="Y797" s="933"/>
      <c r="Z797" s="933"/>
      <c r="AA797" s="933"/>
      <c r="AB797" s="933"/>
      <c r="AC797" s="933"/>
      <c r="AD797" s="933"/>
      <c r="AE797" s="933"/>
    </row>
    <row r="798" spans="1:31" ht="12.75">
      <c r="A798" s="933"/>
      <c r="B798" s="933"/>
      <c r="C798" s="933"/>
      <c r="D798" s="933"/>
      <c r="E798" s="933"/>
      <c r="F798" s="933"/>
      <c r="G798" s="933"/>
      <c r="H798" s="933"/>
      <c r="I798" s="933"/>
      <c r="J798" s="933"/>
      <c r="K798" s="933"/>
      <c r="L798" s="933"/>
      <c r="M798" s="933"/>
      <c r="N798" s="933"/>
      <c r="O798" s="933"/>
      <c r="P798" s="933"/>
      <c r="Q798" s="933"/>
      <c r="R798" s="933"/>
      <c r="S798" s="933"/>
      <c r="T798" s="933"/>
      <c r="U798" s="933"/>
      <c r="V798" s="933"/>
      <c r="W798" s="933"/>
      <c r="X798" s="933"/>
      <c r="Y798" s="933"/>
      <c r="Z798" s="933"/>
      <c r="AA798" s="933"/>
      <c r="AB798" s="933"/>
      <c r="AC798" s="933"/>
      <c r="AD798" s="933"/>
      <c r="AE798" s="933"/>
    </row>
    <row r="799" spans="1:31" ht="12.75">
      <c r="A799" s="933"/>
      <c r="B799" s="933"/>
      <c r="C799" s="933"/>
      <c r="D799" s="933"/>
      <c r="E799" s="933"/>
      <c r="F799" s="933"/>
      <c r="G799" s="933"/>
      <c r="H799" s="933"/>
      <c r="I799" s="933"/>
      <c r="J799" s="933"/>
      <c r="K799" s="933"/>
      <c r="L799" s="933"/>
      <c r="M799" s="933"/>
      <c r="N799" s="933"/>
      <c r="O799" s="933"/>
      <c r="P799" s="933"/>
      <c r="Q799" s="933"/>
      <c r="R799" s="933"/>
      <c r="S799" s="933"/>
      <c r="T799" s="933"/>
      <c r="U799" s="933"/>
      <c r="V799" s="933"/>
      <c r="W799" s="933"/>
      <c r="X799" s="933"/>
      <c r="Y799" s="933"/>
      <c r="Z799" s="933"/>
      <c r="AA799" s="933"/>
      <c r="AB799" s="933"/>
      <c r="AC799" s="933"/>
      <c r="AD799" s="933"/>
      <c r="AE799" s="933"/>
    </row>
    <row r="800" spans="1:31" ht="12.75">
      <c r="A800" s="933"/>
      <c r="B800" s="933"/>
      <c r="C800" s="933"/>
      <c r="D800" s="933"/>
      <c r="E800" s="933"/>
      <c r="F800" s="933"/>
      <c r="G800" s="933"/>
      <c r="H800" s="933"/>
      <c r="I800" s="933"/>
      <c r="J800" s="933"/>
      <c r="K800" s="933"/>
      <c r="L800" s="933"/>
      <c r="M800" s="933"/>
      <c r="N800" s="933"/>
      <c r="O800" s="933"/>
      <c r="P800" s="933"/>
      <c r="Q800" s="933"/>
      <c r="R800" s="933"/>
      <c r="S800" s="933"/>
      <c r="T800" s="933"/>
      <c r="U800" s="933"/>
      <c r="V800" s="933"/>
      <c r="W800" s="933"/>
      <c r="X800" s="933"/>
      <c r="Y800" s="933"/>
      <c r="Z800" s="933"/>
      <c r="AA800" s="933"/>
      <c r="AB800" s="933"/>
      <c r="AC800" s="933"/>
      <c r="AD800" s="933"/>
      <c r="AE800" s="933"/>
    </row>
    <row r="801" spans="1:31" ht="12.75">
      <c r="A801" s="933"/>
      <c r="B801" s="933"/>
      <c r="C801" s="933"/>
      <c r="D801" s="933"/>
      <c r="E801" s="933"/>
      <c r="F801" s="933"/>
      <c r="G801" s="933"/>
      <c r="H801" s="933"/>
      <c r="I801" s="933"/>
      <c r="J801" s="933"/>
      <c r="K801" s="933"/>
      <c r="L801" s="933"/>
      <c r="M801" s="933"/>
      <c r="N801" s="933"/>
      <c r="O801" s="933"/>
      <c r="P801" s="933"/>
      <c r="Q801" s="933"/>
      <c r="R801" s="933"/>
      <c r="S801" s="933"/>
      <c r="T801" s="933"/>
      <c r="U801" s="933"/>
      <c r="V801" s="933"/>
      <c r="W801" s="933"/>
      <c r="X801" s="933"/>
      <c r="Y801" s="933"/>
      <c r="Z801" s="933"/>
      <c r="AA801" s="933"/>
      <c r="AB801" s="933"/>
      <c r="AC801" s="933"/>
      <c r="AD801" s="933"/>
      <c r="AE801" s="933"/>
    </row>
    <row r="802" spans="1:31" ht="12.75">
      <c r="A802" s="933"/>
      <c r="B802" s="933"/>
      <c r="C802" s="933"/>
      <c r="D802" s="933"/>
      <c r="E802" s="933"/>
      <c r="F802" s="933"/>
      <c r="G802" s="933"/>
      <c r="H802" s="933"/>
      <c r="I802" s="933"/>
      <c r="J802" s="933"/>
      <c r="K802" s="933"/>
      <c r="L802" s="933"/>
      <c r="M802" s="933"/>
      <c r="N802" s="933"/>
      <c r="O802" s="933"/>
      <c r="P802" s="933"/>
      <c r="Q802" s="933"/>
      <c r="R802" s="933"/>
      <c r="S802" s="933"/>
      <c r="T802" s="933"/>
      <c r="U802" s="933"/>
      <c r="V802" s="933"/>
      <c r="W802" s="933"/>
      <c r="X802" s="933"/>
      <c r="Y802" s="933"/>
      <c r="Z802" s="933"/>
      <c r="AA802" s="933"/>
      <c r="AB802" s="933"/>
      <c r="AC802" s="933"/>
      <c r="AD802" s="933"/>
      <c r="AE802" s="933"/>
    </row>
    <row r="803" spans="1:31" ht="12.75">
      <c r="A803" s="933"/>
      <c r="B803" s="933"/>
      <c r="C803" s="933"/>
      <c r="D803" s="933"/>
      <c r="E803" s="933"/>
      <c r="F803" s="933"/>
      <c r="G803" s="933"/>
      <c r="H803" s="933"/>
      <c r="I803" s="933"/>
      <c r="J803" s="933"/>
      <c r="K803" s="933"/>
      <c r="L803" s="933"/>
      <c r="M803" s="933"/>
      <c r="N803" s="933"/>
      <c r="O803" s="933"/>
      <c r="P803" s="933"/>
      <c r="Q803" s="933"/>
      <c r="R803" s="933"/>
      <c r="S803" s="933"/>
      <c r="T803" s="933"/>
      <c r="U803" s="933"/>
      <c r="V803" s="933"/>
      <c r="W803" s="933"/>
      <c r="X803" s="933"/>
      <c r="Y803" s="933"/>
      <c r="Z803" s="933"/>
      <c r="AA803" s="933"/>
      <c r="AB803" s="933"/>
      <c r="AC803" s="933"/>
      <c r="AD803" s="933"/>
      <c r="AE803" s="933"/>
    </row>
    <row r="804" spans="1:31" ht="12.75">
      <c r="A804" s="933"/>
      <c r="B804" s="933"/>
      <c r="C804" s="933"/>
      <c r="D804" s="933"/>
      <c r="E804" s="933"/>
      <c r="F804" s="933"/>
      <c r="G804" s="933"/>
      <c r="H804" s="933"/>
      <c r="I804" s="933"/>
      <c r="J804" s="933"/>
      <c r="K804" s="933"/>
      <c r="L804" s="933"/>
      <c r="M804" s="933"/>
      <c r="N804" s="933"/>
      <c r="O804" s="933"/>
      <c r="P804" s="933"/>
      <c r="Q804" s="933"/>
      <c r="R804" s="933"/>
      <c r="S804" s="933"/>
      <c r="T804" s="933"/>
      <c r="U804" s="933"/>
      <c r="V804" s="933"/>
      <c r="W804" s="933"/>
      <c r="X804" s="933"/>
      <c r="Y804" s="933"/>
      <c r="Z804" s="933"/>
      <c r="AA804" s="933"/>
      <c r="AB804" s="933"/>
      <c r="AC804" s="933"/>
      <c r="AD804" s="933"/>
      <c r="AE804" s="933"/>
    </row>
    <row r="805" spans="1:31" ht="12.75">
      <c r="A805" s="933"/>
      <c r="B805" s="933"/>
      <c r="C805" s="933"/>
      <c r="D805" s="933"/>
      <c r="E805" s="933"/>
      <c r="F805" s="933"/>
      <c r="G805" s="933"/>
      <c r="H805" s="933"/>
      <c r="I805" s="933"/>
      <c r="J805" s="933"/>
      <c r="K805" s="933"/>
      <c r="L805" s="933"/>
      <c r="M805" s="933"/>
      <c r="N805" s="933"/>
      <c r="O805" s="933"/>
      <c r="P805" s="933"/>
      <c r="Q805" s="933"/>
      <c r="R805" s="933"/>
      <c r="S805" s="933"/>
      <c r="T805" s="933"/>
      <c r="U805" s="933"/>
      <c r="V805" s="933"/>
      <c r="W805" s="933"/>
      <c r="X805" s="933"/>
      <c r="Y805" s="933"/>
      <c r="Z805" s="933"/>
      <c r="AA805" s="933"/>
      <c r="AB805" s="933"/>
      <c r="AC805" s="933"/>
      <c r="AD805" s="933"/>
      <c r="AE805" s="933"/>
    </row>
    <row r="806" spans="1:31" ht="12.75">
      <c r="A806" s="933"/>
      <c r="B806" s="933"/>
      <c r="C806" s="933"/>
      <c r="D806" s="933"/>
      <c r="E806" s="933"/>
      <c r="F806" s="933"/>
      <c r="G806" s="933"/>
      <c r="H806" s="933"/>
      <c r="I806" s="933"/>
      <c r="J806" s="933"/>
      <c r="K806" s="933"/>
      <c r="L806" s="933"/>
      <c r="M806" s="933"/>
      <c r="N806" s="933"/>
      <c r="O806" s="933"/>
      <c r="P806" s="933"/>
      <c r="Q806" s="933"/>
      <c r="R806" s="933"/>
      <c r="S806" s="933"/>
      <c r="T806" s="933"/>
      <c r="U806" s="933"/>
      <c r="V806" s="933"/>
      <c r="W806" s="933"/>
      <c r="X806" s="933"/>
      <c r="Y806" s="933"/>
      <c r="Z806" s="933"/>
      <c r="AA806" s="933"/>
      <c r="AB806" s="933"/>
      <c r="AC806" s="933"/>
      <c r="AD806" s="933"/>
      <c r="AE806" s="933"/>
    </row>
    <row r="807" spans="1:31" ht="12.75">
      <c r="A807" s="933"/>
      <c r="B807" s="933"/>
      <c r="C807" s="933"/>
      <c r="D807" s="933"/>
      <c r="E807" s="933"/>
      <c r="F807" s="933"/>
      <c r="G807" s="933"/>
      <c r="H807" s="933"/>
      <c r="I807" s="933"/>
      <c r="J807" s="933"/>
      <c r="K807" s="933"/>
      <c r="L807" s="933"/>
      <c r="M807" s="933"/>
      <c r="N807" s="933"/>
      <c r="O807" s="933"/>
      <c r="P807" s="933"/>
      <c r="Q807" s="933"/>
      <c r="R807" s="933"/>
      <c r="S807" s="933"/>
      <c r="T807" s="933"/>
      <c r="U807" s="933"/>
      <c r="V807" s="933"/>
      <c r="W807" s="933"/>
      <c r="X807" s="933"/>
      <c r="Y807" s="933"/>
      <c r="Z807" s="933"/>
      <c r="AA807" s="933"/>
      <c r="AB807" s="933"/>
      <c r="AC807" s="933"/>
      <c r="AD807" s="933"/>
      <c r="AE807" s="933"/>
    </row>
    <row r="808" spans="1:31" ht="12.75">
      <c r="A808" s="933"/>
      <c r="B808" s="933"/>
      <c r="C808" s="933"/>
      <c r="D808" s="933"/>
      <c r="E808" s="933"/>
      <c r="F808" s="933"/>
      <c r="G808" s="933"/>
      <c r="H808" s="933"/>
      <c r="I808" s="933"/>
      <c r="J808" s="933"/>
      <c r="K808" s="933"/>
      <c r="L808" s="933"/>
      <c r="M808" s="933"/>
      <c r="N808" s="933"/>
      <c r="O808" s="933"/>
      <c r="P808" s="933"/>
      <c r="Q808" s="933"/>
      <c r="R808" s="933"/>
      <c r="S808" s="933"/>
      <c r="T808" s="933"/>
      <c r="U808" s="933"/>
      <c r="V808" s="933"/>
      <c r="W808" s="933"/>
      <c r="X808" s="933"/>
      <c r="Y808" s="933"/>
      <c r="Z808" s="933"/>
      <c r="AA808" s="933"/>
      <c r="AB808" s="933"/>
      <c r="AC808" s="933"/>
      <c r="AD808" s="933"/>
      <c r="AE808" s="933"/>
    </row>
    <row r="809" spans="1:31" ht="12.75">
      <c r="A809" s="933"/>
      <c r="B809" s="933"/>
      <c r="C809" s="933"/>
      <c r="D809" s="933"/>
      <c r="E809" s="933"/>
      <c r="F809" s="933"/>
      <c r="G809" s="933"/>
      <c r="H809" s="933"/>
      <c r="I809" s="933"/>
      <c r="J809" s="933"/>
      <c r="K809" s="933"/>
      <c r="L809" s="933"/>
      <c r="M809" s="933"/>
      <c r="N809" s="933"/>
      <c r="O809" s="933"/>
      <c r="P809" s="933"/>
      <c r="Q809" s="933"/>
      <c r="R809" s="933"/>
      <c r="S809" s="933"/>
      <c r="T809" s="933"/>
      <c r="U809" s="933"/>
      <c r="V809" s="933"/>
      <c r="W809" s="933"/>
      <c r="X809" s="933"/>
      <c r="Y809" s="933"/>
      <c r="Z809" s="933"/>
      <c r="AA809" s="933"/>
      <c r="AB809" s="933"/>
      <c r="AC809" s="933"/>
      <c r="AD809" s="933"/>
      <c r="AE809" s="933"/>
    </row>
    <row r="810" spans="1:31" ht="12.75">
      <c r="A810" s="933"/>
      <c r="B810" s="933"/>
      <c r="C810" s="933"/>
      <c r="D810" s="933"/>
      <c r="E810" s="933"/>
      <c r="F810" s="933"/>
      <c r="G810" s="933"/>
      <c r="H810" s="933"/>
      <c r="I810" s="933"/>
      <c r="J810" s="933"/>
      <c r="K810" s="933"/>
      <c r="L810" s="933"/>
      <c r="M810" s="933"/>
      <c r="N810" s="933"/>
      <c r="O810" s="933"/>
      <c r="P810" s="933"/>
      <c r="Q810" s="933"/>
      <c r="R810" s="933"/>
      <c r="S810" s="933"/>
      <c r="T810" s="933"/>
      <c r="U810" s="933"/>
      <c r="V810" s="933"/>
      <c r="W810" s="933"/>
      <c r="X810" s="933"/>
      <c r="Y810" s="933"/>
      <c r="Z810" s="933"/>
      <c r="AA810" s="933"/>
      <c r="AB810" s="933"/>
      <c r="AC810" s="933"/>
      <c r="AD810" s="933"/>
      <c r="AE810" s="933"/>
    </row>
    <row r="811" spans="1:31" ht="12.75">
      <c r="A811" s="933"/>
      <c r="B811" s="933"/>
      <c r="C811" s="933"/>
      <c r="D811" s="933"/>
      <c r="E811" s="933"/>
      <c r="F811" s="933"/>
      <c r="G811" s="933"/>
      <c r="H811" s="933"/>
      <c r="I811" s="933"/>
      <c r="J811" s="933"/>
      <c r="K811" s="933"/>
      <c r="L811" s="933"/>
      <c r="M811" s="933"/>
      <c r="N811" s="933"/>
      <c r="O811" s="933"/>
      <c r="P811" s="933"/>
      <c r="Q811" s="933"/>
      <c r="R811" s="933"/>
      <c r="S811" s="933"/>
      <c r="T811" s="933"/>
      <c r="U811" s="933"/>
      <c r="V811" s="933"/>
      <c r="W811" s="933"/>
      <c r="X811" s="933"/>
      <c r="Y811" s="933"/>
      <c r="Z811" s="933"/>
      <c r="AA811" s="933"/>
      <c r="AB811" s="933"/>
      <c r="AC811" s="933"/>
      <c r="AD811" s="933"/>
      <c r="AE811" s="933"/>
    </row>
    <row r="812" spans="1:31" ht="12.75">
      <c r="A812" s="933"/>
      <c r="B812" s="933"/>
      <c r="C812" s="933"/>
      <c r="D812" s="933"/>
      <c r="E812" s="933"/>
      <c r="F812" s="933"/>
      <c r="G812" s="933"/>
      <c r="H812" s="933"/>
      <c r="I812" s="933"/>
      <c r="J812" s="933"/>
      <c r="K812" s="933"/>
      <c r="L812" s="933"/>
      <c r="M812" s="933"/>
      <c r="N812" s="933"/>
      <c r="O812" s="933"/>
      <c r="P812" s="933"/>
      <c r="Q812" s="933"/>
      <c r="R812" s="933"/>
      <c r="S812" s="933"/>
      <c r="T812" s="933"/>
      <c r="U812" s="933"/>
      <c r="V812" s="933"/>
      <c r="W812" s="933"/>
      <c r="X812" s="933"/>
      <c r="Y812" s="933"/>
      <c r="Z812" s="933"/>
      <c r="AA812" s="933"/>
      <c r="AB812" s="933"/>
      <c r="AC812" s="933"/>
      <c r="AD812" s="933"/>
      <c r="AE812" s="933"/>
    </row>
    <row r="813" spans="1:31" ht="12.75">
      <c r="A813" s="933"/>
      <c r="B813" s="933"/>
      <c r="C813" s="933"/>
      <c r="D813" s="933"/>
      <c r="E813" s="933"/>
      <c r="F813" s="933"/>
      <c r="G813" s="933"/>
      <c r="H813" s="933"/>
      <c r="I813" s="933"/>
      <c r="J813" s="933"/>
      <c r="K813" s="933"/>
      <c r="L813" s="933"/>
      <c r="M813" s="933"/>
      <c r="N813" s="933"/>
      <c r="O813" s="933"/>
      <c r="P813" s="933"/>
      <c r="Q813" s="933"/>
      <c r="R813" s="933"/>
      <c r="S813" s="933"/>
      <c r="T813" s="933"/>
      <c r="U813" s="933"/>
      <c r="V813" s="933"/>
      <c r="W813" s="933"/>
      <c r="X813" s="933"/>
      <c r="Y813" s="933"/>
      <c r="Z813" s="933"/>
      <c r="AA813" s="933"/>
      <c r="AB813" s="933"/>
      <c r="AC813" s="933"/>
      <c r="AD813" s="933"/>
      <c r="AE813" s="933"/>
    </row>
    <row r="814" spans="1:31" ht="12.75">
      <c r="A814" s="933"/>
      <c r="B814" s="933"/>
      <c r="C814" s="933"/>
      <c r="D814" s="933"/>
      <c r="E814" s="933"/>
      <c r="F814" s="933"/>
      <c r="G814" s="933"/>
      <c r="H814" s="933"/>
      <c r="I814" s="933"/>
      <c r="J814" s="933"/>
      <c r="K814" s="933"/>
      <c r="L814" s="933"/>
      <c r="M814" s="933"/>
      <c r="N814" s="933"/>
      <c r="O814" s="933"/>
      <c r="P814" s="933"/>
      <c r="Q814" s="933"/>
      <c r="R814" s="933"/>
      <c r="S814" s="933"/>
      <c r="T814" s="933"/>
      <c r="U814" s="933"/>
      <c r="V814" s="933"/>
      <c r="W814" s="933"/>
      <c r="X814" s="933"/>
      <c r="Y814" s="933"/>
      <c r="Z814" s="933"/>
      <c r="AA814" s="933"/>
      <c r="AB814" s="933"/>
      <c r="AC814" s="933"/>
      <c r="AD814" s="933"/>
      <c r="AE814" s="933"/>
    </row>
    <row r="815" spans="1:31" ht="12.75">
      <c r="A815" s="933"/>
      <c r="B815" s="933"/>
      <c r="C815" s="933"/>
      <c r="D815" s="933"/>
      <c r="E815" s="933"/>
      <c r="F815" s="933"/>
      <c r="G815" s="933"/>
      <c r="H815" s="933"/>
      <c r="I815" s="933"/>
      <c r="J815" s="933"/>
      <c r="K815" s="933"/>
      <c r="L815" s="933"/>
      <c r="M815" s="933"/>
      <c r="N815" s="933"/>
      <c r="O815" s="933"/>
      <c r="P815" s="933"/>
      <c r="Q815" s="933"/>
      <c r="R815" s="933"/>
      <c r="S815" s="933"/>
      <c r="T815" s="933"/>
      <c r="U815" s="933"/>
      <c r="V815" s="933"/>
      <c r="W815" s="933"/>
      <c r="X815" s="933"/>
      <c r="Y815" s="933"/>
      <c r="Z815" s="933"/>
      <c r="AA815" s="933"/>
      <c r="AB815" s="933"/>
      <c r="AC815" s="933"/>
      <c r="AD815" s="933"/>
      <c r="AE815" s="933"/>
    </row>
    <row r="816" spans="1:31" ht="12.75">
      <c r="A816" s="933"/>
      <c r="B816" s="933"/>
      <c r="C816" s="933"/>
      <c r="D816" s="933"/>
      <c r="E816" s="933"/>
      <c r="F816" s="933"/>
      <c r="G816" s="933"/>
      <c r="H816" s="933"/>
      <c r="I816" s="933"/>
      <c r="J816" s="933"/>
      <c r="K816" s="933"/>
      <c r="L816" s="933"/>
      <c r="M816" s="933"/>
      <c r="N816" s="933"/>
      <c r="O816" s="933"/>
      <c r="P816" s="933"/>
      <c r="Q816" s="933"/>
      <c r="R816" s="933"/>
      <c r="S816" s="933"/>
      <c r="T816" s="933"/>
      <c r="U816" s="933"/>
      <c r="V816" s="933"/>
      <c r="W816" s="933"/>
      <c r="X816" s="933"/>
      <c r="Y816" s="933"/>
      <c r="Z816" s="933"/>
      <c r="AA816" s="933"/>
      <c r="AB816" s="933"/>
      <c r="AC816" s="933"/>
      <c r="AD816" s="933"/>
      <c r="AE816" s="933"/>
    </row>
    <row r="817" spans="1:31" ht="12.75">
      <c r="A817" s="933"/>
      <c r="B817" s="933"/>
      <c r="C817" s="933"/>
      <c r="D817" s="933"/>
      <c r="E817" s="933"/>
      <c r="F817" s="933"/>
      <c r="G817" s="933"/>
      <c r="H817" s="933"/>
      <c r="I817" s="933"/>
      <c r="J817" s="933"/>
      <c r="K817" s="933"/>
      <c r="L817" s="933"/>
      <c r="M817" s="933"/>
      <c r="N817" s="933"/>
      <c r="O817" s="933"/>
      <c r="P817" s="933"/>
      <c r="Q817" s="933"/>
      <c r="R817" s="933"/>
      <c r="S817" s="933"/>
      <c r="T817" s="933"/>
      <c r="U817" s="933"/>
      <c r="V817" s="933"/>
      <c r="W817" s="933"/>
      <c r="X817" s="933"/>
      <c r="Y817" s="933"/>
      <c r="Z817" s="933"/>
      <c r="AA817" s="933"/>
      <c r="AB817" s="933"/>
      <c r="AC817" s="933"/>
      <c r="AD817" s="933"/>
      <c r="AE817" s="933"/>
    </row>
    <row r="818" spans="1:31" ht="12.75">
      <c r="A818" s="933"/>
      <c r="B818" s="933"/>
      <c r="C818" s="933"/>
      <c r="D818" s="933"/>
      <c r="E818" s="933"/>
      <c r="F818" s="933"/>
      <c r="G818" s="933"/>
      <c r="H818" s="933"/>
      <c r="I818" s="933"/>
      <c r="J818" s="933"/>
      <c r="K818" s="933"/>
      <c r="L818" s="933"/>
      <c r="M818" s="933"/>
      <c r="N818" s="933"/>
      <c r="O818" s="933"/>
      <c r="P818" s="933"/>
      <c r="Q818" s="933"/>
      <c r="R818" s="933"/>
      <c r="S818" s="933"/>
      <c r="T818" s="933"/>
      <c r="U818" s="933"/>
      <c r="V818" s="933"/>
      <c r="W818" s="933"/>
      <c r="X818" s="933"/>
      <c r="Y818" s="933"/>
      <c r="Z818" s="933"/>
      <c r="AA818" s="933"/>
      <c r="AB818" s="933"/>
      <c r="AC818" s="933"/>
      <c r="AD818" s="933"/>
      <c r="AE818" s="933"/>
    </row>
    <row r="819" spans="1:31" ht="12.75">
      <c r="A819" s="933"/>
      <c r="B819" s="933"/>
      <c r="C819" s="933"/>
      <c r="D819" s="933"/>
      <c r="E819" s="933"/>
      <c r="F819" s="933"/>
      <c r="G819" s="933"/>
      <c r="H819" s="933"/>
      <c r="I819" s="933"/>
      <c r="J819" s="933"/>
      <c r="K819" s="933"/>
      <c r="L819" s="933"/>
      <c r="M819" s="933"/>
      <c r="N819" s="933"/>
      <c r="O819" s="933"/>
      <c r="P819" s="933"/>
      <c r="Q819" s="933"/>
      <c r="R819" s="933"/>
      <c r="S819" s="933"/>
      <c r="T819" s="933"/>
      <c r="U819" s="933"/>
      <c r="V819" s="933"/>
      <c r="W819" s="933"/>
      <c r="X819" s="933"/>
      <c r="Y819" s="933"/>
      <c r="Z819" s="933"/>
      <c r="AA819" s="933"/>
      <c r="AB819" s="933"/>
      <c r="AC819" s="933"/>
      <c r="AD819" s="933"/>
      <c r="AE819" s="933"/>
    </row>
    <row r="820" spans="1:31" ht="12.75">
      <c r="A820" s="933"/>
      <c r="B820" s="933"/>
      <c r="C820" s="933"/>
      <c r="D820" s="933"/>
      <c r="E820" s="933"/>
      <c r="F820" s="933"/>
      <c r="G820" s="933"/>
      <c r="H820" s="933"/>
      <c r="I820" s="933"/>
      <c r="J820" s="933"/>
      <c r="K820" s="933"/>
      <c r="L820" s="933"/>
      <c r="M820" s="933"/>
      <c r="N820" s="933"/>
      <c r="O820" s="933"/>
      <c r="P820" s="933"/>
      <c r="Q820" s="933"/>
      <c r="R820" s="933"/>
      <c r="S820" s="933"/>
      <c r="T820" s="933"/>
      <c r="U820" s="933"/>
      <c r="V820" s="933"/>
      <c r="W820" s="933"/>
      <c r="X820" s="933"/>
      <c r="Y820" s="933"/>
      <c r="Z820" s="933"/>
      <c r="AA820" s="933"/>
      <c r="AB820" s="933"/>
      <c r="AC820" s="933"/>
      <c r="AD820" s="933"/>
      <c r="AE820" s="933"/>
    </row>
    <row r="821" spans="1:31" ht="12.75">
      <c r="A821" s="933"/>
      <c r="B821" s="933"/>
      <c r="C821" s="933"/>
      <c r="D821" s="933"/>
      <c r="E821" s="933"/>
      <c r="F821" s="933"/>
      <c r="G821" s="933"/>
      <c r="H821" s="933"/>
      <c r="I821" s="933"/>
      <c r="J821" s="933"/>
      <c r="K821" s="933"/>
      <c r="L821" s="933"/>
      <c r="M821" s="933"/>
      <c r="N821" s="933"/>
      <c r="O821" s="933"/>
      <c r="P821" s="933"/>
      <c r="Q821" s="933"/>
      <c r="R821" s="933"/>
      <c r="S821" s="933"/>
      <c r="T821" s="933"/>
      <c r="U821" s="933"/>
      <c r="V821" s="933"/>
      <c r="W821" s="933"/>
      <c r="X821" s="933"/>
      <c r="Y821" s="933"/>
      <c r="Z821" s="933"/>
      <c r="AA821" s="933"/>
      <c r="AB821" s="933"/>
      <c r="AC821" s="933"/>
      <c r="AD821" s="933"/>
      <c r="AE821" s="933"/>
    </row>
    <row r="822" spans="1:31" ht="12.75">
      <c r="A822" s="933"/>
      <c r="B822" s="933"/>
      <c r="C822" s="933"/>
      <c r="D822" s="933"/>
      <c r="E822" s="933"/>
      <c r="F822" s="933"/>
      <c r="G822" s="933"/>
      <c r="H822" s="933"/>
      <c r="I822" s="933"/>
      <c r="J822" s="933"/>
      <c r="K822" s="933"/>
      <c r="L822" s="933"/>
      <c r="M822" s="933"/>
      <c r="N822" s="933"/>
      <c r="O822" s="933"/>
      <c r="P822" s="933"/>
      <c r="Q822" s="933"/>
      <c r="R822" s="933"/>
      <c r="S822" s="933"/>
      <c r="T822" s="933"/>
      <c r="U822" s="933"/>
      <c r="V822" s="933"/>
      <c r="W822" s="933"/>
      <c r="X822" s="933"/>
      <c r="Y822" s="933"/>
      <c r="Z822" s="933"/>
      <c r="AA822" s="933"/>
      <c r="AB822" s="933"/>
      <c r="AC822" s="933"/>
      <c r="AD822" s="933"/>
      <c r="AE822" s="933"/>
    </row>
    <row r="823" spans="1:31" ht="12.75">
      <c r="A823" s="933"/>
      <c r="B823" s="933"/>
      <c r="C823" s="933"/>
      <c r="D823" s="933"/>
      <c r="E823" s="933"/>
      <c r="F823" s="933"/>
      <c r="G823" s="933"/>
      <c r="H823" s="933"/>
      <c r="I823" s="933"/>
      <c r="J823" s="933"/>
      <c r="K823" s="933"/>
      <c r="L823" s="933"/>
      <c r="M823" s="933"/>
      <c r="N823" s="933"/>
      <c r="O823" s="933"/>
      <c r="P823" s="933"/>
      <c r="Q823" s="933"/>
      <c r="R823" s="933"/>
      <c r="S823" s="933"/>
      <c r="T823" s="933"/>
      <c r="U823" s="933"/>
      <c r="V823" s="933"/>
      <c r="W823" s="933"/>
      <c r="X823" s="933"/>
      <c r="Y823" s="933"/>
      <c r="Z823" s="933"/>
      <c r="AA823" s="933"/>
      <c r="AB823" s="933"/>
      <c r="AC823" s="933"/>
      <c r="AD823" s="933"/>
      <c r="AE823" s="933"/>
    </row>
    <row r="824" spans="1:31" ht="12.75">
      <c r="A824" s="933"/>
      <c r="B824" s="933"/>
      <c r="C824" s="933"/>
      <c r="D824" s="933"/>
      <c r="E824" s="933"/>
      <c r="F824" s="933"/>
      <c r="G824" s="933"/>
      <c r="H824" s="933"/>
      <c r="I824" s="933"/>
      <c r="J824" s="933"/>
      <c r="K824" s="933"/>
      <c r="L824" s="933"/>
      <c r="M824" s="933"/>
      <c r="N824" s="933"/>
      <c r="O824" s="933"/>
      <c r="P824" s="933"/>
      <c r="Q824" s="933"/>
      <c r="R824" s="933"/>
      <c r="S824" s="933"/>
      <c r="T824" s="933"/>
      <c r="U824" s="933"/>
      <c r="V824" s="933"/>
      <c r="W824" s="933"/>
      <c r="X824" s="933"/>
      <c r="Y824" s="933"/>
      <c r="Z824" s="933"/>
      <c r="AA824" s="933"/>
      <c r="AB824" s="933"/>
      <c r="AC824" s="933"/>
      <c r="AD824" s="933"/>
      <c r="AE824" s="933"/>
    </row>
    <row r="825" spans="1:31" ht="12.75">
      <c r="A825" s="933"/>
      <c r="B825" s="933"/>
      <c r="C825" s="933"/>
      <c r="D825" s="933"/>
      <c r="E825" s="933"/>
      <c r="F825" s="933"/>
      <c r="G825" s="933"/>
      <c r="H825" s="933"/>
      <c r="I825" s="933"/>
      <c r="J825" s="933"/>
      <c r="K825" s="933"/>
      <c r="L825" s="933"/>
      <c r="M825" s="933"/>
      <c r="N825" s="933"/>
      <c r="O825" s="933"/>
      <c r="P825" s="933"/>
      <c r="Q825" s="933"/>
      <c r="R825" s="933"/>
      <c r="S825" s="933"/>
      <c r="T825" s="933"/>
      <c r="U825" s="933"/>
      <c r="V825" s="933"/>
      <c r="W825" s="933"/>
      <c r="X825" s="933"/>
      <c r="Y825" s="933"/>
      <c r="Z825" s="933"/>
      <c r="AA825" s="933"/>
      <c r="AB825" s="933"/>
      <c r="AC825" s="933"/>
      <c r="AD825" s="933"/>
      <c r="AE825" s="933"/>
    </row>
    <row r="826" spans="1:31" ht="12.75">
      <c r="A826" s="933"/>
      <c r="B826" s="933"/>
      <c r="C826" s="933"/>
      <c r="D826" s="933"/>
      <c r="E826" s="933"/>
      <c r="F826" s="933"/>
      <c r="G826" s="933"/>
      <c r="H826" s="933"/>
      <c r="I826" s="933"/>
      <c r="J826" s="933"/>
      <c r="K826" s="933"/>
      <c r="L826" s="933"/>
      <c r="M826" s="933"/>
      <c r="N826" s="933"/>
      <c r="O826" s="933"/>
      <c r="P826" s="933"/>
      <c r="Q826" s="933"/>
      <c r="R826" s="933"/>
      <c r="S826" s="933"/>
      <c r="T826" s="933"/>
      <c r="U826" s="933"/>
      <c r="V826" s="933"/>
      <c r="W826" s="933"/>
      <c r="X826" s="933"/>
      <c r="Y826" s="933"/>
      <c r="Z826" s="933"/>
      <c r="AA826" s="933"/>
      <c r="AB826" s="933"/>
      <c r="AC826" s="933"/>
      <c r="AD826" s="933"/>
      <c r="AE826" s="933"/>
    </row>
    <row r="827" spans="1:31" ht="12.75">
      <c r="A827" s="933"/>
      <c r="B827" s="933"/>
      <c r="C827" s="933"/>
      <c r="D827" s="933"/>
      <c r="E827" s="933"/>
      <c r="F827" s="933"/>
      <c r="G827" s="933"/>
      <c r="H827" s="933"/>
      <c r="I827" s="933"/>
      <c r="J827" s="933"/>
      <c r="K827" s="933"/>
      <c r="L827" s="933"/>
      <c r="M827" s="933"/>
      <c r="N827" s="933"/>
      <c r="O827" s="933"/>
      <c r="P827" s="933"/>
      <c r="Q827" s="933"/>
      <c r="R827" s="933"/>
      <c r="S827" s="933"/>
      <c r="T827" s="933"/>
      <c r="U827" s="933"/>
      <c r="V827" s="933"/>
      <c r="W827" s="933"/>
      <c r="X827" s="933"/>
      <c r="Y827" s="933"/>
      <c r="Z827" s="933"/>
      <c r="AA827" s="933"/>
      <c r="AB827" s="933"/>
      <c r="AC827" s="933"/>
      <c r="AD827" s="933"/>
      <c r="AE827" s="933"/>
    </row>
    <row r="828" spans="1:31" ht="12.75">
      <c r="A828" s="933"/>
      <c r="B828" s="933"/>
      <c r="C828" s="933"/>
      <c r="D828" s="933"/>
      <c r="E828" s="933"/>
      <c r="F828" s="933"/>
      <c r="G828" s="933"/>
      <c r="H828" s="933"/>
      <c r="I828" s="933"/>
      <c r="J828" s="933"/>
      <c r="K828" s="933"/>
      <c r="L828" s="933"/>
      <c r="M828" s="933"/>
      <c r="N828" s="933"/>
      <c r="O828" s="933"/>
      <c r="P828" s="933"/>
      <c r="Q828" s="933"/>
      <c r="R828" s="933"/>
      <c r="S828" s="933"/>
      <c r="T828" s="933"/>
      <c r="U828" s="933"/>
      <c r="V828" s="933"/>
      <c r="W828" s="933"/>
      <c r="X828" s="933"/>
      <c r="Y828" s="933"/>
      <c r="Z828" s="933"/>
      <c r="AA828" s="933"/>
      <c r="AB828" s="933"/>
      <c r="AC828" s="933"/>
      <c r="AD828" s="933"/>
      <c r="AE828" s="933"/>
    </row>
    <row r="829" spans="1:31" ht="12.75">
      <c r="A829" s="933"/>
      <c r="B829" s="933"/>
      <c r="C829" s="933"/>
      <c r="D829" s="933"/>
      <c r="E829" s="933"/>
      <c r="F829" s="933"/>
      <c r="G829" s="933"/>
      <c r="H829" s="933"/>
      <c r="I829" s="933"/>
      <c r="J829" s="933"/>
      <c r="K829" s="933"/>
      <c r="L829" s="933"/>
      <c r="M829" s="933"/>
      <c r="N829" s="933"/>
      <c r="O829" s="933"/>
      <c r="P829" s="933"/>
      <c r="Q829" s="933"/>
      <c r="R829" s="933"/>
      <c r="S829" s="933"/>
      <c r="T829" s="933"/>
      <c r="U829" s="933"/>
      <c r="V829" s="933"/>
      <c r="W829" s="933"/>
      <c r="X829" s="933"/>
      <c r="Y829" s="933"/>
      <c r="Z829" s="933"/>
      <c r="AA829" s="933"/>
      <c r="AB829" s="933"/>
      <c r="AC829" s="933"/>
      <c r="AD829" s="933"/>
      <c r="AE829" s="933"/>
    </row>
    <row r="830" spans="1:31" ht="12.75">
      <c r="A830" s="933"/>
      <c r="B830" s="933"/>
      <c r="C830" s="933"/>
      <c r="D830" s="933"/>
      <c r="E830" s="933"/>
      <c r="F830" s="933"/>
      <c r="G830" s="933"/>
      <c r="H830" s="933"/>
      <c r="I830" s="933"/>
      <c r="J830" s="933"/>
      <c r="K830" s="933"/>
      <c r="L830" s="933"/>
      <c r="M830" s="933"/>
      <c r="N830" s="933"/>
      <c r="O830" s="933"/>
      <c r="P830" s="933"/>
      <c r="Q830" s="933"/>
      <c r="R830" s="933"/>
      <c r="S830" s="933"/>
      <c r="T830" s="933"/>
      <c r="U830" s="933"/>
      <c r="V830" s="933"/>
      <c r="W830" s="933"/>
      <c r="X830" s="933"/>
      <c r="Y830" s="933"/>
      <c r="Z830" s="933"/>
      <c r="AA830" s="933"/>
      <c r="AB830" s="933"/>
      <c r="AC830" s="933"/>
      <c r="AD830" s="933"/>
      <c r="AE830" s="933"/>
    </row>
    <row r="831" spans="1:31" ht="12.75">
      <c r="A831" s="933"/>
      <c r="B831" s="933"/>
      <c r="C831" s="933"/>
      <c r="D831" s="933"/>
      <c r="E831" s="933"/>
      <c r="F831" s="933"/>
      <c r="G831" s="933"/>
      <c r="H831" s="933"/>
      <c r="I831" s="933"/>
      <c r="J831" s="933"/>
      <c r="K831" s="933"/>
      <c r="L831" s="933"/>
      <c r="M831" s="933"/>
      <c r="N831" s="933"/>
      <c r="O831" s="933"/>
      <c r="P831" s="933"/>
      <c r="Q831" s="933"/>
      <c r="R831" s="933"/>
      <c r="S831" s="933"/>
      <c r="T831" s="933"/>
      <c r="U831" s="933"/>
      <c r="V831" s="933"/>
      <c r="W831" s="933"/>
      <c r="X831" s="933"/>
      <c r="Y831" s="933"/>
      <c r="Z831" s="933"/>
      <c r="AA831" s="933"/>
      <c r="AB831" s="933"/>
      <c r="AC831" s="933"/>
      <c r="AD831" s="933"/>
      <c r="AE831" s="933"/>
    </row>
    <row r="832" spans="1:31" ht="12.75">
      <c r="A832" s="933"/>
      <c r="B832" s="933"/>
      <c r="C832" s="933"/>
      <c r="D832" s="933"/>
      <c r="E832" s="933"/>
      <c r="F832" s="933"/>
      <c r="G832" s="933"/>
      <c r="H832" s="933"/>
      <c r="I832" s="933"/>
      <c r="J832" s="933"/>
      <c r="K832" s="933"/>
      <c r="L832" s="933"/>
      <c r="M832" s="933"/>
      <c r="N832" s="933"/>
      <c r="O832" s="933"/>
      <c r="P832" s="933"/>
      <c r="Q832" s="933"/>
      <c r="R832" s="933"/>
      <c r="S832" s="933"/>
      <c r="T832" s="933"/>
      <c r="U832" s="933"/>
      <c r="V832" s="933"/>
      <c r="W832" s="933"/>
      <c r="X832" s="933"/>
      <c r="Y832" s="933"/>
      <c r="Z832" s="933"/>
      <c r="AA832" s="933"/>
      <c r="AB832" s="933"/>
      <c r="AC832" s="933"/>
      <c r="AD832" s="933"/>
      <c r="AE832" s="933"/>
    </row>
    <row r="833" spans="1:31" ht="12.75">
      <c r="A833" s="933"/>
      <c r="B833" s="933"/>
      <c r="C833" s="933"/>
      <c r="D833" s="933"/>
      <c r="E833" s="933"/>
      <c r="F833" s="933"/>
      <c r="G833" s="933"/>
      <c r="H833" s="933"/>
      <c r="I833" s="933"/>
      <c r="J833" s="933"/>
      <c r="K833" s="933"/>
      <c r="L833" s="933"/>
      <c r="M833" s="933"/>
      <c r="N833" s="933"/>
      <c r="O833" s="933"/>
      <c r="P833" s="933"/>
      <c r="Q833" s="933"/>
      <c r="R833" s="933"/>
      <c r="S833" s="933"/>
      <c r="T833" s="933"/>
      <c r="U833" s="933"/>
      <c r="V833" s="933"/>
      <c r="W833" s="933"/>
      <c r="X833" s="933"/>
      <c r="Y833" s="933"/>
      <c r="Z833" s="933"/>
      <c r="AA833" s="933"/>
      <c r="AB833" s="933"/>
      <c r="AC833" s="933"/>
      <c r="AD833" s="933"/>
      <c r="AE833" s="933"/>
    </row>
    <row r="834" spans="1:31" ht="12.75">
      <c r="A834" s="933"/>
      <c r="B834" s="933"/>
      <c r="C834" s="933"/>
      <c r="D834" s="933"/>
      <c r="E834" s="933"/>
      <c r="F834" s="933"/>
      <c r="G834" s="933"/>
      <c r="H834" s="933"/>
      <c r="I834" s="933"/>
      <c r="J834" s="933"/>
      <c r="K834" s="933"/>
      <c r="L834" s="933"/>
      <c r="M834" s="933"/>
      <c r="N834" s="933"/>
      <c r="O834" s="933"/>
      <c r="P834" s="933"/>
      <c r="Q834" s="933"/>
      <c r="R834" s="933"/>
      <c r="S834" s="933"/>
      <c r="T834" s="933"/>
      <c r="U834" s="933"/>
      <c r="V834" s="933"/>
      <c r="W834" s="933"/>
      <c r="X834" s="933"/>
      <c r="Y834" s="933"/>
      <c r="Z834" s="933"/>
      <c r="AA834" s="933"/>
      <c r="AB834" s="933"/>
      <c r="AC834" s="933"/>
      <c r="AD834" s="933"/>
      <c r="AE834" s="933"/>
    </row>
    <row r="835" spans="1:31" ht="12.75">
      <c r="A835" s="933"/>
      <c r="B835" s="933"/>
      <c r="C835" s="933"/>
      <c r="D835" s="933"/>
      <c r="E835" s="933"/>
      <c r="F835" s="933"/>
      <c r="G835" s="933"/>
      <c r="H835" s="933"/>
      <c r="I835" s="933"/>
      <c r="J835" s="933"/>
      <c r="K835" s="933"/>
      <c r="L835" s="933"/>
      <c r="M835" s="933"/>
      <c r="N835" s="933"/>
      <c r="O835" s="933"/>
      <c r="P835" s="933"/>
      <c r="Q835" s="933"/>
      <c r="R835" s="933"/>
      <c r="S835" s="933"/>
      <c r="T835" s="933"/>
      <c r="U835" s="933"/>
      <c r="V835" s="933"/>
      <c r="W835" s="933"/>
      <c r="X835" s="933"/>
      <c r="Y835" s="933"/>
      <c r="Z835" s="933"/>
      <c r="AA835" s="933"/>
      <c r="AB835" s="933"/>
      <c r="AC835" s="933"/>
      <c r="AD835" s="933"/>
      <c r="AE835" s="933"/>
    </row>
    <row r="836" spans="1:31" ht="12.75">
      <c r="A836" s="933"/>
      <c r="B836" s="933"/>
      <c r="C836" s="933"/>
      <c r="D836" s="933"/>
      <c r="E836" s="933"/>
      <c r="F836" s="933"/>
      <c r="G836" s="933"/>
      <c r="H836" s="933"/>
      <c r="I836" s="933"/>
      <c r="J836" s="933"/>
      <c r="K836" s="933"/>
      <c r="L836" s="933"/>
      <c r="M836" s="933"/>
      <c r="N836" s="933"/>
      <c r="O836" s="933"/>
      <c r="P836" s="933"/>
      <c r="Q836" s="933"/>
      <c r="R836" s="933"/>
      <c r="S836" s="933"/>
      <c r="T836" s="933"/>
      <c r="U836" s="933"/>
      <c r="V836" s="933"/>
      <c r="W836" s="933"/>
      <c r="X836" s="933"/>
      <c r="Y836" s="933"/>
      <c r="Z836" s="933"/>
      <c r="AA836" s="933"/>
      <c r="AB836" s="933"/>
      <c r="AC836" s="933"/>
      <c r="AD836" s="933"/>
      <c r="AE836" s="933"/>
    </row>
    <row r="837" spans="1:31" ht="12.75">
      <c r="A837" s="933"/>
      <c r="B837" s="933"/>
      <c r="C837" s="933"/>
      <c r="D837" s="933"/>
      <c r="E837" s="933"/>
      <c r="F837" s="933"/>
      <c r="G837" s="933"/>
      <c r="H837" s="933"/>
      <c r="I837" s="933"/>
      <c r="J837" s="933"/>
      <c r="K837" s="933"/>
      <c r="L837" s="933"/>
      <c r="M837" s="933"/>
      <c r="N837" s="933"/>
      <c r="O837" s="933"/>
      <c r="P837" s="933"/>
      <c r="Q837" s="933"/>
      <c r="R837" s="933"/>
      <c r="S837" s="933"/>
      <c r="T837" s="933"/>
      <c r="U837" s="933"/>
      <c r="V837" s="933"/>
      <c r="W837" s="933"/>
      <c r="X837" s="933"/>
      <c r="Y837" s="933"/>
      <c r="Z837" s="933"/>
      <c r="AA837" s="933"/>
      <c r="AB837" s="933"/>
      <c r="AC837" s="933"/>
      <c r="AD837" s="933"/>
      <c r="AE837" s="933"/>
    </row>
    <row r="838" spans="1:31" ht="12.75">
      <c r="A838" s="933"/>
      <c r="B838" s="933"/>
      <c r="C838" s="933"/>
      <c r="D838" s="933"/>
      <c r="E838" s="933"/>
      <c r="F838" s="933"/>
      <c r="G838" s="933"/>
      <c r="H838" s="933"/>
      <c r="I838" s="933"/>
      <c r="J838" s="933"/>
      <c r="K838" s="933"/>
      <c r="L838" s="933"/>
      <c r="M838" s="933"/>
      <c r="N838" s="933"/>
      <c r="O838" s="933"/>
      <c r="P838" s="933"/>
      <c r="Q838" s="933"/>
      <c r="R838" s="933"/>
      <c r="S838" s="933"/>
      <c r="T838" s="933"/>
      <c r="U838" s="933"/>
      <c r="V838" s="933"/>
      <c r="W838" s="933"/>
      <c r="X838" s="933"/>
      <c r="Y838" s="933"/>
      <c r="Z838" s="933"/>
      <c r="AA838" s="933"/>
      <c r="AB838" s="933"/>
      <c r="AC838" s="933"/>
      <c r="AD838" s="933"/>
      <c r="AE838" s="933"/>
    </row>
    <row r="839" spans="1:31" ht="12.75">
      <c r="A839" s="933"/>
      <c r="B839" s="933"/>
      <c r="C839" s="933"/>
      <c r="D839" s="933"/>
      <c r="E839" s="933"/>
      <c r="F839" s="933"/>
      <c r="G839" s="933"/>
      <c r="H839" s="933"/>
      <c r="I839" s="933"/>
      <c r="J839" s="933"/>
      <c r="K839" s="933"/>
      <c r="L839" s="933"/>
      <c r="M839" s="933"/>
      <c r="N839" s="933"/>
      <c r="O839" s="933"/>
      <c r="P839" s="933"/>
      <c r="Q839" s="933"/>
      <c r="R839" s="933"/>
      <c r="S839" s="933"/>
      <c r="T839" s="933"/>
      <c r="U839" s="933"/>
      <c r="V839" s="933"/>
      <c r="W839" s="933"/>
      <c r="X839" s="933"/>
      <c r="Y839" s="933"/>
      <c r="Z839" s="933"/>
      <c r="AA839" s="933"/>
      <c r="AB839" s="933"/>
      <c r="AC839" s="933"/>
      <c r="AD839" s="933"/>
      <c r="AE839" s="933"/>
    </row>
    <row r="840" spans="1:31" ht="12.75">
      <c r="A840" s="933"/>
      <c r="B840" s="933"/>
      <c r="C840" s="933"/>
      <c r="D840" s="933"/>
      <c r="E840" s="933"/>
      <c r="F840" s="933"/>
      <c r="G840" s="933"/>
      <c r="H840" s="933"/>
      <c r="I840" s="933"/>
      <c r="J840" s="933"/>
      <c r="K840" s="933"/>
      <c r="L840" s="933"/>
      <c r="M840" s="933"/>
      <c r="N840" s="933"/>
      <c r="O840" s="933"/>
      <c r="P840" s="933"/>
      <c r="Q840" s="933"/>
      <c r="R840" s="933"/>
      <c r="S840" s="933"/>
      <c r="T840" s="933"/>
      <c r="U840" s="933"/>
      <c r="V840" s="933"/>
      <c r="W840" s="933"/>
      <c r="X840" s="933"/>
      <c r="Y840" s="933"/>
      <c r="Z840" s="933"/>
      <c r="AA840" s="933"/>
      <c r="AB840" s="933"/>
      <c r="AC840" s="933"/>
      <c r="AD840" s="933"/>
      <c r="AE840" s="933"/>
    </row>
    <row r="841" spans="1:31" ht="12.75">
      <c r="A841" s="933"/>
      <c r="B841" s="933"/>
      <c r="C841" s="933"/>
      <c r="D841" s="933"/>
      <c r="E841" s="933"/>
      <c r="F841" s="933"/>
      <c r="G841" s="933"/>
      <c r="H841" s="933"/>
      <c r="I841" s="933"/>
      <c r="J841" s="933"/>
      <c r="K841" s="933"/>
      <c r="L841" s="933"/>
      <c r="M841" s="933"/>
      <c r="N841" s="933"/>
      <c r="O841" s="933"/>
      <c r="P841" s="933"/>
      <c r="Q841" s="933"/>
      <c r="R841" s="933"/>
      <c r="S841" s="933"/>
      <c r="T841" s="933"/>
      <c r="U841" s="933"/>
      <c r="V841" s="933"/>
      <c r="W841" s="933"/>
      <c r="X841" s="933"/>
      <c r="Y841" s="933"/>
      <c r="Z841" s="933"/>
      <c r="AA841" s="933"/>
      <c r="AB841" s="933"/>
      <c r="AC841" s="933"/>
      <c r="AD841" s="933"/>
      <c r="AE841" s="933"/>
    </row>
    <row r="842" spans="1:31" ht="12.75">
      <c r="A842" s="933"/>
      <c r="B842" s="933"/>
      <c r="C842" s="933"/>
      <c r="D842" s="933"/>
      <c r="E842" s="933"/>
      <c r="F842" s="933"/>
      <c r="G842" s="933"/>
      <c r="H842" s="933"/>
      <c r="I842" s="933"/>
      <c r="J842" s="933"/>
      <c r="K842" s="933"/>
      <c r="L842" s="933"/>
      <c r="M842" s="933"/>
      <c r="N842" s="933"/>
      <c r="O842" s="933"/>
      <c r="P842" s="933"/>
      <c r="Q842" s="933"/>
      <c r="R842" s="933"/>
      <c r="S842" s="933"/>
      <c r="T842" s="933"/>
      <c r="U842" s="933"/>
      <c r="V842" s="933"/>
      <c r="W842" s="933"/>
      <c r="X842" s="933"/>
      <c r="Y842" s="933"/>
      <c r="Z842" s="933"/>
      <c r="AA842" s="933"/>
      <c r="AB842" s="933"/>
      <c r="AC842" s="933"/>
      <c r="AD842" s="933"/>
      <c r="AE842" s="933"/>
    </row>
    <row r="843" spans="1:31" ht="12.75">
      <c r="A843" s="933"/>
      <c r="B843" s="933"/>
      <c r="C843" s="933"/>
      <c r="D843" s="933"/>
      <c r="E843" s="933"/>
      <c r="F843" s="933"/>
      <c r="G843" s="933"/>
      <c r="H843" s="933"/>
      <c r="I843" s="933"/>
      <c r="J843" s="933"/>
      <c r="K843" s="933"/>
      <c r="L843" s="933"/>
      <c r="M843" s="933"/>
      <c r="N843" s="933"/>
      <c r="O843" s="933"/>
      <c r="P843" s="933"/>
      <c r="Q843" s="933"/>
      <c r="R843" s="933"/>
      <c r="S843" s="933"/>
      <c r="T843" s="933"/>
      <c r="U843" s="933"/>
      <c r="V843" s="933"/>
      <c r="W843" s="933"/>
      <c r="X843" s="933"/>
      <c r="Y843" s="933"/>
      <c r="Z843" s="933"/>
      <c r="AA843" s="933"/>
      <c r="AB843" s="933"/>
      <c r="AC843" s="933"/>
      <c r="AD843" s="933"/>
      <c r="AE843" s="933"/>
    </row>
    <row r="844" spans="1:31" ht="12.75">
      <c r="A844" s="933"/>
      <c r="B844" s="933"/>
      <c r="C844" s="933"/>
      <c r="D844" s="933"/>
      <c r="E844" s="933"/>
      <c r="F844" s="933"/>
      <c r="G844" s="933"/>
      <c r="H844" s="933"/>
      <c r="I844" s="933"/>
      <c r="J844" s="933"/>
      <c r="K844" s="933"/>
      <c r="L844" s="933"/>
      <c r="M844" s="933"/>
      <c r="N844" s="933"/>
      <c r="O844" s="933"/>
      <c r="P844" s="933"/>
      <c r="Q844" s="933"/>
      <c r="R844" s="933"/>
      <c r="S844" s="933"/>
      <c r="T844" s="933"/>
      <c r="U844" s="933"/>
      <c r="V844" s="933"/>
      <c r="W844" s="933"/>
      <c r="X844" s="933"/>
      <c r="Y844" s="933"/>
      <c r="Z844" s="933"/>
      <c r="AA844" s="933"/>
      <c r="AB844" s="933"/>
      <c r="AC844" s="933"/>
      <c r="AD844" s="933"/>
      <c r="AE844" s="933"/>
    </row>
    <row r="845" spans="1:31" ht="12.75">
      <c r="A845" s="933"/>
      <c r="B845" s="933"/>
      <c r="C845" s="933"/>
      <c r="D845" s="933"/>
      <c r="E845" s="933"/>
      <c r="F845" s="933"/>
      <c r="G845" s="933"/>
      <c r="H845" s="933"/>
      <c r="I845" s="933"/>
      <c r="J845" s="933"/>
      <c r="K845" s="933"/>
      <c r="L845" s="933"/>
      <c r="M845" s="933"/>
      <c r="N845" s="933"/>
      <c r="O845" s="933"/>
      <c r="P845" s="933"/>
      <c r="Q845" s="933"/>
      <c r="R845" s="933"/>
      <c r="S845" s="933"/>
      <c r="T845" s="933"/>
      <c r="U845" s="933"/>
      <c r="V845" s="933"/>
      <c r="W845" s="933"/>
      <c r="X845" s="933"/>
      <c r="Y845" s="933"/>
      <c r="Z845" s="933"/>
      <c r="AA845" s="933"/>
      <c r="AB845" s="933"/>
      <c r="AC845" s="933"/>
      <c r="AD845" s="933"/>
      <c r="AE845" s="933"/>
    </row>
    <row r="846" spans="1:31" ht="12.75">
      <c r="A846" s="933"/>
      <c r="B846" s="933"/>
      <c r="C846" s="933"/>
      <c r="D846" s="933"/>
      <c r="E846" s="933"/>
      <c r="F846" s="933"/>
      <c r="G846" s="933"/>
      <c r="H846" s="933"/>
      <c r="I846" s="933"/>
      <c r="J846" s="933"/>
      <c r="K846" s="933"/>
      <c r="L846" s="933"/>
      <c r="M846" s="933"/>
      <c r="N846" s="933"/>
      <c r="O846" s="933"/>
      <c r="P846" s="933"/>
      <c r="Q846" s="933"/>
      <c r="R846" s="933"/>
      <c r="S846" s="933"/>
      <c r="T846" s="933"/>
      <c r="U846" s="933"/>
      <c r="V846" s="933"/>
      <c r="W846" s="933"/>
      <c r="X846" s="933"/>
      <c r="Y846" s="933"/>
      <c r="Z846" s="933"/>
      <c r="AA846" s="933"/>
      <c r="AB846" s="933"/>
      <c r="AC846" s="933"/>
      <c r="AD846" s="933"/>
      <c r="AE846" s="933"/>
    </row>
    <row r="847" spans="1:31" ht="12.75">
      <c r="A847" s="933"/>
      <c r="B847" s="933"/>
      <c r="C847" s="933"/>
      <c r="D847" s="933"/>
      <c r="E847" s="933"/>
      <c r="F847" s="933"/>
      <c r="G847" s="933"/>
      <c r="H847" s="933"/>
      <c r="I847" s="933"/>
      <c r="J847" s="933"/>
      <c r="K847" s="933"/>
      <c r="L847" s="933"/>
      <c r="M847" s="933"/>
      <c r="N847" s="933"/>
      <c r="O847" s="933"/>
      <c r="P847" s="933"/>
      <c r="Q847" s="933"/>
      <c r="R847" s="933"/>
      <c r="S847" s="933"/>
      <c r="T847" s="933"/>
      <c r="U847" s="933"/>
      <c r="V847" s="933"/>
      <c r="W847" s="933"/>
      <c r="X847" s="933"/>
      <c r="Y847" s="933"/>
      <c r="Z847" s="933"/>
      <c r="AA847" s="933"/>
      <c r="AB847" s="933"/>
      <c r="AC847" s="933"/>
      <c r="AD847" s="933"/>
      <c r="AE847" s="933"/>
    </row>
    <row r="848" spans="1:31" ht="12.75">
      <c r="A848" s="933"/>
      <c r="B848" s="933"/>
      <c r="C848" s="933"/>
      <c r="D848" s="933"/>
      <c r="E848" s="933"/>
      <c r="F848" s="933"/>
      <c r="G848" s="933"/>
      <c r="H848" s="933"/>
      <c r="I848" s="933"/>
      <c r="J848" s="933"/>
      <c r="K848" s="933"/>
      <c r="L848" s="933"/>
      <c r="M848" s="933"/>
      <c r="N848" s="933"/>
      <c r="O848" s="933"/>
      <c r="P848" s="933"/>
      <c r="Q848" s="933"/>
      <c r="R848" s="933"/>
      <c r="S848" s="933"/>
      <c r="T848" s="933"/>
      <c r="U848" s="933"/>
      <c r="V848" s="933"/>
      <c r="W848" s="933"/>
      <c r="X848" s="933"/>
      <c r="Y848" s="933"/>
      <c r="Z848" s="933"/>
      <c r="AA848" s="933"/>
      <c r="AB848" s="933"/>
      <c r="AC848" s="933"/>
      <c r="AD848" s="933"/>
      <c r="AE848" s="933"/>
    </row>
    <row r="849" spans="1:31" ht="12.75">
      <c r="A849" s="933"/>
      <c r="B849" s="933"/>
      <c r="C849" s="933"/>
      <c r="D849" s="933"/>
      <c r="E849" s="933"/>
      <c r="F849" s="933"/>
      <c r="G849" s="933"/>
      <c r="H849" s="933"/>
      <c r="I849" s="933"/>
      <c r="J849" s="933"/>
      <c r="K849" s="933"/>
      <c r="L849" s="933"/>
      <c r="M849" s="933"/>
      <c r="N849" s="933"/>
      <c r="O849" s="933"/>
      <c r="P849" s="933"/>
      <c r="Q849" s="933"/>
      <c r="R849" s="933"/>
      <c r="S849" s="933"/>
      <c r="T849" s="933"/>
      <c r="U849" s="933"/>
      <c r="V849" s="933"/>
      <c r="W849" s="933"/>
      <c r="X849" s="933"/>
      <c r="Y849" s="933"/>
      <c r="Z849" s="933"/>
      <c r="AA849" s="933"/>
      <c r="AB849" s="933"/>
      <c r="AC849" s="933"/>
      <c r="AD849" s="933"/>
      <c r="AE849" s="933"/>
    </row>
    <row r="850" spans="1:31" ht="12.75">
      <c r="A850" s="933"/>
      <c r="B850" s="933"/>
      <c r="C850" s="933"/>
      <c r="D850" s="933"/>
      <c r="E850" s="933"/>
      <c r="F850" s="933"/>
      <c r="G850" s="933"/>
      <c r="H850" s="933"/>
      <c r="I850" s="933"/>
      <c r="J850" s="933"/>
      <c r="K850" s="933"/>
      <c r="L850" s="933"/>
      <c r="M850" s="933"/>
      <c r="N850" s="933"/>
      <c r="O850" s="933"/>
      <c r="P850" s="933"/>
      <c r="Q850" s="933"/>
      <c r="R850" s="933"/>
      <c r="S850" s="933"/>
      <c r="T850" s="933"/>
      <c r="U850" s="933"/>
      <c r="V850" s="933"/>
      <c r="W850" s="933"/>
      <c r="X850" s="933"/>
      <c r="Y850" s="933"/>
      <c r="Z850" s="933"/>
      <c r="AA850" s="933"/>
      <c r="AB850" s="933"/>
      <c r="AC850" s="933"/>
      <c r="AD850" s="933"/>
      <c r="AE850" s="933"/>
    </row>
    <row r="851" spans="1:31" ht="12.75">
      <c r="A851" s="933"/>
      <c r="B851" s="933"/>
      <c r="C851" s="933"/>
      <c r="D851" s="933"/>
      <c r="E851" s="933"/>
      <c r="F851" s="933"/>
      <c r="G851" s="933"/>
      <c r="H851" s="933"/>
      <c r="I851" s="933"/>
      <c r="J851" s="933"/>
      <c r="K851" s="933"/>
      <c r="L851" s="933"/>
      <c r="M851" s="933"/>
      <c r="N851" s="933"/>
      <c r="O851" s="933"/>
      <c r="P851" s="933"/>
      <c r="Q851" s="933"/>
      <c r="R851" s="933"/>
      <c r="S851" s="933"/>
      <c r="T851" s="933"/>
      <c r="U851" s="933"/>
      <c r="V851" s="933"/>
      <c r="W851" s="933"/>
      <c r="X851" s="933"/>
      <c r="Y851" s="933"/>
      <c r="Z851" s="933"/>
      <c r="AA851" s="933"/>
      <c r="AB851" s="933"/>
      <c r="AC851" s="933"/>
      <c r="AD851" s="933"/>
      <c r="AE851" s="933"/>
    </row>
    <row r="852" spans="1:31" ht="12.75">
      <c r="A852" s="933"/>
      <c r="B852" s="933"/>
      <c r="C852" s="933"/>
      <c r="D852" s="933"/>
      <c r="E852" s="933"/>
      <c r="F852" s="933"/>
      <c r="G852" s="933"/>
      <c r="H852" s="933"/>
      <c r="I852" s="933"/>
      <c r="J852" s="933"/>
      <c r="K852" s="933"/>
      <c r="L852" s="933"/>
      <c r="M852" s="933"/>
      <c r="N852" s="933"/>
      <c r="O852" s="933"/>
      <c r="P852" s="933"/>
      <c r="Q852" s="933"/>
      <c r="R852" s="933"/>
      <c r="S852" s="933"/>
      <c r="T852" s="933"/>
      <c r="U852" s="933"/>
      <c r="V852" s="933"/>
      <c r="W852" s="933"/>
      <c r="X852" s="933"/>
      <c r="Y852" s="933"/>
      <c r="Z852" s="933"/>
      <c r="AA852" s="933"/>
      <c r="AB852" s="933"/>
      <c r="AC852" s="933"/>
      <c r="AD852" s="933"/>
      <c r="AE852" s="933"/>
    </row>
    <row r="853" spans="1:31" ht="12.75">
      <c r="A853" s="933"/>
      <c r="B853" s="933"/>
      <c r="C853" s="933"/>
      <c r="D853" s="933"/>
      <c r="E853" s="933"/>
      <c r="F853" s="933"/>
      <c r="G853" s="933"/>
      <c r="H853" s="933"/>
      <c r="I853" s="933"/>
      <c r="J853" s="933"/>
      <c r="K853" s="933"/>
      <c r="L853" s="933"/>
      <c r="M853" s="933"/>
      <c r="N853" s="933"/>
      <c r="O853" s="933"/>
      <c r="P853" s="933"/>
      <c r="Q853" s="933"/>
      <c r="R853" s="933"/>
      <c r="S853" s="933"/>
      <c r="T853" s="933"/>
      <c r="U853" s="933"/>
      <c r="V853" s="933"/>
      <c r="W853" s="933"/>
      <c r="X853" s="933"/>
      <c r="Y853" s="933"/>
      <c r="Z853" s="933"/>
      <c r="AA853" s="933"/>
      <c r="AB853" s="933"/>
      <c r="AC853" s="933"/>
      <c r="AD853" s="933"/>
      <c r="AE853" s="933"/>
    </row>
    <row r="854" spans="1:31" ht="12.75">
      <c r="A854" s="933"/>
      <c r="B854" s="933"/>
      <c r="C854" s="933"/>
      <c r="D854" s="933"/>
      <c r="E854" s="933"/>
      <c r="F854" s="933"/>
      <c r="G854" s="933"/>
      <c r="H854" s="933"/>
      <c r="I854" s="933"/>
      <c r="J854" s="933"/>
      <c r="K854" s="933"/>
      <c r="L854" s="933"/>
      <c r="M854" s="933"/>
      <c r="N854" s="933"/>
      <c r="O854" s="933"/>
      <c r="P854" s="933"/>
      <c r="Q854" s="933"/>
      <c r="R854" s="933"/>
      <c r="S854" s="933"/>
      <c r="T854" s="933"/>
      <c r="U854" s="933"/>
      <c r="V854" s="933"/>
      <c r="W854" s="933"/>
      <c r="X854" s="933"/>
      <c r="Y854" s="933"/>
      <c r="Z854" s="933"/>
      <c r="AA854" s="933"/>
      <c r="AB854" s="933"/>
      <c r="AC854" s="933"/>
      <c r="AD854" s="933"/>
      <c r="AE854" s="933"/>
    </row>
    <row r="855" spans="1:31" ht="12.75">
      <c r="A855" s="933"/>
      <c r="B855" s="933"/>
      <c r="C855" s="933"/>
      <c r="D855" s="933"/>
      <c r="E855" s="933"/>
      <c r="F855" s="933"/>
      <c r="G855" s="933"/>
      <c r="H855" s="933"/>
      <c r="I855" s="933"/>
      <c r="J855" s="933"/>
      <c r="K855" s="933"/>
      <c r="L855" s="933"/>
      <c r="M855" s="933"/>
      <c r="N855" s="933"/>
      <c r="O855" s="933"/>
      <c r="P855" s="933"/>
      <c r="Q855" s="933"/>
      <c r="R855" s="933"/>
      <c r="S855" s="933"/>
      <c r="T855" s="933"/>
      <c r="U855" s="933"/>
      <c r="V855" s="933"/>
      <c r="W855" s="933"/>
      <c r="X855" s="933"/>
      <c r="Y855" s="933"/>
      <c r="Z855" s="933"/>
      <c r="AA855" s="933"/>
      <c r="AB855" s="933"/>
      <c r="AC855" s="933"/>
      <c r="AD855" s="933"/>
      <c r="AE855" s="933"/>
    </row>
    <row r="856" spans="1:31" ht="12.75">
      <c r="A856" s="933"/>
      <c r="B856" s="933"/>
      <c r="C856" s="933"/>
      <c r="D856" s="933"/>
      <c r="E856" s="933"/>
      <c r="F856" s="933"/>
      <c r="G856" s="933"/>
      <c r="H856" s="933"/>
      <c r="I856" s="933"/>
      <c r="J856" s="933"/>
      <c r="K856" s="933"/>
      <c r="L856" s="933"/>
      <c r="M856" s="933"/>
      <c r="N856" s="933"/>
      <c r="O856" s="933"/>
      <c r="P856" s="933"/>
      <c r="Q856" s="933"/>
      <c r="R856" s="933"/>
      <c r="S856" s="933"/>
      <c r="T856" s="933"/>
      <c r="U856" s="933"/>
      <c r="V856" s="933"/>
      <c r="W856" s="933"/>
      <c r="X856" s="933"/>
      <c r="Y856" s="933"/>
      <c r="Z856" s="933"/>
      <c r="AA856" s="933"/>
      <c r="AB856" s="933"/>
      <c r="AC856" s="933"/>
      <c r="AD856" s="933"/>
      <c r="AE856" s="933"/>
    </row>
    <row r="857" spans="1:31" ht="12.75">
      <c r="A857" s="933"/>
      <c r="B857" s="933"/>
      <c r="C857" s="933"/>
      <c r="D857" s="933"/>
      <c r="E857" s="933"/>
      <c r="F857" s="933"/>
      <c r="G857" s="933"/>
      <c r="H857" s="933"/>
      <c r="I857" s="933"/>
      <c r="J857" s="933"/>
      <c r="K857" s="933"/>
      <c r="L857" s="933"/>
      <c r="M857" s="933"/>
      <c r="N857" s="933"/>
      <c r="O857" s="933"/>
      <c r="P857" s="933"/>
      <c r="Q857" s="933"/>
      <c r="R857" s="933"/>
      <c r="S857" s="933"/>
      <c r="T857" s="933"/>
      <c r="U857" s="933"/>
      <c r="V857" s="933"/>
      <c r="W857" s="933"/>
      <c r="X857" s="933"/>
      <c r="Y857" s="933"/>
      <c r="Z857" s="933"/>
      <c r="AA857" s="933"/>
      <c r="AB857" s="933"/>
      <c r="AC857" s="933"/>
      <c r="AD857" s="933"/>
      <c r="AE857" s="933"/>
    </row>
    <row r="858" spans="1:31" ht="12.75">
      <c r="A858" s="933"/>
      <c r="B858" s="933"/>
      <c r="C858" s="933"/>
      <c r="D858" s="933"/>
      <c r="E858" s="933"/>
      <c r="F858" s="933"/>
      <c r="G858" s="933"/>
      <c r="H858" s="933"/>
      <c r="I858" s="933"/>
      <c r="J858" s="933"/>
      <c r="K858" s="933"/>
      <c r="L858" s="933"/>
      <c r="M858" s="933"/>
      <c r="N858" s="933"/>
      <c r="O858" s="933"/>
      <c r="P858" s="933"/>
      <c r="Q858" s="933"/>
      <c r="R858" s="933"/>
      <c r="S858" s="933"/>
      <c r="T858" s="933"/>
      <c r="U858" s="933"/>
      <c r="V858" s="933"/>
      <c r="W858" s="933"/>
      <c r="X858" s="933"/>
      <c r="Y858" s="933"/>
      <c r="Z858" s="933"/>
      <c r="AA858" s="933"/>
      <c r="AB858" s="933"/>
      <c r="AC858" s="933"/>
      <c r="AD858" s="933"/>
      <c r="AE858" s="933"/>
    </row>
    <row r="859" spans="1:31" ht="12.75">
      <c r="A859" s="933"/>
      <c r="B859" s="933"/>
      <c r="C859" s="933"/>
      <c r="D859" s="933"/>
      <c r="E859" s="933"/>
      <c r="F859" s="933"/>
      <c r="G859" s="933"/>
      <c r="H859" s="933"/>
      <c r="I859" s="933"/>
      <c r="J859" s="933"/>
      <c r="K859" s="933"/>
      <c r="L859" s="933"/>
      <c r="M859" s="933"/>
      <c r="N859" s="933"/>
      <c r="O859" s="933"/>
      <c r="P859" s="933"/>
      <c r="Q859" s="933"/>
      <c r="R859" s="933"/>
      <c r="S859" s="933"/>
      <c r="T859" s="933"/>
      <c r="U859" s="933"/>
      <c r="V859" s="933"/>
      <c r="W859" s="933"/>
      <c r="X859" s="933"/>
      <c r="Y859" s="933"/>
      <c r="Z859" s="933"/>
      <c r="AA859" s="933"/>
      <c r="AB859" s="933"/>
      <c r="AC859" s="933"/>
      <c r="AD859" s="933"/>
      <c r="AE859" s="933"/>
    </row>
    <row r="860" spans="1:31" ht="12.75">
      <c r="A860" s="933"/>
      <c r="B860" s="933"/>
      <c r="C860" s="933"/>
      <c r="D860" s="933"/>
      <c r="E860" s="933"/>
      <c r="F860" s="933"/>
      <c r="G860" s="933"/>
      <c r="H860" s="933"/>
      <c r="I860" s="933"/>
      <c r="J860" s="933"/>
      <c r="K860" s="933"/>
      <c r="L860" s="933"/>
      <c r="M860" s="933"/>
      <c r="N860" s="933"/>
      <c r="O860" s="933"/>
      <c r="P860" s="933"/>
      <c r="Q860" s="933"/>
      <c r="R860" s="933"/>
      <c r="S860" s="933"/>
      <c r="T860" s="933"/>
      <c r="U860" s="933"/>
      <c r="V860" s="933"/>
      <c r="W860" s="933"/>
      <c r="X860" s="933"/>
      <c r="Y860" s="933"/>
      <c r="Z860" s="933"/>
      <c r="AA860" s="933"/>
      <c r="AB860" s="933"/>
      <c r="AC860" s="933"/>
      <c r="AD860" s="933"/>
      <c r="AE860" s="933"/>
    </row>
    <row r="861" spans="1:31" ht="12.75">
      <c r="A861" s="933"/>
      <c r="B861" s="933"/>
      <c r="C861" s="933"/>
      <c r="D861" s="933"/>
      <c r="E861" s="933"/>
      <c r="F861" s="933"/>
      <c r="G861" s="933"/>
      <c r="H861" s="933"/>
      <c r="I861" s="933"/>
      <c r="J861" s="933"/>
      <c r="K861" s="933"/>
      <c r="L861" s="933"/>
      <c r="M861" s="933"/>
      <c r="N861" s="933"/>
      <c r="O861" s="933"/>
      <c r="P861" s="933"/>
      <c r="Q861" s="933"/>
      <c r="R861" s="933"/>
      <c r="S861" s="933"/>
      <c r="T861" s="933"/>
      <c r="U861" s="933"/>
      <c r="V861" s="933"/>
      <c r="W861" s="933"/>
      <c r="X861" s="933"/>
      <c r="Y861" s="933"/>
      <c r="Z861" s="933"/>
      <c r="AA861" s="933"/>
      <c r="AB861" s="933"/>
      <c r="AC861" s="933"/>
      <c r="AD861" s="933"/>
      <c r="AE861" s="933"/>
    </row>
    <row r="862" spans="1:31" ht="12.75">
      <c r="A862" s="933"/>
      <c r="B862" s="933"/>
      <c r="C862" s="933"/>
      <c r="D862" s="933"/>
      <c r="E862" s="933"/>
      <c r="F862" s="933"/>
      <c r="G862" s="933"/>
      <c r="H862" s="933"/>
      <c r="I862" s="933"/>
      <c r="J862" s="933"/>
      <c r="K862" s="933"/>
      <c r="L862" s="933"/>
      <c r="M862" s="933"/>
      <c r="N862" s="933"/>
      <c r="O862" s="933"/>
      <c r="P862" s="933"/>
      <c r="Q862" s="933"/>
      <c r="R862" s="933"/>
      <c r="S862" s="933"/>
      <c r="T862" s="933"/>
      <c r="U862" s="933"/>
      <c r="V862" s="933"/>
      <c r="W862" s="933"/>
      <c r="X862" s="933"/>
      <c r="Y862" s="933"/>
      <c r="Z862" s="933"/>
      <c r="AA862" s="933"/>
      <c r="AB862" s="933"/>
      <c r="AC862" s="933"/>
      <c r="AD862" s="933"/>
      <c r="AE862" s="933"/>
    </row>
    <row r="863" spans="1:31" ht="12.75">
      <c r="A863" s="933"/>
      <c r="B863" s="933"/>
      <c r="C863" s="933"/>
      <c r="D863" s="933"/>
      <c r="E863" s="933"/>
      <c r="F863" s="933"/>
      <c r="G863" s="933"/>
      <c r="H863" s="933"/>
      <c r="I863" s="933"/>
      <c r="J863" s="933"/>
      <c r="K863" s="933"/>
      <c r="L863" s="933"/>
      <c r="M863" s="933"/>
      <c r="N863" s="933"/>
      <c r="O863" s="933"/>
      <c r="P863" s="933"/>
      <c r="Q863" s="933"/>
      <c r="R863" s="933"/>
      <c r="S863" s="933"/>
      <c r="T863" s="933"/>
      <c r="U863" s="933"/>
      <c r="V863" s="933"/>
      <c r="W863" s="933"/>
      <c r="X863" s="933"/>
      <c r="Y863" s="933"/>
      <c r="Z863" s="933"/>
      <c r="AA863" s="933"/>
      <c r="AB863" s="933"/>
      <c r="AC863" s="933"/>
      <c r="AD863" s="933"/>
      <c r="AE863" s="933"/>
    </row>
    <row r="864" spans="1:31" ht="12.75">
      <c r="A864" s="933"/>
      <c r="B864" s="933"/>
      <c r="C864" s="933"/>
      <c r="D864" s="933"/>
      <c r="E864" s="933"/>
      <c r="F864" s="933"/>
      <c r="G864" s="933"/>
      <c r="H864" s="933"/>
      <c r="I864" s="933"/>
      <c r="J864" s="933"/>
      <c r="K864" s="933"/>
      <c r="L864" s="933"/>
      <c r="M864" s="933"/>
      <c r="N864" s="933"/>
      <c r="O864" s="933"/>
      <c r="P864" s="933"/>
      <c r="Q864" s="933"/>
      <c r="R864" s="933"/>
      <c r="S864" s="933"/>
      <c r="T864" s="933"/>
      <c r="U864" s="933"/>
      <c r="V864" s="933"/>
      <c r="W864" s="933"/>
      <c r="X864" s="933"/>
      <c r="Y864" s="933"/>
      <c r="Z864" s="933"/>
      <c r="AA864" s="933"/>
      <c r="AB864" s="933"/>
      <c r="AC864" s="933"/>
      <c r="AD864" s="933"/>
      <c r="AE864" s="933"/>
    </row>
    <row r="865" spans="1:31" ht="12.75">
      <c r="A865" s="933"/>
      <c r="B865" s="933"/>
      <c r="C865" s="933"/>
      <c r="D865" s="933"/>
      <c r="E865" s="933"/>
      <c r="F865" s="933"/>
      <c r="G865" s="933"/>
      <c r="H865" s="933"/>
      <c r="I865" s="933"/>
      <c r="J865" s="933"/>
      <c r="K865" s="933"/>
      <c r="L865" s="933"/>
      <c r="M865" s="933"/>
      <c r="N865" s="933"/>
      <c r="O865" s="933"/>
      <c r="P865" s="933"/>
      <c r="Q865" s="933"/>
      <c r="R865" s="933"/>
      <c r="S865" s="933"/>
      <c r="T865" s="933"/>
      <c r="U865" s="933"/>
      <c r="V865" s="933"/>
      <c r="W865" s="933"/>
      <c r="X865" s="933"/>
      <c r="Y865" s="933"/>
      <c r="Z865" s="933"/>
      <c r="AA865" s="933"/>
      <c r="AB865" s="933"/>
      <c r="AC865" s="933"/>
      <c r="AD865" s="933"/>
      <c r="AE865" s="933"/>
    </row>
    <row r="866" spans="1:31" ht="12.75">
      <c r="A866" s="933"/>
      <c r="B866" s="933"/>
      <c r="C866" s="933"/>
      <c r="D866" s="933"/>
      <c r="E866" s="933"/>
      <c r="F866" s="933"/>
      <c r="G866" s="933"/>
      <c r="H866" s="933"/>
      <c r="I866" s="933"/>
      <c r="J866" s="933"/>
      <c r="K866" s="933"/>
      <c r="L866" s="933"/>
      <c r="M866" s="933"/>
      <c r="N866" s="933"/>
      <c r="O866" s="933"/>
      <c r="P866" s="933"/>
      <c r="Q866" s="933"/>
      <c r="R866" s="933"/>
      <c r="S866" s="933"/>
      <c r="T866" s="933"/>
      <c r="U866" s="933"/>
      <c r="V866" s="933"/>
      <c r="W866" s="933"/>
      <c r="X866" s="933"/>
      <c r="Y866" s="933"/>
      <c r="Z866" s="933"/>
      <c r="AA866" s="933"/>
      <c r="AB866" s="933"/>
      <c r="AC866" s="933"/>
      <c r="AD866" s="933"/>
      <c r="AE866" s="933"/>
    </row>
    <row r="867" spans="1:31" ht="12.75">
      <c r="A867" s="933"/>
      <c r="B867" s="933"/>
      <c r="C867" s="933"/>
      <c r="D867" s="933"/>
      <c r="E867" s="933"/>
      <c r="F867" s="933"/>
      <c r="G867" s="933"/>
      <c r="H867" s="933"/>
      <c r="I867" s="933"/>
      <c r="J867" s="933"/>
      <c r="K867" s="933"/>
      <c r="L867" s="933"/>
      <c r="M867" s="933"/>
      <c r="N867" s="933"/>
      <c r="O867" s="933"/>
      <c r="P867" s="933"/>
      <c r="Q867" s="933"/>
      <c r="R867" s="933"/>
      <c r="S867" s="933"/>
      <c r="T867" s="933"/>
      <c r="U867" s="933"/>
      <c r="V867" s="933"/>
      <c r="W867" s="933"/>
      <c r="X867" s="933"/>
      <c r="Y867" s="933"/>
      <c r="Z867" s="933"/>
      <c r="AA867" s="933"/>
      <c r="AB867" s="933"/>
      <c r="AC867" s="933"/>
      <c r="AD867" s="933"/>
      <c r="AE867" s="933"/>
    </row>
    <row r="868" spans="1:31" ht="12.75">
      <c r="A868" s="933"/>
      <c r="B868" s="933"/>
      <c r="C868" s="933"/>
      <c r="D868" s="933"/>
      <c r="E868" s="933"/>
      <c r="F868" s="933"/>
      <c r="G868" s="933"/>
      <c r="H868" s="933"/>
      <c r="I868" s="933"/>
      <c r="J868" s="933"/>
      <c r="K868" s="933"/>
      <c r="L868" s="933"/>
      <c r="M868" s="933"/>
      <c r="N868" s="933"/>
      <c r="O868" s="933"/>
      <c r="P868" s="933"/>
      <c r="Q868" s="933"/>
      <c r="R868" s="933"/>
      <c r="S868" s="933"/>
      <c r="T868" s="933"/>
      <c r="U868" s="933"/>
      <c r="V868" s="933"/>
      <c r="W868" s="933"/>
      <c r="X868" s="933"/>
      <c r="Y868" s="933"/>
      <c r="Z868" s="933"/>
      <c r="AA868" s="933"/>
      <c r="AB868" s="933"/>
      <c r="AC868" s="933"/>
      <c r="AD868" s="933"/>
      <c r="AE868" s="933"/>
    </row>
    <row r="869" spans="1:31" ht="12.75">
      <c r="A869" s="933"/>
      <c r="B869" s="933"/>
      <c r="C869" s="933"/>
      <c r="D869" s="933"/>
      <c r="E869" s="933"/>
      <c r="F869" s="933"/>
      <c r="G869" s="933"/>
      <c r="H869" s="933"/>
      <c r="I869" s="933"/>
      <c r="J869" s="933"/>
      <c r="K869" s="933"/>
      <c r="L869" s="933"/>
      <c r="M869" s="933"/>
      <c r="N869" s="933"/>
      <c r="O869" s="933"/>
      <c r="P869" s="933"/>
      <c r="Q869" s="933"/>
      <c r="R869" s="933"/>
      <c r="S869" s="933"/>
      <c r="T869" s="933"/>
      <c r="U869" s="933"/>
      <c r="V869" s="933"/>
      <c r="W869" s="933"/>
      <c r="X869" s="933"/>
      <c r="Y869" s="933"/>
      <c r="Z869" s="933"/>
      <c r="AA869" s="933"/>
      <c r="AB869" s="933"/>
      <c r="AC869" s="933"/>
      <c r="AD869" s="933"/>
      <c r="AE869" s="933"/>
    </row>
    <row r="870" spans="1:31" ht="12.75">
      <c r="A870" s="933"/>
      <c r="B870" s="933"/>
      <c r="C870" s="933"/>
      <c r="D870" s="933"/>
      <c r="E870" s="933"/>
      <c r="F870" s="933"/>
      <c r="G870" s="933"/>
      <c r="H870" s="933"/>
      <c r="I870" s="933"/>
      <c r="J870" s="933"/>
      <c r="K870" s="933"/>
      <c r="L870" s="933"/>
      <c r="M870" s="933"/>
      <c r="N870" s="933"/>
      <c r="O870" s="933"/>
      <c r="P870" s="933"/>
      <c r="Q870" s="933"/>
      <c r="R870" s="933"/>
      <c r="S870" s="933"/>
      <c r="T870" s="933"/>
      <c r="U870" s="933"/>
      <c r="V870" s="933"/>
      <c r="W870" s="933"/>
      <c r="X870" s="933"/>
      <c r="Y870" s="933"/>
      <c r="Z870" s="933"/>
      <c r="AA870" s="933"/>
      <c r="AB870" s="933"/>
      <c r="AC870" s="933"/>
      <c r="AD870" s="933"/>
      <c r="AE870" s="933"/>
    </row>
    <row r="871" spans="1:31" ht="12.75">
      <c r="A871" s="933"/>
      <c r="B871" s="933"/>
      <c r="C871" s="933"/>
      <c r="D871" s="933"/>
      <c r="E871" s="933"/>
      <c r="F871" s="933"/>
      <c r="G871" s="933"/>
      <c r="H871" s="933"/>
      <c r="I871" s="933"/>
      <c r="J871" s="933"/>
      <c r="K871" s="933"/>
      <c r="L871" s="933"/>
      <c r="M871" s="933"/>
      <c r="N871" s="933"/>
      <c r="O871" s="933"/>
      <c r="P871" s="933"/>
      <c r="Q871" s="933"/>
      <c r="R871" s="933"/>
      <c r="S871" s="933"/>
      <c r="T871" s="933"/>
      <c r="U871" s="933"/>
      <c r="V871" s="933"/>
      <c r="W871" s="933"/>
      <c r="X871" s="933"/>
      <c r="Y871" s="933"/>
      <c r="Z871" s="933"/>
      <c r="AA871" s="933"/>
      <c r="AB871" s="933"/>
      <c r="AC871" s="933"/>
      <c r="AD871" s="933"/>
      <c r="AE871" s="933"/>
    </row>
    <row r="872" spans="1:31" ht="12.75">
      <c r="A872" s="933"/>
      <c r="B872" s="933"/>
      <c r="C872" s="933"/>
      <c r="D872" s="933"/>
      <c r="E872" s="933"/>
      <c r="F872" s="933"/>
      <c r="G872" s="933"/>
      <c r="H872" s="933"/>
      <c r="I872" s="933"/>
      <c r="J872" s="933"/>
      <c r="K872" s="933"/>
      <c r="L872" s="933"/>
      <c r="M872" s="933"/>
      <c r="N872" s="933"/>
      <c r="O872" s="933"/>
      <c r="P872" s="933"/>
      <c r="Q872" s="933"/>
      <c r="R872" s="933"/>
      <c r="S872" s="933"/>
      <c r="T872" s="933"/>
      <c r="U872" s="933"/>
      <c r="V872" s="933"/>
      <c r="W872" s="933"/>
      <c r="X872" s="933"/>
      <c r="Y872" s="933"/>
      <c r="Z872" s="933"/>
      <c r="AA872" s="933"/>
      <c r="AB872" s="933"/>
      <c r="AC872" s="933"/>
      <c r="AD872" s="933"/>
      <c r="AE872" s="933"/>
    </row>
    <row r="873" spans="1:31" ht="12.75">
      <c r="A873" s="933"/>
      <c r="B873" s="933"/>
      <c r="C873" s="933"/>
      <c r="D873" s="933"/>
      <c r="E873" s="933"/>
      <c r="F873" s="933"/>
      <c r="G873" s="933"/>
      <c r="H873" s="933"/>
      <c r="I873" s="933"/>
      <c r="J873" s="933"/>
      <c r="K873" s="933"/>
      <c r="L873" s="933"/>
      <c r="M873" s="933"/>
      <c r="N873" s="933"/>
      <c r="O873" s="933"/>
      <c r="P873" s="933"/>
      <c r="Q873" s="933"/>
      <c r="R873" s="933"/>
      <c r="S873" s="933"/>
      <c r="T873" s="933"/>
      <c r="U873" s="933"/>
      <c r="V873" s="933"/>
      <c r="W873" s="933"/>
      <c r="X873" s="933"/>
      <c r="Y873" s="933"/>
      <c r="Z873" s="933"/>
      <c r="AA873" s="933"/>
      <c r="AB873" s="933"/>
      <c r="AC873" s="933"/>
      <c r="AD873" s="933"/>
      <c r="AE873" s="933"/>
    </row>
    <row r="874" spans="1:31" ht="12.75">
      <c r="A874" s="933"/>
      <c r="B874" s="933"/>
      <c r="C874" s="933"/>
      <c r="D874" s="933"/>
      <c r="E874" s="933"/>
      <c r="F874" s="933"/>
      <c r="G874" s="933"/>
      <c r="H874" s="933"/>
      <c r="I874" s="933"/>
      <c r="J874" s="933"/>
      <c r="K874" s="933"/>
      <c r="L874" s="933"/>
      <c r="M874" s="933"/>
      <c r="N874" s="933"/>
      <c r="O874" s="933"/>
      <c r="P874" s="933"/>
      <c r="Q874" s="933"/>
      <c r="R874" s="933"/>
      <c r="S874" s="933"/>
      <c r="T874" s="933"/>
      <c r="U874" s="933"/>
      <c r="V874" s="933"/>
      <c r="W874" s="933"/>
      <c r="X874" s="933"/>
      <c r="Y874" s="933"/>
      <c r="Z874" s="933"/>
      <c r="AA874" s="933"/>
      <c r="AB874" s="933"/>
      <c r="AC874" s="933"/>
      <c r="AD874" s="933"/>
      <c r="AE874" s="933"/>
    </row>
    <row r="875" spans="1:31" ht="12.75">
      <c r="A875" s="933"/>
      <c r="B875" s="933"/>
      <c r="C875" s="933"/>
      <c r="D875" s="933"/>
      <c r="E875" s="933"/>
      <c r="F875" s="933"/>
      <c r="G875" s="933"/>
      <c r="H875" s="933"/>
      <c r="I875" s="933"/>
      <c r="J875" s="933"/>
      <c r="K875" s="933"/>
      <c r="L875" s="933"/>
      <c r="M875" s="933"/>
      <c r="N875" s="933"/>
      <c r="O875" s="933"/>
      <c r="P875" s="933"/>
      <c r="Q875" s="933"/>
      <c r="R875" s="933"/>
      <c r="S875" s="933"/>
      <c r="T875" s="933"/>
      <c r="U875" s="933"/>
      <c r="V875" s="933"/>
      <c r="W875" s="933"/>
      <c r="X875" s="933"/>
      <c r="Y875" s="933"/>
      <c r="Z875" s="933"/>
      <c r="AA875" s="933"/>
      <c r="AB875" s="933"/>
      <c r="AC875" s="933"/>
      <c r="AD875" s="933"/>
      <c r="AE875" s="933"/>
    </row>
    <row r="876" spans="1:31" ht="12.75">
      <c r="A876" s="933"/>
      <c r="B876" s="933"/>
      <c r="C876" s="933"/>
      <c r="D876" s="933"/>
      <c r="E876" s="933"/>
      <c r="F876" s="933"/>
      <c r="G876" s="933"/>
      <c r="H876" s="933"/>
      <c r="I876" s="933"/>
      <c r="J876" s="933"/>
      <c r="K876" s="933"/>
      <c r="L876" s="933"/>
      <c r="M876" s="933"/>
      <c r="N876" s="933"/>
      <c r="O876" s="933"/>
      <c r="P876" s="933"/>
      <c r="Q876" s="933"/>
      <c r="R876" s="933"/>
      <c r="S876" s="933"/>
      <c r="T876" s="933"/>
      <c r="U876" s="933"/>
      <c r="V876" s="933"/>
      <c r="W876" s="933"/>
      <c r="X876" s="933"/>
      <c r="Y876" s="933"/>
      <c r="Z876" s="933"/>
      <c r="AA876" s="933"/>
      <c r="AB876" s="933"/>
      <c r="AC876" s="933"/>
      <c r="AD876" s="933"/>
      <c r="AE876" s="933"/>
    </row>
    <row r="877" spans="1:31" ht="12.75">
      <c r="A877" s="933"/>
      <c r="B877" s="933"/>
      <c r="C877" s="933"/>
      <c r="D877" s="933"/>
      <c r="E877" s="933"/>
      <c r="F877" s="933"/>
      <c r="G877" s="933"/>
      <c r="H877" s="933"/>
      <c r="I877" s="933"/>
      <c r="J877" s="933"/>
      <c r="K877" s="933"/>
      <c r="L877" s="933"/>
      <c r="M877" s="933"/>
      <c r="N877" s="933"/>
      <c r="O877" s="933"/>
      <c r="P877" s="933"/>
      <c r="Q877" s="933"/>
      <c r="R877" s="933"/>
      <c r="S877" s="933"/>
      <c r="T877" s="933"/>
      <c r="U877" s="933"/>
      <c r="V877" s="933"/>
      <c r="W877" s="933"/>
      <c r="X877" s="933"/>
      <c r="Y877" s="933"/>
      <c r="Z877" s="933"/>
      <c r="AA877" s="933"/>
      <c r="AB877" s="933"/>
      <c r="AC877" s="933"/>
      <c r="AD877" s="933"/>
      <c r="AE877" s="933"/>
    </row>
    <row r="878" spans="1:31" ht="12.75">
      <c r="A878" s="933"/>
      <c r="B878" s="933"/>
      <c r="C878" s="933"/>
      <c r="D878" s="933"/>
      <c r="E878" s="933"/>
      <c r="F878" s="933"/>
      <c r="G878" s="933"/>
      <c r="H878" s="933"/>
      <c r="I878" s="933"/>
      <c r="J878" s="933"/>
      <c r="K878" s="933"/>
      <c r="L878" s="933"/>
      <c r="M878" s="933"/>
      <c r="N878" s="933"/>
      <c r="O878" s="933"/>
      <c r="P878" s="933"/>
      <c r="Q878" s="933"/>
      <c r="R878" s="933"/>
      <c r="S878" s="933"/>
      <c r="T878" s="933"/>
      <c r="U878" s="933"/>
      <c r="V878" s="933"/>
      <c r="W878" s="933"/>
      <c r="X878" s="933"/>
      <c r="Y878" s="933"/>
      <c r="Z878" s="933"/>
      <c r="AA878" s="933"/>
      <c r="AB878" s="933"/>
      <c r="AC878" s="933"/>
      <c r="AD878" s="933"/>
      <c r="AE878" s="933"/>
    </row>
    <row r="879" spans="1:31" ht="12.75">
      <c r="A879" s="933"/>
      <c r="B879" s="933"/>
      <c r="C879" s="933"/>
      <c r="D879" s="933"/>
      <c r="E879" s="933"/>
      <c r="F879" s="933"/>
      <c r="G879" s="933"/>
      <c r="H879" s="933"/>
      <c r="I879" s="933"/>
      <c r="J879" s="933"/>
      <c r="K879" s="933"/>
      <c r="L879" s="933"/>
      <c r="M879" s="933"/>
      <c r="N879" s="933"/>
      <c r="O879" s="933"/>
      <c r="P879" s="933"/>
      <c r="Q879" s="933"/>
      <c r="R879" s="933"/>
      <c r="S879" s="933"/>
      <c r="T879" s="933"/>
      <c r="U879" s="933"/>
      <c r="V879" s="933"/>
      <c r="W879" s="933"/>
      <c r="X879" s="933"/>
      <c r="Y879" s="933"/>
      <c r="Z879" s="933"/>
      <c r="AA879" s="933"/>
      <c r="AB879" s="933"/>
      <c r="AC879" s="933"/>
      <c r="AD879" s="933"/>
      <c r="AE879" s="933"/>
    </row>
    <row r="880" spans="1:31" ht="12.75">
      <c r="A880" s="933"/>
      <c r="B880" s="933"/>
      <c r="C880" s="933"/>
      <c r="D880" s="933"/>
      <c r="E880" s="933"/>
      <c r="F880" s="933"/>
      <c r="G880" s="933"/>
      <c r="H880" s="933"/>
      <c r="I880" s="933"/>
      <c r="J880" s="933"/>
      <c r="K880" s="933"/>
      <c r="L880" s="933"/>
      <c r="M880" s="933"/>
      <c r="N880" s="933"/>
      <c r="O880" s="933"/>
      <c r="P880" s="933"/>
      <c r="Q880" s="933"/>
      <c r="R880" s="933"/>
      <c r="S880" s="933"/>
      <c r="T880" s="933"/>
      <c r="U880" s="933"/>
      <c r="V880" s="933"/>
      <c r="W880" s="933"/>
      <c r="X880" s="933"/>
      <c r="Y880" s="933"/>
      <c r="Z880" s="933"/>
      <c r="AA880" s="933"/>
      <c r="AB880" s="933"/>
      <c r="AC880" s="933"/>
      <c r="AD880" s="933"/>
      <c r="AE880" s="933"/>
    </row>
    <row r="881" spans="1:31" ht="12.75">
      <c r="A881" s="933"/>
      <c r="B881" s="933"/>
      <c r="C881" s="933"/>
      <c r="D881" s="933"/>
      <c r="E881" s="933"/>
      <c r="F881" s="933"/>
      <c r="G881" s="933"/>
      <c r="H881" s="933"/>
      <c r="I881" s="933"/>
      <c r="J881" s="933"/>
      <c r="K881" s="933"/>
      <c r="L881" s="933"/>
      <c r="M881" s="933"/>
      <c r="N881" s="933"/>
      <c r="O881" s="933"/>
      <c r="P881" s="933"/>
      <c r="Q881" s="933"/>
      <c r="R881" s="933"/>
      <c r="S881" s="933"/>
      <c r="T881" s="933"/>
      <c r="U881" s="933"/>
      <c r="V881" s="933"/>
      <c r="W881" s="933"/>
      <c r="X881" s="933"/>
      <c r="Y881" s="933"/>
      <c r="Z881" s="933"/>
      <c r="AA881" s="933"/>
      <c r="AB881" s="933"/>
      <c r="AC881" s="933"/>
      <c r="AD881" s="933"/>
      <c r="AE881" s="933"/>
    </row>
    <row r="882" spans="1:31" ht="12.75">
      <c r="A882" s="933"/>
      <c r="B882" s="933"/>
      <c r="C882" s="933"/>
      <c r="D882" s="933"/>
      <c r="E882" s="933"/>
      <c r="F882" s="933"/>
      <c r="G882" s="933"/>
      <c r="H882" s="933"/>
      <c r="I882" s="933"/>
      <c r="J882" s="933"/>
      <c r="K882" s="933"/>
      <c r="L882" s="933"/>
      <c r="M882" s="933"/>
      <c r="N882" s="933"/>
      <c r="O882" s="933"/>
      <c r="P882" s="933"/>
      <c r="Q882" s="933"/>
      <c r="R882" s="933"/>
      <c r="S882" s="933"/>
      <c r="T882" s="933"/>
      <c r="U882" s="933"/>
      <c r="V882" s="933"/>
      <c r="W882" s="933"/>
      <c r="X882" s="933"/>
      <c r="Y882" s="933"/>
      <c r="Z882" s="933"/>
      <c r="AA882" s="933"/>
      <c r="AB882" s="933"/>
      <c r="AC882" s="933"/>
      <c r="AD882" s="933"/>
      <c r="AE882" s="933"/>
    </row>
    <row r="883" spans="1:31" ht="12.75">
      <c r="A883" s="933"/>
      <c r="B883" s="933"/>
      <c r="C883" s="933"/>
      <c r="D883" s="933"/>
      <c r="E883" s="933"/>
      <c r="F883" s="933"/>
      <c r="G883" s="933"/>
      <c r="H883" s="933"/>
      <c r="I883" s="933"/>
      <c r="J883" s="933"/>
      <c r="K883" s="933"/>
      <c r="L883" s="933"/>
      <c r="M883" s="933"/>
      <c r="N883" s="933"/>
      <c r="O883" s="933"/>
      <c r="P883" s="933"/>
      <c r="Q883" s="933"/>
      <c r="R883" s="933"/>
      <c r="S883" s="933"/>
      <c r="T883" s="933"/>
      <c r="U883" s="933"/>
      <c r="V883" s="933"/>
      <c r="W883" s="933"/>
      <c r="X883" s="933"/>
      <c r="Y883" s="933"/>
      <c r="Z883" s="933"/>
      <c r="AA883" s="933"/>
      <c r="AB883" s="933"/>
      <c r="AC883" s="933"/>
      <c r="AD883" s="933"/>
      <c r="AE883" s="933"/>
    </row>
    <row r="884" spans="1:31" ht="12.75">
      <c r="A884" s="933"/>
      <c r="B884" s="933"/>
      <c r="C884" s="933"/>
      <c r="D884" s="933"/>
      <c r="E884" s="933"/>
      <c r="F884" s="933"/>
      <c r="G884" s="933"/>
      <c r="H884" s="933"/>
      <c r="I884" s="933"/>
      <c r="J884" s="933"/>
      <c r="K884" s="933"/>
      <c r="L884" s="933"/>
      <c r="M884" s="933"/>
      <c r="N884" s="933"/>
      <c r="O884" s="933"/>
      <c r="P884" s="933"/>
      <c r="Q884" s="933"/>
      <c r="R884" s="933"/>
      <c r="S884" s="933"/>
      <c r="T884" s="933"/>
      <c r="U884" s="933"/>
      <c r="V884" s="933"/>
      <c r="W884" s="933"/>
      <c r="X884" s="933"/>
      <c r="Y884" s="933"/>
      <c r="Z884" s="933"/>
      <c r="AA884" s="933"/>
      <c r="AB884" s="933"/>
      <c r="AC884" s="933"/>
      <c r="AD884" s="933"/>
      <c r="AE884" s="933"/>
    </row>
    <row r="885" spans="1:31" ht="12.75">
      <c r="A885" s="933"/>
      <c r="B885" s="933"/>
      <c r="C885" s="933"/>
      <c r="D885" s="933"/>
      <c r="E885" s="933"/>
      <c r="F885" s="933"/>
      <c r="G885" s="933"/>
      <c r="H885" s="933"/>
      <c r="I885" s="933"/>
      <c r="J885" s="933"/>
      <c r="K885" s="933"/>
      <c r="L885" s="933"/>
      <c r="M885" s="933"/>
      <c r="N885" s="933"/>
      <c r="O885" s="933"/>
      <c r="P885" s="933"/>
      <c r="Q885" s="933"/>
      <c r="R885" s="933"/>
      <c r="S885" s="933"/>
      <c r="T885" s="933"/>
      <c r="U885" s="933"/>
      <c r="V885" s="933"/>
      <c r="W885" s="933"/>
      <c r="X885" s="933"/>
      <c r="Y885" s="933"/>
      <c r="Z885" s="933"/>
      <c r="AA885" s="933"/>
      <c r="AB885" s="933"/>
      <c r="AC885" s="933"/>
      <c r="AD885" s="933"/>
      <c r="AE885" s="933"/>
    </row>
    <row r="886" spans="1:31" ht="12.75">
      <c r="A886" s="933"/>
      <c r="B886" s="933"/>
      <c r="C886" s="933"/>
      <c r="D886" s="933"/>
      <c r="E886" s="933"/>
      <c r="F886" s="933"/>
      <c r="G886" s="933"/>
      <c r="H886" s="933"/>
      <c r="I886" s="933"/>
      <c r="J886" s="933"/>
      <c r="K886" s="933"/>
      <c r="L886" s="933"/>
      <c r="M886" s="933"/>
      <c r="N886" s="933"/>
      <c r="O886" s="933"/>
      <c r="P886" s="933"/>
      <c r="Q886" s="933"/>
      <c r="R886" s="933"/>
      <c r="S886" s="933"/>
      <c r="T886" s="933"/>
      <c r="U886" s="933"/>
      <c r="V886" s="933"/>
      <c r="W886" s="933"/>
      <c r="X886" s="933"/>
      <c r="Y886" s="933"/>
      <c r="Z886" s="933"/>
      <c r="AA886" s="933"/>
      <c r="AB886" s="933"/>
      <c r="AC886" s="933"/>
      <c r="AD886" s="933"/>
      <c r="AE886" s="933"/>
    </row>
    <row r="887" spans="1:31" ht="12.75">
      <c r="A887" s="933"/>
      <c r="B887" s="933"/>
      <c r="C887" s="933"/>
      <c r="D887" s="933"/>
      <c r="E887" s="933"/>
      <c r="F887" s="933"/>
      <c r="G887" s="933"/>
      <c r="H887" s="933"/>
      <c r="I887" s="933"/>
      <c r="J887" s="933"/>
      <c r="K887" s="933"/>
      <c r="L887" s="933"/>
      <c r="M887" s="933"/>
      <c r="N887" s="933"/>
      <c r="O887" s="933"/>
      <c r="P887" s="933"/>
      <c r="Q887" s="933"/>
      <c r="R887" s="933"/>
      <c r="S887" s="933"/>
      <c r="T887" s="933"/>
      <c r="U887" s="933"/>
      <c r="V887" s="933"/>
      <c r="W887" s="933"/>
      <c r="X887" s="933"/>
      <c r="Y887" s="933"/>
      <c r="Z887" s="933"/>
      <c r="AA887" s="933"/>
      <c r="AB887" s="933"/>
      <c r="AC887" s="933"/>
      <c r="AD887" s="933"/>
      <c r="AE887" s="933"/>
    </row>
    <row r="888" spans="1:31" ht="12.75">
      <c r="A888" s="933"/>
      <c r="B888" s="933"/>
      <c r="C888" s="933"/>
      <c r="D888" s="933"/>
      <c r="E888" s="933"/>
      <c r="F888" s="933"/>
      <c r="G888" s="933"/>
      <c r="H888" s="933"/>
      <c r="I888" s="933"/>
      <c r="J888" s="933"/>
      <c r="K888" s="933"/>
      <c r="L888" s="933"/>
      <c r="M888" s="933"/>
      <c r="N888" s="933"/>
      <c r="O888" s="933"/>
      <c r="P888" s="933"/>
      <c r="Q888" s="933"/>
      <c r="R888" s="933"/>
      <c r="S888" s="933"/>
      <c r="T888" s="933"/>
      <c r="U888" s="933"/>
      <c r="V888" s="933"/>
      <c r="W888" s="933"/>
      <c r="X888" s="933"/>
      <c r="Y888" s="933"/>
      <c r="Z888" s="933"/>
      <c r="AA888" s="933"/>
      <c r="AB888" s="933"/>
      <c r="AC888" s="933"/>
      <c r="AD888" s="933"/>
      <c r="AE888" s="933"/>
    </row>
    <row r="889" spans="1:31" ht="12.75">
      <c r="A889" s="933"/>
      <c r="B889" s="933"/>
      <c r="C889" s="933"/>
      <c r="D889" s="933"/>
      <c r="E889" s="933"/>
      <c r="F889" s="933"/>
      <c r="G889" s="933"/>
      <c r="H889" s="933"/>
      <c r="I889" s="933"/>
      <c r="J889" s="933"/>
      <c r="K889" s="933"/>
      <c r="L889" s="933"/>
      <c r="M889" s="933"/>
      <c r="N889" s="933"/>
      <c r="O889" s="933"/>
      <c r="P889" s="933"/>
      <c r="Q889" s="933"/>
      <c r="R889" s="933"/>
      <c r="S889" s="933"/>
      <c r="T889" s="933"/>
      <c r="U889" s="933"/>
      <c r="V889" s="933"/>
      <c r="W889" s="933"/>
      <c r="X889" s="933"/>
      <c r="Y889" s="933"/>
      <c r="Z889" s="933"/>
      <c r="AA889" s="933"/>
      <c r="AB889" s="933"/>
      <c r="AC889" s="933"/>
      <c r="AD889" s="933"/>
      <c r="AE889" s="933"/>
    </row>
    <row r="890" spans="1:31" ht="12.75">
      <c r="A890" s="933"/>
      <c r="B890" s="933"/>
      <c r="C890" s="933"/>
      <c r="D890" s="933"/>
      <c r="E890" s="933"/>
      <c r="F890" s="933"/>
      <c r="G890" s="933"/>
      <c r="H890" s="933"/>
      <c r="I890" s="933"/>
      <c r="J890" s="933"/>
      <c r="K890" s="933"/>
      <c r="L890" s="933"/>
      <c r="M890" s="933"/>
      <c r="N890" s="933"/>
      <c r="O890" s="933"/>
      <c r="P890" s="933"/>
      <c r="Q890" s="933"/>
      <c r="R890" s="933"/>
      <c r="S890" s="933"/>
      <c r="T890" s="933"/>
      <c r="U890" s="933"/>
      <c r="V890" s="933"/>
      <c r="W890" s="933"/>
      <c r="X890" s="933"/>
      <c r="Y890" s="933"/>
      <c r="Z890" s="933"/>
      <c r="AA890" s="933"/>
      <c r="AB890" s="933"/>
      <c r="AC890" s="933"/>
      <c r="AD890" s="933"/>
      <c r="AE890" s="933"/>
    </row>
    <row r="891" spans="1:31" ht="12.75">
      <c r="A891" s="933"/>
      <c r="B891" s="933"/>
      <c r="C891" s="933"/>
      <c r="D891" s="933"/>
      <c r="E891" s="933"/>
      <c r="F891" s="933"/>
      <c r="G891" s="933"/>
      <c r="H891" s="933"/>
      <c r="I891" s="933"/>
      <c r="J891" s="933"/>
      <c r="K891" s="933"/>
      <c r="L891" s="933"/>
      <c r="M891" s="933"/>
      <c r="N891" s="933"/>
      <c r="O891" s="933"/>
      <c r="P891" s="933"/>
      <c r="Q891" s="933"/>
      <c r="R891" s="933"/>
      <c r="S891" s="933"/>
      <c r="T891" s="933"/>
      <c r="U891" s="933"/>
      <c r="V891" s="933"/>
      <c r="W891" s="933"/>
      <c r="X891" s="933"/>
      <c r="Y891" s="933"/>
      <c r="Z891" s="933"/>
      <c r="AA891" s="933"/>
      <c r="AB891" s="933"/>
      <c r="AC891" s="933"/>
      <c r="AD891" s="933"/>
      <c r="AE891" s="933"/>
    </row>
    <row r="892" spans="1:31" ht="12.75">
      <c r="A892" s="933"/>
      <c r="B892" s="933"/>
      <c r="C892" s="933"/>
      <c r="D892" s="933"/>
      <c r="E892" s="933"/>
      <c r="F892" s="933"/>
      <c r="G892" s="933"/>
      <c r="H892" s="933"/>
      <c r="I892" s="933"/>
      <c r="J892" s="933"/>
      <c r="K892" s="933"/>
      <c r="L892" s="933"/>
      <c r="M892" s="933"/>
      <c r="N892" s="933"/>
      <c r="O892" s="933"/>
      <c r="P892" s="933"/>
      <c r="Q892" s="933"/>
      <c r="R892" s="933"/>
      <c r="S892" s="933"/>
      <c r="T892" s="933"/>
      <c r="U892" s="933"/>
      <c r="V892" s="933"/>
      <c r="W892" s="933"/>
      <c r="X892" s="933"/>
      <c r="Y892" s="933"/>
      <c r="Z892" s="933"/>
      <c r="AA892" s="933"/>
      <c r="AB892" s="933"/>
      <c r="AC892" s="933"/>
      <c r="AD892" s="933"/>
      <c r="AE892" s="933"/>
    </row>
    <row r="893" spans="1:31" ht="12.75">
      <c r="A893" s="933"/>
      <c r="B893" s="933"/>
      <c r="C893" s="933"/>
      <c r="D893" s="933"/>
      <c r="E893" s="933"/>
      <c r="F893" s="933"/>
      <c r="G893" s="933"/>
      <c r="H893" s="933"/>
      <c r="I893" s="933"/>
      <c r="J893" s="933"/>
      <c r="K893" s="933"/>
      <c r="L893" s="933"/>
      <c r="M893" s="933"/>
      <c r="N893" s="933"/>
      <c r="O893" s="933"/>
      <c r="P893" s="933"/>
      <c r="Q893" s="933"/>
      <c r="R893" s="933"/>
      <c r="S893" s="933"/>
      <c r="T893" s="933"/>
      <c r="U893" s="933"/>
      <c r="V893" s="933"/>
      <c r="W893" s="933"/>
      <c r="X893" s="933"/>
      <c r="Y893" s="933"/>
      <c r="Z893" s="933"/>
      <c r="AA893" s="933"/>
      <c r="AB893" s="933"/>
      <c r="AC893" s="933"/>
      <c r="AD893" s="933"/>
      <c r="AE893" s="933"/>
    </row>
    <row r="894" spans="1:31" ht="12.75">
      <c r="A894" s="933"/>
      <c r="B894" s="933"/>
      <c r="C894" s="933"/>
      <c r="D894" s="933"/>
      <c r="E894" s="933"/>
      <c r="F894" s="933"/>
      <c r="G894" s="933"/>
      <c r="H894" s="933"/>
      <c r="I894" s="933"/>
      <c r="J894" s="933"/>
      <c r="K894" s="933"/>
      <c r="L894" s="933"/>
      <c r="M894" s="933"/>
      <c r="N894" s="933"/>
      <c r="O894" s="933"/>
      <c r="P894" s="933"/>
      <c r="Q894" s="933"/>
      <c r="R894" s="933"/>
      <c r="S894" s="933"/>
      <c r="T894" s="933"/>
      <c r="U894" s="933"/>
      <c r="V894" s="933"/>
      <c r="W894" s="933"/>
      <c r="X894" s="933"/>
      <c r="Y894" s="933"/>
      <c r="Z894" s="933"/>
      <c r="AA894" s="933"/>
      <c r="AB894" s="933"/>
      <c r="AC894" s="933"/>
      <c r="AD894" s="933"/>
      <c r="AE894" s="933"/>
    </row>
    <row r="895" spans="1:31" ht="12.75">
      <c r="A895" s="933"/>
      <c r="B895" s="933"/>
      <c r="C895" s="933"/>
      <c r="D895" s="933"/>
      <c r="E895" s="933"/>
      <c r="F895" s="933"/>
      <c r="G895" s="933"/>
      <c r="H895" s="933"/>
      <c r="I895" s="933"/>
      <c r="J895" s="933"/>
      <c r="K895" s="933"/>
      <c r="L895" s="933"/>
      <c r="M895" s="933"/>
      <c r="N895" s="933"/>
      <c r="O895" s="933"/>
      <c r="P895" s="933"/>
      <c r="Q895" s="933"/>
      <c r="R895" s="933"/>
      <c r="S895" s="933"/>
      <c r="T895" s="933"/>
      <c r="U895" s="933"/>
      <c r="V895" s="933"/>
      <c r="W895" s="933"/>
      <c r="X895" s="933"/>
      <c r="Y895" s="933"/>
      <c r="Z895" s="933"/>
      <c r="AA895" s="933"/>
      <c r="AB895" s="933"/>
      <c r="AC895" s="933"/>
      <c r="AD895" s="933"/>
      <c r="AE895" s="933"/>
    </row>
    <row r="896" spans="1:31" ht="12.75">
      <c r="A896" s="933"/>
      <c r="B896" s="933"/>
      <c r="C896" s="933"/>
      <c r="D896" s="933"/>
      <c r="E896" s="933"/>
      <c r="F896" s="933"/>
      <c r="G896" s="933"/>
      <c r="H896" s="933"/>
      <c r="I896" s="933"/>
      <c r="J896" s="933"/>
      <c r="K896" s="933"/>
      <c r="L896" s="933"/>
      <c r="M896" s="933"/>
      <c r="N896" s="933"/>
      <c r="O896" s="933"/>
      <c r="P896" s="933"/>
      <c r="Q896" s="933"/>
      <c r="R896" s="933"/>
      <c r="S896" s="933"/>
      <c r="T896" s="933"/>
      <c r="U896" s="933"/>
      <c r="V896" s="933"/>
      <c r="W896" s="933"/>
      <c r="X896" s="933"/>
      <c r="Y896" s="933"/>
      <c r="Z896" s="933"/>
      <c r="AA896" s="933"/>
      <c r="AB896" s="933"/>
      <c r="AC896" s="933"/>
      <c r="AD896" s="933"/>
      <c r="AE896" s="933"/>
    </row>
    <row r="897" spans="1:31" ht="12.75">
      <c r="A897" s="933"/>
      <c r="B897" s="933"/>
      <c r="C897" s="933"/>
      <c r="D897" s="933"/>
      <c r="E897" s="933"/>
      <c r="F897" s="933"/>
      <c r="G897" s="933"/>
      <c r="H897" s="933"/>
      <c r="I897" s="933"/>
      <c r="J897" s="933"/>
      <c r="K897" s="933"/>
      <c r="L897" s="933"/>
      <c r="M897" s="933"/>
      <c r="N897" s="933"/>
      <c r="O897" s="933"/>
      <c r="P897" s="933"/>
      <c r="Q897" s="933"/>
      <c r="R897" s="933"/>
      <c r="S897" s="933"/>
      <c r="T897" s="933"/>
      <c r="U897" s="933"/>
      <c r="V897" s="933"/>
      <c r="W897" s="933"/>
      <c r="X897" s="933"/>
      <c r="Y897" s="933"/>
      <c r="Z897" s="933"/>
      <c r="AA897" s="933"/>
      <c r="AB897" s="933"/>
      <c r="AC897" s="933"/>
      <c r="AD897" s="933"/>
      <c r="AE897" s="933"/>
    </row>
    <row r="898" spans="1:31" ht="12.75">
      <c r="A898" s="933"/>
      <c r="B898" s="933"/>
      <c r="C898" s="933"/>
      <c r="D898" s="933"/>
      <c r="E898" s="933"/>
      <c r="F898" s="933"/>
      <c r="G898" s="933"/>
      <c r="H898" s="933"/>
      <c r="I898" s="933"/>
      <c r="J898" s="933"/>
      <c r="K898" s="933"/>
      <c r="L898" s="933"/>
      <c r="M898" s="933"/>
      <c r="N898" s="933"/>
      <c r="O898" s="933"/>
      <c r="P898" s="933"/>
      <c r="Q898" s="933"/>
      <c r="R898" s="933"/>
      <c r="S898" s="933"/>
      <c r="T898" s="933"/>
      <c r="U898" s="933"/>
      <c r="V898" s="933"/>
      <c r="W898" s="933"/>
      <c r="X898" s="933"/>
      <c r="Y898" s="933"/>
      <c r="Z898" s="933"/>
      <c r="AA898" s="933"/>
      <c r="AB898" s="933"/>
      <c r="AC898" s="933"/>
      <c r="AD898" s="933"/>
      <c r="AE898" s="933"/>
    </row>
    <row r="899" spans="1:31" ht="12.75">
      <c r="A899" s="933"/>
      <c r="B899" s="933"/>
      <c r="C899" s="933"/>
      <c r="D899" s="933"/>
      <c r="E899" s="933"/>
      <c r="F899" s="933"/>
      <c r="G899" s="933"/>
      <c r="H899" s="933"/>
      <c r="I899" s="933"/>
      <c r="J899" s="933"/>
      <c r="K899" s="933"/>
      <c r="L899" s="933"/>
      <c r="M899" s="933"/>
      <c r="N899" s="933"/>
      <c r="O899" s="933"/>
      <c r="P899" s="933"/>
      <c r="Q899" s="933"/>
      <c r="R899" s="933"/>
      <c r="S899" s="933"/>
      <c r="T899" s="933"/>
      <c r="U899" s="933"/>
      <c r="V899" s="933"/>
      <c r="W899" s="933"/>
      <c r="X899" s="933"/>
      <c r="Y899" s="933"/>
      <c r="Z899" s="933"/>
      <c r="AA899" s="933"/>
      <c r="AB899" s="933"/>
      <c r="AC899" s="933"/>
      <c r="AD899" s="933"/>
      <c r="AE899" s="933"/>
    </row>
    <row r="900" spans="1:31" ht="12.75">
      <c r="A900" s="933"/>
      <c r="B900" s="933"/>
      <c r="C900" s="933"/>
      <c r="D900" s="933"/>
      <c r="E900" s="933"/>
      <c r="F900" s="933"/>
      <c r="G900" s="933"/>
      <c r="H900" s="933"/>
      <c r="I900" s="933"/>
      <c r="J900" s="933"/>
      <c r="K900" s="933"/>
      <c r="L900" s="933"/>
      <c r="M900" s="933"/>
      <c r="N900" s="933"/>
      <c r="O900" s="933"/>
      <c r="P900" s="933"/>
      <c r="Q900" s="933"/>
      <c r="R900" s="933"/>
      <c r="S900" s="933"/>
      <c r="T900" s="933"/>
      <c r="U900" s="933"/>
      <c r="V900" s="933"/>
      <c r="W900" s="933"/>
      <c r="X900" s="933"/>
      <c r="Y900" s="933"/>
      <c r="Z900" s="933"/>
      <c r="AA900" s="933"/>
      <c r="AB900" s="933"/>
      <c r="AC900" s="933"/>
      <c r="AD900" s="933"/>
      <c r="AE900" s="933"/>
    </row>
    <row r="901" spans="1:31" ht="12.75">
      <c r="A901" s="933"/>
      <c r="B901" s="933"/>
      <c r="C901" s="933"/>
      <c r="D901" s="933"/>
      <c r="E901" s="933"/>
      <c r="F901" s="933"/>
      <c r="G901" s="933"/>
      <c r="H901" s="933"/>
      <c r="I901" s="933"/>
      <c r="J901" s="933"/>
      <c r="K901" s="933"/>
      <c r="L901" s="933"/>
      <c r="M901" s="933"/>
      <c r="N901" s="933"/>
      <c r="O901" s="933"/>
      <c r="P901" s="933"/>
      <c r="Q901" s="933"/>
      <c r="R901" s="933"/>
      <c r="S901" s="933"/>
      <c r="T901" s="933"/>
      <c r="U901" s="933"/>
      <c r="V901" s="933"/>
      <c r="W901" s="933"/>
      <c r="X901" s="933"/>
      <c r="Y901" s="933"/>
      <c r="Z901" s="933"/>
      <c r="AA901" s="933"/>
      <c r="AB901" s="933"/>
      <c r="AC901" s="933"/>
      <c r="AD901" s="933"/>
      <c r="AE901" s="933"/>
    </row>
    <row r="902" spans="1:31" ht="12.75">
      <c r="A902" s="933"/>
      <c r="B902" s="933"/>
      <c r="C902" s="933"/>
      <c r="D902" s="933"/>
      <c r="E902" s="933"/>
      <c r="F902" s="933"/>
      <c r="G902" s="933"/>
      <c r="H902" s="933"/>
      <c r="I902" s="933"/>
      <c r="J902" s="933"/>
      <c r="K902" s="933"/>
      <c r="L902" s="933"/>
      <c r="M902" s="933"/>
      <c r="N902" s="933"/>
      <c r="O902" s="933"/>
      <c r="P902" s="933"/>
      <c r="Q902" s="933"/>
      <c r="R902" s="933"/>
      <c r="S902" s="933"/>
      <c r="T902" s="933"/>
      <c r="U902" s="933"/>
      <c r="V902" s="933"/>
      <c r="W902" s="933"/>
      <c r="X902" s="933"/>
      <c r="Y902" s="933"/>
      <c r="Z902" s="933"/>
      <c r="AA902" s="933"/>
      <c r="AB902" s="933"/>
      <c r="AC902" s="933"/>
      <c r="AD902" s="933"/>
      <c r="AE902" s="933"/>
    </row>
    <row r="903" spans="1:31" ht="12.75">
      <c r="A903" s="933"/>
      <c r="B903" s="933"/>
      <c r="C903" s="933"/>
      <c r="D903" s="933"/>
      <c r="E903" s="933"/>
      <c r="F903" s="933"/>
      <c r="G903" s="933"/>
      <c r="H903" s="933"/>
      <c r="I903" s="933"/>
      <c r="J903" s="933"/>
      <c r="K903" s="933"/>
      <c r="L903" s="933"/>
      <c r="M903" s="933"/>
      <c r="N903" s="933"/>
      <c r="O903" s="933"/>
      <c r="P903" s="933"/>
      <c r="Q903" s="933"/>
      <c r="R903" s="933"/>
      <c r="S903" s="933"/>
      <c r="T903" s="933"/>
      <c r="U903" s="933"/>
      <c r="V903" s="933"/>
      <c r="W903" s="933"/>
      <c r="X903" s="933"/>
      <c r="Y903" s="933"/>
      <c r="Z903" s="933"/>
      <c r="AA903" s="933"/>
      <c r="AB903" s="933"/>
      <c r="AC903" s="933"/>
      <c r="AD903" s="933"/>
      <c r="AE903" s="933"/>
    </row>
    <row r="904" spans="1:31" ht="12.75">
      <c r="A904" s="933"/>
      <c r="B904" s="933"/>
      <c r="C904" s="933"/>
      <c r="D904" s="933"/>
      <c r="E904" s="933"/>
      <c r="F904" s="933"/>
      <c r="G904" s="933"/>
      <c r="H904" s="933"/>
      <c r="I904" s="933"/>
      <c r="J904" s="933"/>
      <c r="K904" s="933"/>
      <c r="L904" s="933"/>
      <c r="M904" s="933"/>
      <c r="N904" s="933"/>
      <c r="O904" s="933"/>
      <c r="P904" s="933"/>
      <c r="Q904" s="933"/>
      <c r="R904" s="933"/>
      <c r="S904" s="933"/>
      <c r="T904" s="933"/>
      <c r="U904" s="933"/>
      <c r="V904" s="933"/>
      <c r="W904" s="933"/>
      <c r="X904" s="933"/>
      <c r="Y904" s="933"/>
      <c r="Z904" s="933"/>
      <c r="AA904" s="933"/>
      <c r="AB904" s="933"/>
      <c r="AC904" s="933"/>
      <c r="AD904" s="933"/>
      <c r="AE904" s="933"/>
    </row>
    <row r="905" spans="1:31" ht="12.75">
      <c r="A905" s="933"/>
      <c r="B905" s="933"/>
      <c r="C905" s="933"/>
      <c r="D905" s="933"/>
      <c r="E905" s="933"/>
      <c r="F905" s="933"/>
      <c r="G905" s="933"/>
      <c r="H905" s="933"/>
      <c r="I905" s="933"/>
      <c r="J905" s="933"/>
      <c r="K905" s="933"/>
      <c r="L905" s="933"/>
      <c r="M905" s="933"/>
      <c r="N905" s="933"/>
      <c r="O905" s="933"/>
      <c r="P905" s="933"/>
      <c r="Q905" s="933"/>
      <c r="R905" s="933"/>
      <c r="S905" s="933"/>
      <c r="T905" s="933"/>
      <c r="U905" s="933"/>
      <c r="V905" s="933"/>
      <c r="W905" s="933"/>
      <c r="X905" s="933"/>
      <c r="Y905" s="933"/>
      <c r="Z905" s="933"/>
      <c r="AA905" s="933"/>
      <c r="AB905" s="933"/>
      <c r="AC905" s="933"/>
      <c r="AD905" s="933"/>
      <c r="AE905" s="933"/>
    </row>
    <row r="906" spans="1:31" ht="12.75">
      <c r="A906" s="933"/>
      <c r="B906" s="933"/>
      <c r="C906" s="933"/>
      <c r="D906" s="933"/>
      <c r="E906" s="933"/>
      <c r="F906" s="933"/>
      <c r="G906" s="933"/>
      <c r="H906" s="933"/>
      <c r="I906" s="933"/>
      <c r="J906" s="933"/>
      <c r="K906" s="933"/>
      <c r="L906" s="933"/>
      <c r="M906" s="933"/>
      <c r="N906" s="933"/>
      <c r="O906" s="933"/>
      <c r="P906" s="933"/>
      <c r="Q906" s="933"/>
      <c r="R906" s="933"/>
      <c r="S906" s="933"/>
      <c r="T906" s="933"/>
      <c r="U906" s="933"/>
      <c r="V906" s="933"/>
      <c r="W906" s="933"/>
      <c r="X906" s="933"/>
      <c r="Y906" s="933"/>
      <c r="Z906" s="933"/>
      <c r="AA906" s="933"/>
      <c r="AB906" s="933"/>
      <c r="AC906" s="933"/>
      <c r="AD906" s="933"/>
      <c r="AE906" s="933"/>
    </row>
    <row r="907" spans="1:31" ht="12.75">
      <c r="A907" s="933"/>
      <c r="B907" s="933"/>
      <c r="C907" s="933"/>
      <c r="D907" s="933"/>
      <c r="E907" s="933"/>
      <c r="F907" s="933"/>
      <c r="G907" s="933"/>
      <c r="H907" s="933"/>
      <c r="I907" s="933"/>
      <c r="J907" s="933"/>
      <c r="K907" s="933"/>
      <c r="L907" s="933"/>
      <c r="M907" s="933"/>
      <c r="N907" s="933"/>
      <c r="O907" s="933"/>
      <c r="P907" s="933"/>
      <c r="Q907" s="933"/>
      <c r="R907" s="933"/>
      <c r="S907" s="933"/>
      <c r="T907" s="933"/>
      <c r="U907" s="933"/>
      <c r="V907" s="933"/>
      <c r="W907" s="933"/>
      <c r="X907" s="933"/>
      <c r="Y907" s="933"/>
      <c r="Z907" s="933"/>
      <c r="AA907" s="933"/>
      <c r="AB907" s="933"/>
      <c r="AC907" s="933"/>
      <c r="AD907" s="933"/>
      <c r="AE907" s="933"/>
    </row>
    <row r="908" spans="1:31" ht="12.75">
      <c r="A908" s="933"/>
      <c r="B908" s="933"/>
      <c r="C908" s="933"/>
      <c r="D908" s="933"/>
      <c r="E908" s="933"/>
      <c r="F908" s="933"/>
      <c r="G908" s="933"/>
      <c r="H908" s="933"/>
      <c r="I908" s="933"/>
      <c r="J908" s="933"/>
      <c r="K908" s="933"/>
      <c r="L908" s="933"/>
      <c r="M908" s="933"/>
      <c r="N908" s="933"/>
      <c r="O908" s="933"/>
      <c r="P908" s="933"/>
      <c r="Q908" s="933"/>
      <c r="R908" s="933"/>
      <c r="S908" s="933"/>
      <c r="T908" s="933"/>
      <c r="U908" s="933"/>
      <c r="V908" s="933"/>
      <c r="W908" s="933"/>
      <c r="X908" s="933"/>
      <c r="Y908" s="933"/>
      <c r="Z908" s="933"/>
      <c r="AA908" s="933"/>
      <c r="AB908" s="933"/>
      <c r="AC908" s="933"/>
      <c r="AD908" s="933"/>
      <c r="AE908" s="933"/>
    </row>
    <row r="909" spans="1:31" ht="12.75">
      <c r="A909" s="933"/>
      <c r="B909" s="933"/>
      <c r="C909" s="933"/>
      <c r="D909" s="933"/>
      <c r="E909" s="933"/>
      <c r="F909" s="933"/>
      <c r="G909" s="933"/>
      <c r="H909" s="933"/>
      <c r="I909" s="933"/>
      <c r="J909" s="933"/>
      <c r="K909" s="933"/>
      <c r="L909" s="933"/>
      <c r="M909" s="933"/>
      <c r="N909" s="933"/>
      <c r="O909" s="933"/>
      <c r="P909" s="933"/>
      <c r="Q909" s="933"/>
      <c r="R909" s="933"/>
      <c r="S909" s="933"/>
      <c r="T909" s="933"/>
      <c r="U909" s="933"/>
      <c r="V909" s="933"/>
      <c r="W909" s="933"/>
      <c r="X909" s="933"/>
      <c r="Y909" s="933"/>
      <c r="Z909" s="933"/>
      <c r="AA909" s="933"/>
      <c r="AB909" s="933"/>
      <c r="AC909" s="933"/>
      <c r="AD909" s="933"/>
      <c r="AE909" s="933"/>
    </row>
    <row r="910" spans="1:31" ht="12.75">
      <c r="A910" s="933"/>
      <c r="B910" s="933"/>
      <c r="C910" s="933"/>
      <c r="D910" s="933"/>
      <c r="E910" s="933"/>
      <c r="F910" s="933"/>
      <c r="G910" s="933"/>
      <c r="H910" s="933"/>
      <c r="I910" s="933"/>
      <c r="J910" s="933"/>
      <c r="K910" s="933"/>
      <c r="L910" s="933"/>
      <c r="M910" s="933"/>
      <c r="N910" s="933"/>
      <c r="O910" s="933"/>
      <c r="P910" s="933"/>
      <c r="Q910" s="933"/>
      <c r="R910" s="933"/>
      <c r="S910" s="933"/>
      <c r="T910" s="933"/>
      <c r="U910" s="933"/>
      <c r="V910" s="933"/>
      <c r="W910" s="933"/>
      <c r="X910" s="933"/>
      <c r="Y910" s="933"/>
      <c r="Z910" s="933"/>
      <c r="AA910" s="933"/>
      <c r="AB910" s="933"/>
      <c r="AC910" s="933"/>
      <c r="AD910" s="933"/>
      <c r="AE910" s="933"/>
    </row>
    <row r="911" spans="1:31" ht="12.75">
      <c r="A911" s="933"/>
      <c r="B911" s="933"/>
      <c r="C911" s="933"/>
      <c r="D911" s="933"/>
      <c r="E911" s="933"/>
      <c r="F911" s="933"/>
      <c r="G911" s="933"/>
      <c r="H911" s="933"/>
      <c r="I911" s="933"/>
      <c r="J911" s="933"/>
      <c r="K911" s="933"/>
      <c r="L911" s="933"/>
      <c r="M911" s="933"/>
      <c r="N911" s="933"/>
      <c r="O911" s="933"/>
      <c r="P911" s="933"/>
      <c r="Q911" s="933"/>
      <c r="R911" s="933"/>
      <c r="S911" s="933"/>
      <c r="T911" s="933"/>
      <c r="U911" s="933"/>
      <c r="V911" s="933"/>
      <c r="W911" s="933"/>
      <c r="X911" s="933"/>
      <c r="Y911" s="933"/>
      <c r="Z911" s="933"/>
      <c r="AA911" s="933"/>
      <c r="AB911" s="933"/>
      <c r="AC911" s="933"/>
      <c r="AD911" s="933"/>
      <c r="AE911" s="933"/>
    </row>
    <row r="912" spans="1:31" ht="12.75">
      <c r="A912" s="933"/>
      <c r="B912" s="933"/>
      <c r="C912" s="933"/>
      <c r="D912" s="933"/>
      <c r="E912" s="933"/>
      <c r="F912" s="933"/>
      <c r="G912" s="933"/>
      <c r="H912" s="933"/>
      <c r="I912" s="933"/>
      <c r="J912" s="933"/>
      <c r="K912" s="933"/>
      <c r="L912" s="933"/>
      <c r="M912" s="933"/>
      <c r="N912" s="933"/>
      <c r="O912" s="933"/>
      <c r="P912" s="933"/>
      <c r="Q912" s="933"/>
      <c r="R912" s="933"/>
      <c r="S912" s="933"/>
      <c r="T912" s="933"/>
      <c r="U912" s="933"/>
      <c r="V912" s="933"/>
      <c r="W912" s="933"/>
      <c r="X912" s="933"/>
      <c r="Y912" s="933"/>
      <c r="Z912" s="933"/>
      <c r="AA912" s="933"/>
      <c r="AB912" s="933"/>
      <c r="AC912" s="933"/>
      <c r="AD912" s="933"/>
      <c r="AE912" s="933"/>
    </row>
    <row r="913" spans="1:31" ht="12.75">
      <c r="A913" s="933"/>
      <c r="B913" s="933"/>
      <c r="C913" s="933"/>
      <c r="D913" s="933"/>
      <c r="E913" s="933"/>
      <c r="F913" s="933"/>
      <c r="G913" s="933"/>
      <c r="H913" s="933"/>
      <c r="I913" s="933"/>
      <c r="J913" s="933"/>
      <c r="K913" s="933"/>
      <c r="L913" s="933"/>
      <c r="M913" s="933"/>
      <c r="N913" s="933"/>
      <c r="O913" s="933"/>
      <c r="P913" s="933"/>
      <c r="Q913" s="933"/>
      <c r="R913" s="933"/>
      <c r="S913" s="933"/>
      <c r="T913" s="933"/>
      <c r="U913" s="933"/>
      <c r="V913" s="933"/>
      <c r="W913" s="933"/>
      <c r="X913" s="933"/>
      <c r="Y913" s="933"/>
      <c r="Z913" s="933"/>
      <c r="AA913" s="933"/>
      <c r="AB913" s="933"/>
      <c r="AC913" s="933"/>
      <c r="AD913" s="933"/>
      <c r="AE913" s="933"/>
    </row>
    <row r="914" spans="1:31" ht="12.75">
      <c r="A914" s="933"/>
      <c r="B914" s="933"/>
      <c r="C914" s="933"/>
      <c r="D914" s="933"/>
      <c r="E914" s="933"/>
      <c r="F914" s="933"/>
      <c r="G914" s="933"/>
      <c r="H914" s="933"/>
      <c r="I914" s="933"/>
      <c r="J914" s="933"/>
      <c r="K914" s="933"/>
      <c r="L914" s="933"/>
      <c r="M914" s="933"/>
      <c r="N914" s="933"/>
      <c r="O914" s="933"/>
      <c r="P914" s="933"/>
      <c r="Q914" s="933"/>
      <c r="R914" s="933"/>
      <c r="S914" s="933"/>
      <c r="T914" s="933"/>
      <c r="U914" s="933"/>
      <c r="V914" s="933"/>
      <c r="W914" s="933"/>
      <c r="X914" s="933"/>
      <c r="Y914" s="933"/>
      <c r="Z914" s="933"/>
      <c r="AA914" s="933"/>
      <c r="AB914" s="933"/>
      <c r="AC914" s="933"/>
      <c r="AD914" s="933"/>
      <c r="AE914" s="933"/>
    </row>
    <row r="915" spans="1:31" ht="12.75">
      <c r="A915" s="933"/>
      <c r="B915" s="933"/>
      <c r="C915" s="933"/>
      <c r="D915" s="933"/>
      <c r="E915" s="933"/>
      <c r="F915" s="933"/>
      <c r="G915" s="933"/>
      <c r="H915" s="933"/>
      <c r="I915" s="933"/>
      <c r="J915" s="933"/>
      <c r="K915" s="933"/>
      <c r="L915" s="933"/>
      <c r="M915" s="933"/>
      <c r="N915" s="933"/>
      <c r="O915" s="933"/>
      <c r="P915" s="933"/>
      <c r="Q915" s="933"/>
      <c r="R915" s="933"/>
      <c r="S915" s="933"/>
      <c r="T915" s="933"/>
      <c r="U915" s="933"/>
      <c r="V915" s="933"/>
      <c r="W915" s="933"/>
      <c r="X915" s="933"/>
      <c r="Y915" s="933"/>
      <c r="Z915" s="933"/>
      <c r="AA915" s="933"/>
      <c r="AB915" s="933"/>
      <c r="AC915" s="933"/>
      <c r="AD915" s="933"/>
      <c r="AE915" s="933"/>
    </row>
    <row r="916" spans="1:31" ht="12.75">
      <c r="A916" s="933"/>
      <c r="B916" s="933"/>
      <c r="C916" s="933"/>
      <c r="D916" s="933"/>
      <c r="E916" s="933"/>
      <c r="F916" s="933"/>
      <c r="G916" s="933"/>
      <c r="H916" s="933"/>
      <c r="I916" s="933"/>
      <c r="J916" s="933"/>
      <c r="K916" s="933"/>
      <c r="L916" s="933"/>
      <c r="M916" s="933"/>
      <c r="N916" s="933"/>
      <c r="O916" s="933"/>
      <c r="P916" s="933"/>
      <c r="Q916" s="933"/>
      <c r="R916" s="933"/>
      <c r="S916" s="933"/>
      <c r="T916" s="933"/>
      <c r="U916" s="933"/>
      <c r="V916" s="933"/>
      <c r="W916" s="933"/>
      <c r="X916" s="933"/>
      <c r="Y916" s="933"/>
      <c r="Z916" s="933"/>
      <c r="AA916" s="933"/>
      <c r="AB916" s="933"/>
      <c r="AC916" s="933"/>
      <c r="AD916" s="933"/>
      <c r="AE916" s="933"/>
    </row>
    <row r="917" spans="1:31" ht="12.75">
      <c r="A917" s="933"/>
      <c r="B917" s="933"/>
      <c r="C917" s="933"/>
      <c r="D917" s="933"/>
      <c r="E917" s="933"/>
      <c r="F917" s="933"/>
      <c r="G917" s="933"/>
      <c r="H917" s="933"/>
      <c r="I917" s="933"/>
      <c r="J917" s="933"/>
      <c r="K917" s="933"/>
      <c r="L917" s="933"/>
      <c r="M917" s="933"/>
      <c r="N917" s="933"/>
      <c r="O917" s="933"/>
      <c r="P917" s="933"/>
      <c r="Q917" s="933"/>
      <c r="R917" s="933"/>
      <c r="S917" s="933"/>
      <c r="T917" s="933"/>
      <c r="U917" s="933"/>
      <c r="V917" s="933"/>
      <c r="W917" s="933"/>
      <c r="X917" s="933"/>
      <c r="Y917" s="933"/>
      <c r="Z917" s="933"/>
      <c r="AA917" s="933"/>
      <c r="AB917" s="933"/>
      <c r="AC917" s="933"/>
      <c r="AD917" s="933"/>
      <c r="AE917" s="933"/>
    </row>
    <row r="918" spans="1:31" ht="12.75">
      <c r="A918" s="933"/>
      <c r="B918" s="933"/>
      <c r="C918" s="933"/>
      <c r="D918" s="933"/>
      <c r="E918" s="933"/>
      <c r="F918" s="933"/>
      <c r="G918" s="933"/>
      <c r="H918" s="933"/>
      <c r="I918" s="933"/>
      <c r="J918" s="933"/>
      <c r="K918" s="933"/>
      <c r="L918" s="933"/>
      <c r="M918" s="933"/>
      <c r="N918" s="933"/>
      <c r="O918" s="933"/>
      <c r="P918" s="933"/>
      <c r="Q918" s="933"/>
      <c r="R918" s="933"/>
      <c r="S918" s="933"/>
      <c r="T918" s="933"/>
      <c r="U918" s="933"/>
      <c r="V918" s="933"/>
      <c r="W918" s="933"/>
      <c r="X918" s="933"/>
      <c r="Y918" s="933"/>
      <c r="Z918" s="933"/>
      <c r="AA918" s="933"/>
      <c r="AB918" s="933"/>
      <c r="AC918" s="933"/>
      <c r="AD918" s="933"/>
      <c r="AE918" s="933"/>
    </row>
    <row r="919" spans="1:31" ht="12.75">
      <c r="A919" s="933"/>
      <c r="B919" s="933"/>
      <c r="C919" s="933"/>
      <c r="D919" s="933"/>
      <c r="E919" s="933"/>
      <c r="F919" s="933"/>
      <c r="G919" s="933"/>
      <c r="H919" s="933"/>
      <c r="I919" s="933"/>
      <c r="J919" s="933"/>
      <c r="K919" s="933"/>
      <c r="L919" s="933"/>
      <c r="M919" s="933"/>
      <c r="N919" s="933"/>
      <c r="O919" s="933"/>
      <c r="P919" s="933"/>
      <c r="Q919" s="933"/>
      <c r="R919" s="933"/>
      <c r="S919" s="933"/>
      <c r="T919" s="933"/>
      <c r="U919" s="933"/>
      <c r="V919" s="933"/>
      <c r="W919" s="933"/>
      <c r="X919" s="933"/>
      <c r="Y919" s="933"/>
      <c r="Z919" s="933"/>
      <c r="AA919" s="933"/>
      <c r="AB919" s="933"/>
      <c r="AC919" s="933"/>
      <c r="AD919" s="933"/>
      <c r="AE919" s="933"/>
    </row>
    <row r="920" spans="1:31" ht="12.75">
      <c r="A920" s="933"/>
      <c r="B920" s="933"/>
      <c r="C920" s="933"/>
      <c r="D920" s="933"/>
      <c r="E920" s="933"/>
      <c r="F920" s="933"/>
      <c r="G920" s="933"/>
      <c r="H920" s="933"/>
      <c r="I920" s="933"/>
      <c r="J920" s="933"/>
      <c r="K920" s="933"/>
      <c r="L920" s="933"/>
      <c r="M920" s="933"/>
      <c r="N920" s="933"/>
      <c r="O920" s="933"/>
      <c r="P920" s="933"/>
      <c r="Q920" s="933"/>
      <c r="R920" s="933"/>
      <c r="S920" s="933"/>
      <c r="T920" s="933"/>
      <c r="U920" s="933"/>
      <c r="V920" s="933"/>
      <c r="W920" s="933"/>
      <c r="X920" s="933"/>
      <c r="Y920" s="933"/>
      <c r="Z920" s="933"/>
      <c r="AA920" s="933"/>
      <c r="AB920" s="933"/>
      <c r="AC920" s="933"/>
      <c r="AD920" s="933"/>
      <c r="AE920" s="933"/>
    </row>
    <row r="921" spans="1:31" ht="12.75">
      <c r="A921" s="933"/>
      <c r="B921" s="933"/>
      <c r="C921" s="933"/>
      <c r="D921" s="933"/>
      <c r="E921" s="933"/>
      <c r="F921" s="933"/>
      <c r="G921" s="933"/>
      <c r="H921" s="933"/>
      <c r="I921" s="933"/>
      <c r="J921" s="933"/>
      <c r="K921" s="933"/>
      <c r="L921" s="933"/>
      <c r="M921" s="933"/>
      <c r="N921" s="933"/>
      <c r="O921" s="933"/>
      <c r="P921" s="933"/>
      <c r="Q921" s="933"/>
      <c r="R921" s="933"/>
      <c r="S921" s="933"/>
      <c r="T921" s="933"/>
      <c r="U921" s="933"/>
      <c r="V921" s="933"/>
      <c r="W921" s="933"/>
      <c r="X921" s="933"/>
      <c r="Y921" s="933"/>
      <c r="Z921" s="933"/>
      <c r="AA921" s="933"/>
      <c r="AB921" s="933"/>
      <c r="AC921" s="933"/>
      <c r="AD921" s="933"/>
      <c r="AE921" s="933"/>
    </row>
    <row r="922" spans="1:31" ht="12.75">
      <c r="A922" s="933"/>
      <c r="B922" s="933"/>
      <c r="C922" s="933"/>
      <c r="D922" s="933"/>
      <c r="E922" s="933"/>
      <c r="F922" s="933"/>
      <c r="G922" s="933"/>
      <c r="H922" s="933"/>
      <c r="I922" s="933"/>
      <c r="J922" s="933"/>
      <c r="K922" s="933"/>
      <c r="L922" s="933"/>
      <c r="M922" s="933"/>
      <c r="N922" s="933"/>
      <c r="O922" s="933"/>
      <c r="P922" s="933"/>
      <c r="Q922" s="933"/>
      <c r="R922" s="933"/>
      <c r="S922" s="933"/>
      <c r="T922" s="933"/>
      <c r="U922" s="933"/>
      <c r="V922" s="933"/>
      <c r="W922" s="933"/>
      <c r="X922" s="933"/>
      <c r="Y922" s="933"/>
      <c r="Z922" s="933"/>
      <c r="AA922" s="933"/>
      <c r="AB922" s="933"/>
      <c r="AC922" s="933"/>
      <c r="AD922" s="933"/>
      <c r="AE922" s="933"/>
    </row>
    <row r="923" spans="1:31" ht="12.75">
      <c r="A923" s="933"/>
      <c r="B923" s="933"/>
      <c r="C923" s="933"/>
      <c r="D923" s="933"/>
      <c r="E923" s="933"/>
      <c r="F923" s="933"/>
      <c r="G923" s="933"/>
      <c r="H923" s="933"/>
      <c r="I923" s="933"/>
      <c r="J923" s="933"/>
      <c r="K923" s="933"/>
      <c r="L923" s="933"/>
      <c r="M923" s="933"/>
      <c r="N923" s="933"/>
      <c r="O923" s="933"/>
      <c r="P923" s="933"/>
      <c r="Q923" s="933"/>
      <c r="R923" s="933"/>
      <c r="S923" s="933"/>
      <c r="T923" s="933"/>
      <c r="U923" s="933"/>
      <c r="V923" s="933"/>
      <c r="W923" s="933"/>
      <c r="X923" s="933"/>
      <c r="Y923" s="933"/>
      <c r="Z923" s="933"/>
      <c r="AA923" s="933"/>
      <c r="AB923" s="933"/>
      <c r="AC923" s="933"/>
      <c r="AD923" s="933"/>
      <c r="AE923" s="933"/>
    </row>
    <row r="924" spans="1:31" ht="12.75">
      <c r="A924" s="933"/>
      <c r="B924" s="933"/>
      <c r="C924" s="933"/>
      <c r="D924" s="933"/>
      <c r="E924" s="933"/>
      <c r="F924" s="933"/>
      <c r="G924" s="933"/>
      <c r="H924" s="933"/>
      <c r="I924" s="933"/>
      <c r="J924" s="933"/>
      <c r="K924" s="933"/>
      <c r="L924" s="933"/>
      <c r="M924" s="933"/>
      <c r="N924" s="933"/>
      <c r="O924" s="933"/>
      <c r="P924" s="933"/>
      <c r="Q924" s="933"/>
      <c r="R924" s="933"/>
      <c r="S924" s="933"/>
      <c r="T924" s="933"/>
      <c r="U924" s="933"/>
      <c r="V924" s="933"/>
      <c r="W924" s="933"/>
      <c r="X924" s="933"/>
      <c r="Y924" s="933"/>
      <c r="Z924" s="933"/>
      <c r="AA924" s="933"/>
      <c r="AB924" s="933"/>
      <c r="AC924" s="933"/>
      <c r="AD924" s="933"/>
      <c r="AE924" s="933"/>
    </row>
    <row r="925" spans="1:31" ht="12.75">
      <c r="A925" s="933"/>
      <c r="B925" s="933"/>
      <c r="C925" s="933"/>
      <c r="D925" s="933"/>
      <c r="E925" s="933"/>
      <c r="F925" s="933"/>
      <c r="G925" s="933"/>
      <c r="H925" s="933"/>
      <c r="I925" s="933"/>
      <c r="J925" s="933"/>
      <c r="K925" s="933"/>
      <c r="L925" s="933"/>
      <c r="M925" s="933"/>
      <c r="N925" s="933"/>
      <c r="O925" s="933"/>
      <c r="P925" s="933"/>
      <c r="Q925" s="933"/>
      <c r="R925" s="933"/>
      <c r="S925" s="933"/>
      <c r="T925" s="933"/>
      <c r="U925" s="933"/>
      <c r="V925" s="933"/>
      <c r="W925" s="933"/>
      <c r="X925" s="933"/>
      <c r="Y925" s="933"/>
      <c r="Z925" s="933"/>
      <c r="AA925" s="933"/>
      <c r="AB925" s="933"/>
      <c r="AC925" s="933"/>
      <c r="AD925" s="933"/>
      <c r="AE925" s="933"/>
    </row>
    <row r="926" spans="1:31" ht="12.75">
      <c r="A926" s="933"/>
      <c r="B926" s="933"/>
      <c r="C926" s="933"/>
      <c r="D926" s="933"/>
      <c r="E926" s="933"/>
      <c r="F926" s="933"/>
      <c r="G926" s="933"/>
      <c r="H926" s="933"/>
      <c r="I926" s="933"/>
      <c r="J926" s="933"/>
      <c r="K926" s="933"/>
      <c r="L926" s="933"/>
      <c r="M926" s="933"/>
      <c r="N926" s="933"/>
      <c r="O926" s="933"/>
      <c r="P926" s="933"/>
      <c r="Q926" s="933"/>
      <c r="R926" s="933"/>
      <c r="S926" s="933"/>
      <c r="T926" s="933"/>
      <c r="U926" s="933"/>
      <c r="V926" s="933"/>
      <c r="W926" s="933"/>
      <c r="X926" s="933"/>
      <c r="Y926" s="933"/>
      <c r="Z926" s="933"/>
      <c r="AA926" s="933"/>
      <c r="AB926" s="933"/>
      <c r="AC926" s="933"/>
      <c r="AD926" s="933"/>
      <c r="AE926" s="933"/>
    </row>
    <row r="927" spans="1:31" ht="12.75">
      <c r="A927" s="933"/>
      <c r="B927" s="933"/>
      <c r="C927" s="933"/>
      <c r="D927" s="933"/>
      <c r="E927" s="933"/>
      <c r="F927" s="933"/>
      <c r="G927" s="933"/>
      <c r="H927" s="933"/>
      <c r="I927" s="933"/>
      <c r="J927" s="933"/>
      <c r="K927" s="933"/>
      <c r="L927" s="933"/>
      <c r="M927" s="933"/>
      <c r="N927" s="933"/>
      <c r="O927" s="933"/>
      <c r="P927" s="933"/>
      <c r="Q927" s="933"/>
      <c r="R927" s="933"/>
      <c r="S927" s="933"/>
      <c r="T927" s="933"/>
      <c r="U927" s="933"/>
      <c r="V927" s="933"/>
      <c r="W927" s="933"/>
      <c r="X927" s="933"/>
      <c r="Y927" s="933"/>
      <c r="Z927" s="933"/>
      <c r="AA927" s="933"/>
      <c r="AB927" s="933"/>
      <c r="AC927" s="933"/>
      <c r="AD927" s="933"/>
      <c r="AE927" s="933"/>
    </row>
    <row r="928" spans="1:31" ht="12.75">
      <c r="A928" s="933"/>
      <c r="B928" s="933"/>
      <c r="C928" s="933"/>
      <c r="D928" s="933"/>
      <c r="E928" s="933"/>
      <c r="F928" s="933"/>
      <c r="G928" s="933"/>
      <c r="H928" s="933"/>
      <c r="I928" s="933"/>
      <c r="J928" s="933"/>
      <c r="K928" s="933"/>
      <c r="L928" s="933"/>
      <c r="M928" s="933"/>
      <c r="N928" s="933"/>
      <c r="O928" s="933"/>
      <c r="P928" s="933"/>
      <c r="Q928" s="933"/>
      <c r="R928" s="933"/>
      <c r="S928" s="933"/>
      <c r="T928" s="933"/>
      <c r="U928" s="933"/>
      <c r="V928" s="933"/>
      <c r="W928" s="933"/>
      <c r="X928" s="933"/>
      <c r="Y928" s="933"/>
      <c r="Z928" s="933"/>
      <c r="AA928" s="933"/>
      <c r="AB928" s="933"/>
      <c r="AC928" s="933"/>
      <c r="AD928" s="933"/>
      <c r="AE928" s="933"/>
    </row>
    <row r="929" spans="1:31" ht="12.75">
      <c r="A929" s="933"/>
      <c r="B929" s="933"/>
      <c r="C929" s="933"/>
      <c r="D929" s="933"/>
      <c r="E929" s="933"/>
      <c r="F929" s="933"/>
      <c r="G929" s="933"/>
      <c r="H929" s="933"/>
      <c r="I929" s="933"/>
      <c r="J929" s="933"/>
      <c r="K929" s="933"/>
      <c r="L929" s="933"/>
      <c r="M929" s="933"/>
      <c r="N929" s="933"/>
      <c r="O929" s="933"/>
      <c r="P929" s="933"/>
      <c r="Q929" s="933"/>
      <c r="R929" s="933"/>
      <c r="S929" s="933"/>
      <c r="T929" s="933"/>
      <c r="U929" s="933"/>
      <c r="V929" s="933"/>
      <c r="W929" s="933"/>
      <c r="X929" s="933"/>
      <c r="Y929" s="933"/>
      <c r="Z929" s="933"/>
      <c r="AA929" s="933"/>
      <c r="AB929" s="933"/>
      <c r="AC929" s="933"/>
      <c r="AD929" s="933"/>
      <c r="AE929" s="933"/>
    </row>
    <row r="930" spans="1:31" ht="12.75">
      <c r="A930" s="933"/>
      <c r="B930" s="933"/>
      <c r="C930" s="933"/>
      <c r="D930" s="933"/>
      <c r="E930" s="933"/>
      <c r="F930" s="933"/>
      <c r="G930" s="933"/>
      <c r="H930" s="933"/>
      <c r="I930" s="933"/>
      <c r="J930" s="933"/>
      <c r="K930" s="933"/>
      <c r="L930" s="933"/>
      <c r="M930" s="933"/>
      <c r="N930" s="933"/>
      <c r="O930" s="933"/>
      <c r="P930" s="933"/>
      <c r="Q930" s="933"/>
      <c r="R930" s="933"/>
      <c r="S930" s="933"/>
      <c r="T930" s="933"/>
      <c r="U930" s="933"/>
      <c r="V930" s="933"/>
      <c r="W930" s="933"/>
      <c r="X930" s="933"/>
      <c r="Y930" s="933"/>
      <c r="Z930" s="933"/>
      <c r="AA930" s="933"/>
      <c r="AB930" s="933"/>
      <c r="AC930" s="933"/>
      <c r="AD930" s="933"/>
      <c r="AE930" s="933"/>
    </row>
    <row r="931" spans="1:31" ht="12.75">
      <c r="A931" s="933"/>
      <c r="B931" s="933"/>
      <c r="C931" s="933"/>
      <c r="D931" s="933"/>
      <c r="E931" s="933"/>
      <c r="F931" s="933"/>
      <c r="G931" s="933"/>
      <c r="H931" s="933"/>
      <c r="I931" s="933"/>
      <c r="J931" s="933"/>
      <c r="K931" s="933"/>
      <c r="L931" s="933"/>
      <c r="M931" s="933"/>
      <c r="N931" s="933"/>
      <c r="O931" s="933"/>
      <c r="P931" s="933"/>
      <c r="Q931" s="933"/>
      <c r="R931" s="933"/>
      <c r="S931" s="933"/>
      <c r="T931" s="933"/>
      <c r="U931" s="933"/>
      <c r="V931" s="933"/>
      <c r="W931" s="933"/>
      <c r="X931" s="933"/>
      <c r="Y931" s="933"/>
      <c r="Z931" s="933"/>
      <c r="AA931" s="933"/>
      <c r="AB931" s="933"/>
      <c r="AC931" s="933"/>
      <c r="AD931" s="933"/>
      <c r="AE931" s="933"/>
    </row>
    <row r="932" spans="1:31" ht="12.75">
      <c r="A932" s="933"/>
      <c r="B932" s="933"/>
      <c r="C932" s="933"/>
      <c r="D932" s="933"/>
      <c r="E932" s="933"/>
      <c r="F932" s="933"/>
      <c r="G932" s="933"/>
      <c r="H932" s="933"/>
      <c r="I932" s="933"/>
      <c r="J932" s="933"/>
      <c r="K932" s="933"/>
      <c r="L932" s="933"/>
      <c r="M932" s="933"/>
      <c r="N932" s="933"/>
      <c r="O932" s="933"/>
      <c r="P932" s="933"/>
      <c r="Q932" s="933"/>
      <c r="R932" s="933"/>
      <c r="S932" s="933"/>
      <c r="T932" s="933"/>
      <c r="U932" s="933"/>
      <c r="V932" s="933"/>
      <c r="W932" s="933"/>
      <c r="X932" s="933"/>
      <c r="Y932" s="933"/>
      <c r="Z932" s="933"/>
      <c r="AA932" s="933"/>
      <c r="AB932" s="933"/>
      <c r="AC932" s="933"/>
      <c r="AD932" s="933"/>
      <c r="AE932" s="933"/>
    </row>
    <row r="933" spans="1:31" ht="12.75">
      <c r="A933" s="933"/>
      <c r="B933" s="933"/>
      <c r="C933" s="933"/>
      <c r="D933" s="933"/>
      <c r="E933" s="933"/>
      <c r="F933" s="933"/>
      <c r="G933" s="933"/>
      <c r="H933" s="933"/>
      <c r="I933" s="933"/>
      <c r="J933" s="933"/>
      <c r="K933" s="933"/>
      <c r="L933" s="933"/>
      <c r="M933" s="933"/>
      <c r="N933" s="933"/>
      <c r="O933" s="933"/>
      <c r="P933" s="933"/>
      <c r="Q933" s="933"/>
      <c r="R933" s="933"/>
      <c r="S933" s="933"/>
      <c r="T933" s="933"/>
      <c r="U933" s="933"/>
      <c r="V933" s="933"/>
      <c r="W933" s="933"/>
      <c r="X933" s="933"/>
      <c r="Y933" s="933"/>
      <c r="Z933" s="933"/>
      <c r="AA933" s="933"/>
      <c r="AB933" s="933"/>
      <c r="AC933" s="933"/>
      <c r="AD933" s="933"/>
      <c r="AE933" s="933"/>
    </row>
    <row r="934" spans="1:31" ht="12.75">
      <c r="A934" s="933"/>
      <c r="B934" s="933"/>
      <c r="C934" s="933"/>
      <c r="D934" s="933"/>
      <c r="E934" s="933"/>
      <c r="F934" s="933"/>
      <c r="G934" s="933"/>
      <c r="H934" s="933"/>
      <c r="I934" s="933"/>
      <c r="J934" s="933"/>
      <c r="K934" s="933"/>
      <c r="L934" s="933"/>
      <c r="M934" s="933"/>
      <c r="N934" s="933"/>
      <c r="O934" s="933"/>
      <c r="P934" s="933"/>
      <c r="Q934" s="933"/>
      <c r="R934" s="933"/>
      <c r="S934" s="933"/>
      <c r="T934" s="933"/>
      <c r="U934" s="933"/>
      <c r="V934" s="933"/>
      <c r="W934" s="933"/>
      <c r="X934" s="933"/>
      <c r="Y934" s="933"/>
      <c r="Z934" s="933"/>
      <c r="AA934" s="933"/>
      <c r="AB934" s="933"/>
      <c r="AC934" s="933"/>
      <c r="AD934" s="933"/>
      <c r="AE934" s="933"/>
    </row>
    <row r="935" spans="1:31" ht="12.75">
      <c r="A935" s="933"/>
      <c r="B935" s="933"/>
      <c r="C935" s="933"/>
      <c r="D935" s="933"/>
      <c r="E935" s="933"/>
      <c r="F935" s="933"/>
      <c r="G935" s="933"/>
      <c r="H935" s="933"/>
      <c r="I935" s="933"/>
      <c r="J935" s="933"/>
      <c r="K935" s="933"/>
      <c r="L935" s="933"/>
      <c r="M935" s="933"/>
      <c r="N935" s="933"/>
      <c r="O935" s="933"/>
      <c r="P935" s="933"/>
      <c r="Q935" s="933"/>
      <c r="R935" s="933"/>
      <c r="S935" s="933"/>
      <c r="T935" s="933"/>
      <c r="U935" s="933"/>
      <c r="V935" s="933"/>
      <c r="W935" s="933"/>
      <c r="X935" s="933"/>
      <c r="Y935" s="933"/>
      <c r="Z935" s="933"/>
      <c r="AA935" s="933"/>
      <c r="AB935" s="933"/>
      <c r="AC935" s="933"/>
      <c r="AD935" s="933"/>
      <c r="AE935" s="933"/>
    </row>
    <row r="936" spans="1:31" ht="12.75">
      <c r="A936" s="933"/>
      <c r="B936" s="933"/>
      <c r="C936" s="933"/>
      <c r="D936" s="933"/>
      <c r="E936" s="933"/>
      <c r="F936" s="933"/>
      <c r="G936" s="933"/>
      <c r="H936" s="933"/>
      <c r="I936" s="933"/>
      <c r="J936" s="933"/>
      <c r="K936" s="933"/>
      <c r="L936" s="933"/>
      <c r="M936" s="933"/>
      <c r="N936" s="933"/>
      <c r="O936" s="933"/>
      <c r="P936" s="933"/>
      <c r="Q936" s="933"/>
      <c r="R936" s="933"/>
      <c r="S936" s="933"/>
      <c r="T936" s="933"/>
      <c r="U936" s="933"/>
      <c r="V936" s="933"/>
      <c r="W936" s="933"/>
      <c r="X936" s="933"/>
      <c r="Y936" s="933"/>
      <c r="Z936" s="933"/>
      <c r="AA936" s="933"/>
      <c r="AB936" s="933"/>
      <c r="AC936" s="933"/>
      <c r="AD936" s="933"/>
      <c r="AE936" s="933"/>
    </row>
    <row r="937" spans="1:31" ht="12.75">
      <c r="A937" s="933"/>
      <c r="B937" s="933"/>
      <c r="C937" s="933"/>
      <c r="D937" s="933"/>
      <c r="E937" s="933"/>
      <c r="F937" s="933"/>
      <c r="G937" s="933"/>
      <c r="H937" s="933"/>
      <c r="I937" s="933"/>
      <c r="J937" s="933"/>
      <c r="K937" s="933"/>
      <c r="L937" s="933"/>
      <c r="M937" s="933"/>
      <c r="N937" s="933"/>
      <c r="O937" s="933"/>
      <c r="P937" s="933"/>
      <c r="Q937" s="933"/>
      <c r="R937" s="933"/>
      <c r="S937" s="933"/>
      <c r="T937" s="933"/>
      <c r="U937" s="933"/>
      <c r="V937" s="933"/>
      <c r="W937" s="933"/>
      <c r="X937" s="933"/>
      <c r="Y937" s="933"/>
      <c r="Z937" s="933"/>
      <c r="AA937" s="933"/>
      <c r="AB937" s="933"/>
      <c r="AC937" s="933"/>
      <c r="AD937" s="933"/>
      <c r="AE937" s="933"/>
    </row>
    <row r="938" spans="1:31" ht="12.75">
      <c r="A938" s="933"/>
      <c r="B938" s="933"/>
      <c r="C938" s="933"/>
      <c r="D938" s="933"/>
      <c r="E938" s="933"/>
      <c r="F938" s="933"/>
      <c r="G938" s="933"/>
      <c r="H938" s="933"/>
      <c r="I938" s="933"/>
      <c r="J938" s="933"/>
      <c r="K938" s="933"/>
      <c r="L938" s="933"/>
      <c r="M938" s="933"/>
      <c r="N938" s="933"/>
      <c r="O938" s="933"/>
      <c r="P938" s="933"/>
      <c r="Q938" s="933"/>
      <c r="R938" s="933"/>
      <c r="S938" s="933"/>
      <c r="T938" s="933"/>
      <c r="U938" s="933"/>
      <c r="V938" s="933"/>
      <c r="W938" s="933"/>
      <c r="X938" s="933"/>
      <c r="Y938" s="933"/>
      <c r="Z938" s="933"/>
      <c r="AA938" s="933"/>
      <c r="AB938" s="933"/>
      <c r="AC938" s="933"/>
      <c r="AD938" s="933"/>
      <c r="AE938" s="933"/>
    </row>
    <row r="939" spans="1:31" ht="12.75">
      <c r="A939" s="933"/>
      <c r="B939" s="933"/>
      <c r="C939" s="933"/>
      <c r="D939" s="933"/>
      <c r="E939" s="933"/>
      <c r="F939" s="933"/>
      <c r="G939" s="933"/>
      <c r="H939" s="933"/>
      <c r="I939" s="933"/>
      <c r="J939" s="933"/>
      <c r="K939" s="933"/>
      <c r="L939" s="933"/>
      <c r="M939" s="933"/>
      <c r="N939" s="933"/>
      <c r="O939" s="933"/>
      <c r="P939" s="933"/>
      <c r="Q939" s="933"/>
      <c r="R939" s="933"/>
      <c r="S939" s="933"/>
      <c r="T939" s="933"/>
      <c r="U939" s="933"/>
      <c r="V939" s="933"/>
      <c r="W939" s="933"/>
      <c r="X939" s="933"/>
      <c r="Y939" s="933"/>
      <c r="Z939" s="933"/>
      <c r="AA939" s="933"/>
      <c r="AB939" s="933"/>
      <c r="AC939" s="933"/>
      <c r="AD939" s="933"/>
      <c r="AE939" s="933"/>
    </row>
    <row r="940" spans="1:31" ht="12.75">
      <c r="A940" s="933"/>
      <c r="B940" s="933"/>
      <c r="C940" s="933"/>
      <c r="D940" s="933"/>
      <c r="E940" s="933"/>
      <c r="F940" s="933"/>
      <c r="G940" s="933"/>
      <c r="H940" s="933"/>
      <c r="I940" s="933"/>
      <c r="J940" s="933"/>
      <c r="K940" s="933"/>
      <c r="L940" s="933"/>
      <c r="M940" s="933"/>
      <c r="N940" s="933"/>
      <c r="O940" s="933"/>
      <c r="P940" s="933"/>
      <c r="Q940" s="933"/>
      <c r="R940" s="933"/>
      <c r="S940" s="933"/>
      <c r="T940" s="933"/>
      <c r="U940" s="933"/>
      <c r="V940" s="933"/>
      <c r="W940" s="933"/>
      <c r="X940" s="933"/>
      <c r="Y940" s="933"/>
      <c r="Z940" s="933"/>
      <c r="AA940" s="933"/>
      <c r="AB940" s="933"/>
      <c r="AC940" s="933"/>
      <c r="AD940" s="933"/>
      <c r="AE940" s="933"/>
    </row>
    <row r="941" spans="1:31" ht="12.75">
      <c r="A941" s="933"/>
      <c r="B941" s="933"/>
      <c r="C941" s="933"/>
      <c r="D941" s="933"/>
      <c r="E941" s="933"/>
      <c r="F941" s="933"/>
      <c r="G941" s="933"/>
      <c r="H941" s="933"/>
      <c r="I941" s="933"/>
      <c r="J941" s="933"/>
      <c r="K941" s="933"/>
      <c r="L941" s="933"/>
      <c r="M941" s="933"/>
      <c r="N941" s="933"/>
      <c r="O941" s="933"/>
      <c r="P941" s="933"/>
      <c r="Q941" s="933"/>
      <c r="R941" s="933"/>
      <c r="S941" s="933"/>
      <c r="T941" s="933"/>
      <c r="U941" s="933"/>
      <c r="V941" s="933"/>
      <c r="W941" s="933"/>
      <c r="X941" s="933"/>
      <c r="Y941" s="933"/>
      <c r="Z941" s="933"/>
      <c r="AA941" s="933"/>
      <c r="AB941" s="933"/>
      <c r="AC941" s="933"/>
      <c r="AD941" s="933"/>
      <c r="AE941" s="933"/>
    </row>
    <row r="942" spans="1:31" ht="12.75">
      <c r="A942" s="933"/>
      <c r="B942" s="933"/>
      <c r="C942" s="933"/>
      <c r="D942" s="933"/>
      <c r="E942" s="933"/>
      <c r="F942" s="933"/>
      <c r="G942" s="933"/>
      <c r="H942" s="933"/>
      <c r="I942" s="933"/>
      <c r="J942" s="933"/>
      <c r="K942" s="933"/>
      <c r="L942" s="933"/>
      <c r="M942" s="933"/>
      <c r="N942" s="933"/>
      <c r="O942" s="933"/>
      <c r="P942" s="933"/>
      <c r="Q942" s="933"/>
      <c r="R942" s="933"/>
      <c r="S942" s="933"/>
      <c r="T942" s="933"/>
      <c r="U942" s="933"/>
      <c r="V942" s="933"/>
      <c r="W942" s="933"/>
      <c r="X942" s="933"/>
      <c r="Y942" s="933"/>
      <c r="Z942" s="933"/>
      <c r="AA942" s="933"/>
      <c r="AB942" s="933"/>
      <c r="AC942" s="933"/>
      <c r="AD942" s="933"/>
      <c r="AE942" s="933"/>
    </row>
    <row r="943" spans="1:31" ht="12.75">
      <c r="A943" s="933"/>
      <c r="B943" s="933"/>
      <c r="C943" s="933"/>
      <c r="D943" s="933"/>
      <c r="E943" s="933"/>
      <c r="F943" s="933"/>
      <c r="G943" s="933"/>
      <c r="H943" s="933"/>
      <c r="I943" s="933"/>
      <c r="J943" s="933"/>
      <c r="K943" s="933"/>
      <c r="L943" s="933"/>
      <c r="M943" s="933"/>
      <c r="N943" s="933"/>
      <c r="O943" s="933"/>
      <c r="P943" s="933"/>
      <c r="Q943" s="933"/>
      <c r="R943" s="933"/>
      <c r="S943" s="933"/>
      <c r="T943" s="933"/>
      <c r="U943" s="933"/>
      <c r="V943" s="933"/>
      <c r="W943" s="933"/>
      <c r="X943" s="933"/>
      <c r="Y943" s="933"/>
      <c r="Z943" s="933"/>
      <c r="AA943" s="933"/>
      <c r="AB943" s="933"/>
      <c r="AC943" s="933"/>
      <c r="AD943" s="933"/>
      <c r="AE943" s="933"/>
    </row>
    <row r="944" spans="1:31" ht="12.75">
      <c r="A944" s="933"/>
      <c r="B944" s="933"/>
      <c r="C944" s="933"/>
      <c r="D944" s="933"/>
      <c r="E944" s="933"/>
      <c r="F944" s="933"/>
      <c r="G944" s="933"/>
      <c r="H944" s="933"/>
      <c r="I944" s="933"/>
      <c r="J944" s="933"/>
      <c r="K944" s="933"/>
      <c r="L944" s="933"/>
      <c r="M944" s="933"/>
      <c r="N944" s="933"/>
      <c r="O944" s="933"/>
      <c r="P944" s="933"/>
      <c r="Q944" s="933"/>
      <c r="R944" s="933"/>
      <c r="S944" s="933"/>
      <c r="T944" s="933"/>
      <c r="U944" s="933"/>
      <c r="V944" s="933"/>
      <c r="W944" s="933"/>
      <c r="X944" s="933"/>
      <c r="Y944" s="933"/>
      <c r="Z944" s="933"/>
      <c r="AA944" s="933"/>
      <c r="AB944" s="933"/>
      <c r="AC944" s="933"/>
      <c r="AD944" s="933"/>
      <c r="AE944" s="933"/>
    </row>
    <row r="945" spans="1:31" ht="12.75">
      <c r="A945" s="933"/>
      <c r="B945" s="933"/>
      <c r="C945" s="933"/>
      <c r="D945" s="933"/>
      <c r="E945" s="933"/>
      <c r="F945" s="933"/>
      <c r="G945" s="933"/>
      <c r="H945" s="933"/>
      <c r="I945" s="933"/>
      <c r="J945" s="933"/>
      <c r="K945" s="933"/>
      <c r="L945" s="933"/>
      <c r="M945" s="933"/>
      <c r="N945" s="933"/>
      <c r="O945" s="933"/>
      <c r="P945" s="933"/>
      <c r="Q945" s="933"/>
      <c r="R945" s="933"/>
      <c r="S945" s="933"/>
      <c r="T945" s="933"/>
      <c r="U945" s="933"/>
      <c r="V945" s="933"/>
      <c r="W945" s="933"/>
      <c r="X945" s="933"/>
      <c r="Y945" s="933"/>
      <c r="Z945" s="933"/>
      <c r="AA945" s="933"/>
      <c r="AB945" s="933"/>
      <c r="AC945" s="933"/>
      <c r="AD945" s="933"/>
      <c r="AE945" s="933"/>
    </row>
    <row r="946" spans="1:31" ht="12.75">
      <c r="A946" s="933"/>
      <c r="B946" s="933"/>
      <c r="C946" s="933"/>
      <c r="D946" s="933"/>
      <c r="E946" s="933"/>
      <c r="F946" s="933"/>
      <c r="G946" s="933"/>
      <c r="H946" s="933"/>
      <c r="I946" s="933"/>
      <c r="J946" s="933"/>
      <c r="K946" s="933"/>
      <c r="L946" s="933"/>
      <c r="M946" s="933"/>
      <c r="N946" s="933"/>
      <c r="O946" s="933"/>
      <c r="P946" s="933"/>
      <c r="Q946" s="933"/>
      <c r="R946" s="933"/>
      <c r="S946" s="933"/>
      <c r="T946" s="933"/>
      <c r="U946" s="933"/>
      <c r="V946" s="933"/>
      <c r="W946" s="933"/>
      <c r="X946" s="933"/>
      <c r="Y946" s="933"/>
      <c r="Z946" s="933"/>
      <c r="AA946" s="933"/>
      <c r="AB946" s="933"/>
      <c r="AC946" s="933"/>
      <c r="AD946" s="933"/>
      <c r="AE946" s="933"/>
    </row>
    <row r="947" spans="1:31" ht="12.75">
      <c r="A947" s="933"/>
      <c r="B947" s="933"/>
      <c r="C947" s="933"/>
      <c r="D947" s="933"/>
      <c r="E947" s="933"/>
      <c r="F947" s="933"/>
      <c r="G947" s="933"/>
      <c r="H947" s="933"/>
      <c r="I947" s="933"/>
      <c r="J947" s="933"/>
      <c r="K947" s="933"/>
      <c r="L947" s="933"/>
      <c r="M947" s="933"/>
      <c r="N947" s="933"/>
      <c r="O947" s="933"/>
      <c r="P947" s="933"/>
      <c r="Q947" s="933"/>
      <c r="R947" s="933"/>
      <c r="S947" s="933"/>
      <c r="T947" s="933"/>
      <c r="U947" s="933"/>
      <c r="V947" s="933"/>
      <c r="W947" s="933"/>
      <c r="X947" s="933"/>
      <c r="Y947" s="933"/>
      <c r="Z947" s="933"/>
      <c r="AA947" s="933"/>
      <c r="AB947" s="933"/>
      <c r="AC947" s="933"/>
      <c r="AD947" s="933"/>
      <c r="AE947" s="933"/>
    </row>
    <row r="948" spans="1:31" ht="12.75">
      <c r="A948" s="933"/>
      <c r="B948" s="933"/>
      <c r="C948" s="933"/>
      <c r="D948" s="933"/>
      <c r="E948" s="933"/>
      <c r="F948" s="933"/>
      <c r="G948" s="933"/>
      <c r="H948" s="933"/>
      <c r="I948" s="933"/>
      <c r="J948" s="933"/>
      <c r="K948" s="933"/>
      <c r="L948" s="933"/>
      <c r="M948" s="933"/>
      <c r="N948" s="933"/>
      <c r="O948" s="933"/>
      <c r="P948" s="933"/>
      <c r="Q948" s="933"/>
      <c r="R948" s="933"/>
      <c r="S948" s="933"/>
      <c r="T948" s="933"/>
      <c r="U948" s="933"/>
      <c r="V948" s="933"/>
      <c r="W948" s="933"/>
      <c r="X948" s="933"/>
      <c r="Y948" s="933"/>
      <c r="Z948" s="933"/>
      <c r="AA948" s="933"/>
      <c r="AB948" s="933"/>
      <c r="AC948" s="933"/>
      <c r="AD948" s="933"/>
      <c r="AE948" s="933"/>
    </row>
    <row r="949" spans="1:31" ht="12.75">
      <c r="A949" s="933"/>
      <c r="B949" s="933"/>
      <c r="C949" s="933"/>
      <c r="D949" s="933"/>
      <c r="E949" s="933"/>
      <c r="F949" s="933"/>
      <c r="G949" s="933"/>
      <c r="H949" s="933"/>
      <c r="I949" s="933"/>
      <c r="J949" s="933"/>
      <c r="K949" s="933"/>
      <c r="L949" s="933"/>
      <c r="M949" s="933"/>
      <c r="N949" s="933"/>
      <c r="O949" s="933"/>
      <c r="P949" s="933"/>
      <c r="Q949" s="933"/>
      <c r="R949" s="933"/>
      <c r="S949" s="933"/>
      <c r="T949" s="933"/>
      <c r="U949" s="933"/>
      <c r="V949" s="933"/>
      <c r="W949" s="933"/>
      <c r="X949" s="933"/>
      <c r="Y949" s="933"/>
      <c r="Z949" s="933"/>
      <c r="AA949" s="933"/>
      <c r="AB949" s="933"/>
      <c r="AC949" s="933"/>
      <c r="AD949" s="933"/>
      <c r="AE949" s="933"/>
    </row>
    <row r="950" spans="1:31" ht="12.75">
      <c r="A950" s="933"/>
      <c r="B950" s="933"/>
      <c r="C950" s="933"/>
      <c r="D950" s="933"/>
      <c r="E950" s="933"/>
      <c r="F950" s="933"/>
      <c r="G950" s="933"/>
      <c r="H950" s="933"/>
      <c r="I950" s="933"/>
      <c r="J950" s="933"/>
      <c r="K950" s="933"/>
      <c r="L950" s="933"/>
      <c r="M950" s="933"/>
      <c r="N950" s="933"/>
      <c r="O950" s="933"/>
      <c r="P950" s="933"/>
      <c r="Q950" s="933"/>
      <c r="R950" s="933"/>
      <c r="S950" s="933"/>
      <c r="T950" s="933"/>
      <c r="U950" s="933"/>
      <c r="V950" s="933"/>
      <c r="W950" s="933"/>
      <c r="X950" s="933"/>
      <c r="Y950" s="933"/>
      <c r="Z950" s="933"/>
      <c r="AA950" s="933"/>
      <c r="AB950" s="933"/>
      <c r="AC950" s="933"/>
      <c r="AD950" s="933"/>
      <c r="AE950" s="933"/>
    </row>
    <row r="951" spans="1:31" ht="12.75">
      <c r="A951" s="933"/>
      <c r="B951" s="933"/>
      <c r="C951" s="933"/>
      <c r="D951" s="933"/>
      <c r="E951" s="933"/>
      <c r="F951" s="933"/>
      <c r="G951" s="933"/>
      <c r="H951" s="933"/>
      <c r="I951" s="933"/>
      <c r="J951" s="933"/>
      <c r="K951" s="933"/>
      <c r="L951" s="933"/>
      <c r="M951" s="933"/>
      <c r="N951" s="933"/>
      <c r="O951" s="933"/>
      <c r="P951" s="933"/>
      <c r="Q951" s="933"/>
      <c r="R951" s="933"/>
      <c r="S951" s="933"/>
      <c r="T951" s="933"/>
      <c r="U951" s="933"/>
      <c r="V951" s="933"/>
      <c r="W951" s="933"/>
      <c r="X951" s="933"/>
      <c r="Y951" s="933"/>
      <c r="Z951" s="933"/>
      <c r="AA951" s="933"/>
      <c r="AB951" s="933"/>
      <c r="AC951" s="933"/>
      <c r="AD951" s="933"/>
      <c r="AE951" s="933"/>
    </row>
    <row r="952" spans="1:31" ht="12.75">
      <c r="A952" s="933"/>
      <c r="B952" s="933"/>
      <c r="C952" s="933"/>
      <c r="D952" s="933"/>
      <c r="E952" s="933"/>
      <c r="F952" s="933"/>
      <c r="G952" s="933"/>
      <c r="H952" s="933"/>
      <c r="I952" s="933"/>
      <c r="J952" s="933"/>
      <c r="K952" s="933"/>
      <c r="L952" s="933"/>
      <c r="M952" s="933"/>
      <c r="N952" s="933"/>
      <c r="O952" s="933"/>
      <c r="P952" s="933"/>
      <c r="Q952" s="933"/>
      <c r="R952" s="933"/>
      <c r="S952" s="933"/>
      <c r="T952" s="933"/>
      <c r="U952" s="933"/>
      <c r="V952" s="933"/>
      <c r="W952" s="933"/>
      <c r="X952" s="933"/>
      <c r="Y952" s="933"/>
      <c r="Z952" s="933"/>
      <c r="AA952" s="933"/>
      <c r="AB952" s="933"/>
      <c r="AC952" s="933"/>
      <c r="AD952" s="933"/>
      <c r="AE952" s="933"/>
    </row>
    <row r="953" spans="1:31" ht="12.75">
      <c r="A953" s="933"/>
      <c r="B953" s="933"/>
      <c r="C953" s="933"/>
      <c r="D953" s="933"/>
      <c r="E953" s="933"/>
      <c r="F953" s="933"/>
      <c r="G953" s="933"/>
      <c r="H953" s="933"/>
      <c r="I953" s="933"/>
      <c r="J953" s="933"/>
      <c r="K953" s="933"/>
      <c r="L953" s="933"/>
      <c r="M953" s="933"/>
      <c r="N953" s="933"/>
      <c r="O953" s="933"/>
      <c r="P953" s="933"/>
      <c r="Q953" s="933"/>
      <c r="R953" s="933"/>
      <c r="S953" s="933"/>
      <c r="T953" s="933"/>
      <c r="U953" s="933"/>
      <c r="V953" s="933"/>
      <c r="W953" s="933"/>
      <c r="X953" s="933"/>
      <c r="Y953" s="933"/>
      <c r="Z953" s="933"/>
      <c r="AA953" s="933"/>
      <c r="AB953" s="933"/>
      <c r="AC953" s="933"/>
      <c r="AD953" s="933"/>
      <c r="AE953" s="933"/>
    </row>
    <row r="954" spans="1:31" ht="12.75">
      <c r="A954" s="933"/>
      <c r="B954" s="933"/>
      <c r="C954" s="933"/>
      <c r="D954" s="933"/>
      <c r="E954" s="933"/>
      <c r="F954" s="933"/>
      <c r="G954" s="933"/>
      <c r="H954" s="933"/>
      <c r="I954" s="933"/>
      <c r="J954" s="933"/>
      <c r="K954" s="933"/>
      <c r="L954" s="933"/>
      <c r="M954" s="933"/>
      <c r="N954" s="933"/>
      <c r="O954" s="933"/>
      <c r="P954" s="933"/>
      <c r="Q954" s="933"/>
      <c r="R954" s="933"/>
      <c r="S954" s="933"/>
      <c r="T954" s="933"/>
      <c r="U954" s="933"/>
      <c r="V954" s="933"/>
      <c r="W954" s="933"/>
      <c r="X954" s="933"/>
      <c r="Y954" s="933"/>
      <c r="Z954" s="933"/>
      <c r="AA954" s="933"/>
      <c r="AB954" s="933"/>
      <c r="AC954" s="933"/>
      <c r="AD954" s="933"/>
      <c r="AE954" s="933"/>
    </row>
    <row r="955" spans="1:31" ht="12.75">
      <c r="A955" s="933"/>
      <c r="B955" s="933"/>
      <c r="C955" s="933"/>
      <c r="D955" s="933"/>
      <c r="E955" s="933"/>
      <c r="F955" s="933"/>
      <c r="G955" s="933"/>
      <c r="H955" s="933"/>
      <c r="I955" s="933"/>
      <c r="J955" s="933"/>
      <c r="K955" s="933"/>
      <c r="L955" s="933"/>
      <c r="M955" s="933"/>
      <c r="N955" s="933"/>
      <c r="O955" s="933"/>
      <c r="P955" s="933"/>
      <c r="Q955" s="933"/>
      <c r="R955" s="933"/>
      <c r="S955" s="933"/>
      <c r="T955" s="933"/>
      <c r="U955" s="933"/>
      <c r="V955" s="933"/>
      <c r="W955" s="933"/>
      <c r="X955" s="933"/>
      <c r="Y955" s="933"/>
      <c r="Z955" s="933"/>
      <c r="AA955" s="933"/>
      <c r="AB955" s="933"/>
      <c r="AC955" s="933"/>
      <c r="AD955" s="933"/>
      <c r="AE955" s="933"/>
    </row>
    <row r="956" spans="1:31" ht="12.75">
      <c r="A956" s="933"/>
      <c r="B956" s="933"/>
      <c r="C956" s="933"/>
      <c r="D956" s="933"/>
      <c r="E956" s="933"/>
      <c r="F956" s="933"/>
      <c r="G956" s="933"/>
      <c r="H956" s="933"/>
      <c r="I956" s="933"/>
      <c r="J956" s="933"/>
      <c r="K956" s="933"/>
      <c r="L956" s="933"/>
      <c r="M956" s="933"/>
      <c r="N956" s="933"/>
      <c r="O956" s="933"/>
      <c r="P956" s="933"/>
      <c r="Q956" s="933"/>
      <c r="R956" s="933"/>
      <c r="S956" s="933"/>
      <c r="T956" s="933"/>
      <c r="U956" s="933"/>
      <c r="V956" s="933"/>
      <c r="W956" s="933"/>
      <c r="X956" s="933"/>
      <c r="Y956" s="933"/>
      <c r="Z956" s="933"/>
      <c r="AA956" s="933"/>
      <c r="AB956" s="933"/>
      <c r="AC956" s="933"/>
      <c r="AD956" s="933"/>
      <c r="AE956" s="933"/>
    </row>
    <row r="957" spans="1:31" ht="12.75">
      <c r="A957" s="933"/>
      <c r="B957" s="933"/>
      <c r="C957" s="933"/>
      <c r="D957" s="933"/>
      <c r="E957" s="933"/>
      <c r="F957" s="933"/>
      <c r="G957" s="933"/>
      <c r="H957" s="933"/>
      <c r="I957" s="933"/>
      <c r="J957" s="933"/>
      <c r="K957" s="933"/>
      <c r="L957" s="933"/>
      <c r="M957" s="933"/>
      <c r="N957" s="933"/>
      <c r="O957" s="933"/>
      <c r="P957" s="933"/>
      <c r="Q957" s="933"/>
      <c r="R957" s="933"/>
      <c r="S957" s="933"/>
      <c r="T957" s="933"/>
      <c r="U957" s="933"/>
      <c r="V957" s="933"/>
      <c r="W957" s="933"/>
      <c r="X957" s="933"/>
      <c r="Y957" s="933"/>
      <c r="Z957" s="933"/>
      <c r="AA957" s="933"/>
      <c r="AB957" s="933"/>
      <c r="AC957" s="933"/>
      <c r="AD957" s="933"/>
      <c r="AE957" s="933"/>
    </row>
    <row r="958" spans="1:31" ht="12.75">
      <c r="A958" s="933"/>
      <c r="B958" s="933"/>
      <c r="C958" s="933"/>
      <c r="D958" s="933"/>
      <c r="E958" s="933"/>
      <c r="F958" s="933"/>
      <c r="G958" s="933"/>
      <c r="H958" s="933"/>
      <c r="I958" s="933"/>
      <c r="J958" s="933"/>
      <c r="K958" s="933"/>
      <c r="L958" s="933"/>
      <c r="M958" s="933"/>
      <c r="N958" s="933"/>
      <c r="O958" s="933"/>
      <c r="P958" s="933"/>
      <c r="Q958" s="933"/>
      <c r="R958" s="933"/>
      <c r="S958" s="933"/>
      <c r="T958" s="933"/>
      <c r="U958" s="933"/>
      <c r="V958" s="933"/>
      <c r="W958" s="933"/>
      <c r="X958" s="933"/>
      <c r="Y958" s="933"/>
      <c r="Z958" s="933"/>
      <c r="AA958" s="933"/>
      <c r="AB958" s="933"/>
      <c r="AC958" s="933"/>
      <c r="AD958" s="933"/>
      <c r="AE958" s="933"/>
    </row>
    <row r="959" spans="1:31" ht="12.75">
      <c r="A959" s="933"/>
      <c r="B959" s="933"/>
      <c r="C959" s="933"/>
      <c r="D959" s="933"/>
      <c r="E959" s="933"/>
      <c r="F959" s="933"/>
      <c r="G959" s="933"/>
      <c r="H959" s="933"/>
      <c r="I959" s="933"/>
      <c r="J959" s="933"/>
      <c r="K959" s="933"/>
      <c r="L959" s="933"/>
      <c r="M959" s="933"/>
      <c r="N959" s="933"/>
      <c r="O959" s="933"/>
      <c r="P959" s="933"/>
      <c r="Q959" s="933"/>
      <c r="R959" s="933"/>
      <c r="S959" s="933"/>
      <c r="T959" s="933"/>
      <c r="U959" s="933"/>
      <c r="V959" s="933"/>
      <c r="W959" s="933"/>
      <c r="X959" s="933"/>
      <c r="Y959" s="933"/>
      <c r="Z959" s="933"/>
      <c r="AA959" s="933"/>
      <c r="AB959" s="933"/>
      <c r="AC959" s="933"/>
      <c r="AD959" s="933"/>
      <c r="AE959" s="933"/>
    </row>
    <row r="960" spans="1:31" ht="12.75">
      <c r="A960" s="933"/>
      <c r="B960" s="933"/>
      <c r="C960" s="933"/>
      <c r="D960" s="933"/>
      <c r="E960" s="933"/>
      <c r="F960" s="933"/>
      <c r="G960" s="933"/>
      <c r="H960" s="933"/>
      <c r="I960" s="933"/>
      <c r="J960" s="933"/>
      <c r="K960" s="933"/>
      <c r="L960" s="933"/>
      <c r="M960" s="933"/>
      <c r="N960" s="933"/>
      <c r="O960" s="933"/>
      <c r="P960" s="933"/>
      <c r="Q960" s="933"/>
      <c r="R960" s="933"/>
      <c r="S960" s="933"/>
      <c r="T960" s="933"/>
      <c r="U960" s="933"/>
      <c r="V960" s="933"/>
      <c r="W960" s="933"/>
      <c r="X960" s="933"/>
      <c r="Y960" s="933"/>
      <c r="Z960" s="933"/>
      <c r="AA960" s="933"/>
      <c r="AB960" s="933"/>
      <c r="AC960" s="933"/>
      <c r="AD960" s="933"/>
      <c r="AE960" s="933"/>
    </row>
    <row r="961" spans="1:31" ht="12.75">
      <c r="A961" s="933"/>
      <c r="B961" s="933"/>
      <c r="C961" s="933"/>
      <c r="D961" s="933"/>
      <c r="E961" s="933"/>
      <c r="F961" s="933"/>
      <c r="G961" s="933"/>
      <c r="H961" s="933"/>
      <c r="I961" s="933"/>
      <c r="J961" s="933"/>
      <c r="K961" s="933"/>
      <c r="L961" s="933"/>
      <c r="M961" s="933"/>
      <c r="N961" s="933"/>
      <c r="O961" s="933"/>
      <c r="P961" s="933"/>
      <c r="Q961" s="933"/>
      <c r="R961" s="933"/>
      <c r="S961" s="933"/>
      <c r="T961" s="933"/>
      <c r="U961" s="933"/>
      <c r="V961" s="933"/>
      <c r="W961" s="933"/>
      <c r="X961" s="933"/>
      <c r="Y961" s="933"/>
      <c r="Z961" s="933"/>
      <c r="AA961" s="933"/>
      <c r="AB961" s="933"/>
      <c r="AC961" s="933"/>
      <c r="AD961" s="933"/>
      <c r="AE961" s="933"/>
    </row>
    <row r="962" spans="1:31" ht="12.75">
      <c r="A962" s="933"/>
      <c r="B962" s="933"/>
      <c r="C962" s="933"/>
      <c r="D962" s="933"/>
      <c r="E962" s="933"/>
      <c r="F962" s="933"/>
      <c r="G962" s="933"/>
      <c r="H962" s="933"/>
      <c r="I962" s="933"/>
      <c r="J962" s="933"/>
      <c r="K962" s="933"/>
      <c r="L962" s="933"/>
      <c r="M962" s="933"/>
      <c r="N962" s="933"/>
      <c r="O962" s="933"/>
      <c r="P962" s="933"/>
      <c r="Q962" s="933"/>
      <c r="R962" s="933"/>
      <c r="S962" s="933"/>
      <c r="T962" s="933"/>
      <c r="U962" s="933"/>
      <c r="V962" s="933"/>
      <c r="W962" s="933"/>
      <c r="X962" s="933"/>
      <c r="Y962" s="933"/>
      <c r="Z962" s="933"/>
      <c r="AA962" s="933"/>
      <c r="AB962" s="933"/>
      <c r="AC962" s="933"/>
      <c r="AD962" s="933"/>
      <c r="AE962" s="933"/>
    </row>
    <row r="963" spans="1:31" ht="12.75">
      <c r="A963" s="933"/>
      <c r="B963" s="933"/>
      <c r="C963" s="933"/>
      <c r="D963" s="933"/>
      <c r="E963" s="933"/>
      <c r="F963" s="933"/>
      <c r="G963" s="933"/>
      <c r="H963" s="933"/>
      <c r="I963" s="933"/>
      <c r="J963" s="933"/>
      <c r="K963" s="933"/>
      <c r="L963" s="933"/>
      <c r="M963" s="933"/>
      <c r="N963" s="933"/>
      <c r="O963" s="933"/>
      <c r="P963" s="933"/>
      <c r="Q963" s="933"/>
      <c r="R963" s="933"/>
      <c r="S963" s="933"/>
      <c r="T963" s="933"/>
      <c r="U963" s="933"/>
      <c r="V963" s="933"/>
      <c r="W963" s="933"/>
      <c r="X963" s="933"/>
      <c r="Y963" s="933"/>
      <c r="Z963" s="933"/>
      <c r="AA963" s="933"/>
      <c r="AB963" s="933"/>
      <c r="AC963" s="933"/>
      <c r="AD963" s="933"/>
      <c r="AE963" s="933"/>
    </row>
    <row r="964" spans="1:31" ht="12.75">
      <c r="A964" s="933"/>
      <c r="B964" s="933"/>
      <c r="C964" s="933"/>
      <c r="D964" s="933"/>
      <c r="E964" s="933"/>
      <c r="F964" s="933"/>
      <c r="G964" s="933"/>
      <c r="H964" s="933"/>
      <c r="I964" s="933"/>
      <c r="J964" s="933"/>
      <c r="K964" s="933"/>
      <c r="L964" s="933"/>
      <c r="M964" s="933"/>
      <c r="N964" s="933"/>
      <c r="O964" s="933"/>
      <c r="P964" s="933"/>
      <c r="Q964" s="933"/>
      <c r="R964" s="933"/>
      <c r="S964" s="933"/>
      <c r="T964" s="933"/>
      <c r="U964" s="933"/>
      <c r="V964" s="933"/>
      <c r="W964" s="933"/>
      <c r="X964" s="933"/>
      <c r="Y964" s="933"/>
      <c r="Z964" s="933"/>
      <c r="AA964" s="933"/>
      <c r="AB964" s="933"/>
      <c r="AC964" s="933"/>
      <c r="AD964" s="933"/>
      <c r="AE964" s="933"/>
    </row>
    <row r="965" spans="1:31" ht="12.75">
      <c r="A965" s="933"/>
      <c r="B965" s="933"/>
      <c r="C965" s="933"/>
      <c r="D965" s="933"/>
      <c r="E965" s="933"/>
      <c r="F965" s="933"/>
      <c r="G965" s="933"/>
      <c r="H965" s="933"/>
      <c r="I965" s="933"/>
      <c r="J965" s="933"/>
      <c r="K965" s="933"/>
      <c r="L965" s="933"/>
      <c r="M965" s="933"/>
      <c r="N965" s="933"/>
      <c r="O965" s="933"/>
      <c r="P965" s="933"/>
      <c r="Q965" s="933"/>
      <c r="R965" s="933"/>
      <c r="S965" s="933"/>
      <c r="T965" s="933"/>
      <c r="U965" s="933"/>
      <c r="V965" s="933"/>
      <c r="W965" s="933"/>
      <c r="X965" s="933"/>
      <c r="Y965" s="933"/>
      <c r="Z965" s="933"/>
      <c r="AA965" s="933"/>
      <c r="AB965" s="933"/>
      <c r="AC965" s="933"/>
      <c r="AD965" s="933"/>
      <c r="AE965" s="933"/>
    </row>
    <row r="966" spans="1:31" ht="12.75">
      <c r="A966" s="933"/>
      <c r="B966" s="933"/>
      <c r="C966" s="933"/>
      <c r="D966" s="933"/>
      <c r="E966" s="933"/>
      <c r="F966" s="933"/>
      <c r="G966" s="933"/>
      <c r="H966" s="933"/>
      <c r="I966" s="933"/>
      <c r="J966" s="933"/>
      <c r="K966" s="933"/>
      <c r="L966" s="933"/>
      <c r="M966" s="933"/>
      <c r="N966" s="933"/>
      <c r="O966" s="933"/>
      <c r="P966" s="933"/>
      <c r="Q966" s="933"/>
      <c r="R966" s="933"/>
      <c r="S966" s="933"/>
      <c r="T966" s="933"/>
      <c r="U966" s="933"/>
      <c r="V966" s="933"/>
      <c r="W966" s="933"/>
      <c r="X966" s="933"/>
      <c r="Y966" s="933"/>
      <c r="Z966" s="933"/>
      <c r="AA966" s="933"/>
      <c r="AB966" s="933"/>
      <c r="AC966" s="933"/>
      <c r="AD966" s="933"/>
      <c r="AE966" s="933"/>
    </row>
    <row r="967" spans="1:31" ht="12.75">
      <c r="A967" s="933"/>
      <c r="B967" s="933"/>
      <c r="C967" s="933"/>
      <c r="D967" s="933"/>
      <c r="E967" s="933"/>
      <c r="F967" s="933"/>
      <c r="G967" s="933"/>
      <c r="H967" s="933"/>
      <c r="I967" s="933"/>
      <c r="J967" s="933"/>
      <c r="K967" s="933"/>
      <c r="L967" s="933"/>
      <c r="M967" s="933"/>
      <c r="N967" s="933"/>
      <c r="O967" s="933"/>
      <c r="P967" s="933"/>
      <c r="Q967" s="933"/>
      <c r="R967" s="933"/>
      <c r="S967" s="933"/>
      <c r="T967" s="933"/>
      <c r="U967" s="933"/>
      <c r="V967" s="933"/>
      <c r="W967" s="933"/>
      <c r="X967" s="933"/>
      <c r="Y967" s="933"/>
      <c r="Z967" s="933"/>
      <c r="AA967" s="933"/>
      <c r="AB967" s="933"/>
      <c r="AC967" s="933"/>
      <c r="AD967" s="933"/>
      <c r="AE967" s="933"/>
    </row>
    <row r="968" spans="1:31" ht="12.75">
      <c r="A968" s="933"/>
      <c r="B968" s="933"/>
      <c r="C968" s="933"/>
      <c r="D968" s="933"/>
      <c r="E968" s="933"/>
      <c r="F968" s="933"/>
      <c r="G968" s="933"/>
      <c r="H968" s="933"/>
      <c r="I968" s="933"/>
      <c r="J968" s="933"/>
      <c r="K968" s="933"/>
      <c r="L968" s="933"/>
      <c r="M968" s="933"/>
      <c r="N968" s="933"/>
      <c r="O968" s="933"/>
      <c r="P968" s="933"/>
      <c r="Q968" s="933"/>
      <c r="R968" s="933"/>
      <c r="S968" s="933"/>
      <c r="T968" s="933"/>
      <c r="U968" s="933"/>
      <c r="V968" s="933"/>
      <c r="W968" s="933"/>
      <c r="X968" s="933"/>
      <c r="Y968" s="933"/>
      <c r="Z968" s="933"/>
      <c r="AA968" s="933"/>
      <c r="AB968" s="933"/>
      <c r="AC968" s="933"/>
      <c r="AD968" s="933"/>
      <c r="AE968" s="933"/>
    </row>
    <row r="969" spans="1:31" ht="12.75">
      <c r="A969" s="933"/>
      <c r="B969" s="933"/>
      <c r="C969" s="933"/>
      <c r="D969" s="933"/>
      <c r="E969" s="933"/>
      <c r="F969" s="933"/>
      <c r="G969" s="933"/>
      <c r="H969" s="933"/>
      <c r="I969" s="933"/>
      <c r="J969" s="933"/>
      <c r="K969" s="933"/>
      <c r="L969" s="933"/>
      <c r="M969" s="933"/>
      <c r="N969" s="933"/>
      <c r="O969" s="933"/>
      <c r="P969" s="933"/>
      <c r="Q969" s="933"/>
      <c r="R969" s="933"/>
      <c r="S969" s="933"/>
      <c r="T969" s="933"/>
      <c r="U969" s="933"/>
      <c r="V969" s="933"/>
      <c r="W969" s="933"/>
      <c r="X969" s="933"/>
      <c r="Y969" s="933"/>
      <c r="Z969" s="933"/>
      <c r="AA969" s="933"/>
      <c r="AB969" s="933"/>
      <c r="AC969" s="933"/>
      <c r="AD969" s="933"/>
      <c r="AE969" s="933"/>
    </row>
    <row r="970" spans="1:31" ht="12.75">
      <c r="A970" s="933"/>
      <c r="B970" s="933"/>
      <c r="C970" s="933"/>
      <c r="D970" s="933"/>
      <c r="E970" s="933"/>
      <c r="F970" s="933"/>
      <c r="G970" s="933"/>
      <c r="H970" s="933"/>
      <c r="I970" s="933"/>
      <c r="J970" s="933"/>
      <c r="K970" s="933"/>
      <c r="L970" s="933"/>
      <c r="M970" s="933"/>
      <c r="N970" s="933"/>
      <c r="O970" s="933"/>
      <c r="P970" s="933"/>
      <c r="Q970" s="933"/>
      <c r="R970" s="933"/>
      <c r="S970" s="933"/>
      <c r="T970" s="933"/>
      <c r="U970" s="933"/>
      <c r="V970" s="933"/>
      <c r="W970" s="933"/>
      <c r="X970" s="933"/>
      <c r="Y970" s="933"/>
      <c r="Z970" s="933"/>
      <c r="AA970" s="933"/>
      <c r="AB970" s="933"/>
      <c r="AC970" s="933"/>
      <c r="AD970" s="933"/>
      <c r="AE970" s="933"/>
    </row>
    <row r="971" spans="1:31" ht="12.75">
      <c r="A971" s="933"/>
      <c r="B971" s="933"/>
      <c r="C971" s="933"/>
      <c r="D971" s="933"/>
      <c r="E971" s="933"/>
      <c r="F971" s="933"/>
      <c r="G971" s="933"/>
      <c r="H971" s="933"/>
      <c r="I971" s="933"/>
      <c r="J971" s="933"/>
      <c r="K971" s="933"/>
      <c r="L971" s="933"/>
      <c r="M971" s="933"/>
      <c r="N971" s="933"/>
      <c r="O971" s="933"/>
      <c r="P971" s="933"/>
      <c r="Q971" s="933"/>
      <c r="R971" s="933"/>
      <c r="S971" s="933"/>
      <c r="T971" s="933"/>
      <c r="U971" s="933"/>
      <c r="V971" s="933"/>
      <c r="W971" s="933"/>
      <c r="X971" s="933"/>
      <c r="Y971" s="933"/>
      <c r="Z971" s="933"/>
      <c r="AA971" s="933"/>
      <c r="AB971" s="933"/>
      <c r="AC971" s="933"/>
      <c r="AD971" s="933"/>
      <c r="AE971" s="933"/>
    </row>
    <row r="972" spans="1:31" ht="12.75">
      <c r="A972" s="933"/>
      <c r="B972" s="933"/>
      <c r="C972" s="933"/>
      <c r="D972" s="933"/>
      <c r="E972" s="933"/>
      <c r="F972" s="933"/>
      <c r="G972" s="933"/>
      <c r="H972" s="933"/>
      <c r="I972" s="933"/>
      <c r="J972" s="933"/>
      <c r="K972" s="933"/>
      <c r="L972" s="933"/>
      <c r="M972" s="933"/>
      <c r="N972" s="933"/>
      <c r="O972" s="933"/>
      <c r="P972" s="933"/>
      <c r="Q972" s="933"/>
      <c r="R972" s="933"/>
      <c r="S972" s="933"/>
      <c r="T972" s="933"/>
      <c r="U972" s="933"/>
      <c r="V972" s="933"/>
      <c r="W972" s="933"/>
      <c r="X972" s="933"/>
      <c r="Y972" s="933"/>
      <c r="Z972" s="933"/>
      <c r="AA972" s="933"/>
      <c r="AB972" s="933"/>
      <c r="AC972" s="933"/>
      <c r="AD972" s="933"/>
      <c r="AE972" s="933"/>
    </row>
    <row r="973" spans="1:31" ht="12.75">
      <c r="A973" s="933"/>
      <c r="B973" s="933"/>
      <c r="C973" s="933"/>
      <c r="D973" s="933"/>
      <c r="E973" s="933"/>
      <c r="F973" s="933"/>
      <c r="G973" s="933"/>
      <c r="H973" s="933"/>
      <c r="I973" s="933"/>
      <c r="J973" s="933"/>
      <c r="K973" s="933"/>
      <c r="L973" s="933"/>
      <c r="M973" s="933"/>
      <c r="N973" s="933"/>
      <c r="O973" s="933"/>
      <c r="P973" s="933"/>
      <c r="Q973" s="933"/>
      <c r="R973" s="933"/>
      <c r="S973" s="933"/>
      <c r="T973" s="933"/>
      <c r="U973" s="933"/>
      <c r="V973" s="933"/>
      <c r="W973" s="933"/>
      <c r="X973" s="933"/>
      <c r="Y973" s="933"/>
      <c r="Z973" s="933"/>
      <c r="AA973" s="933"/>
      <c r="AB973" s="933"/>
      <c r="AC973" s="933"/>
      <c r="AD973" s="933"/>
      <c r="AE973" s="933"/>
    </row>
    <row r="974" spans="1:31" ht="12.75">
      <c r="A974" s="933"/>
      <c r="B974" s="933"/>
      <c r="C974" s="933"/>
      <c r="D974" s="933"/>
      <c r="E974" s="933"/>
      <c r="F974" s="933"/>
      <c r="G974" s="933"/>
      <c r="H974" s="933"/>
      <c r="I974" s="933"/>
      <c r="J974" s="933"/>
      <c r="K974" s="933"/>
      <c r="L974" s="933"/>
      <c r="M974" s="933"/>
      <c r="N974" s="933"/>
      <c r="O974" s="933"/>
      <c r="P974" s="933"/>
      <c r="Q974" s="933"/>
      <c r="R974" s="933"/>
      <c r="S974" s="933"/>
      <c r="T974" s="933"/>
      <c r="U974" s="933"/>
      <c r="V974" s="933"/>
      <c r="W974" s="933"/>
      <c r="X974" s="933"/>
      <c r="Y974" s="933"/>
      <c r="Z974" s="933"/>
      <c r="AA974" s="933"/>
      <c r="AB974" s="933"/>
      <c r="AC974" s="933"/>
      <c r="AD974" s="933"/>
      <c r="AE974" s="933"/>
    </row>
    <row r="975" spans="1:31" ht="12.75">
      <c r="A975" s="933"/>
      <c r="B975" s="933"/>
      <c r="C975" s="933"/>
      <c r="D975" s="933"/>
      <c r="E975" s="933"/>
      <c r="F975" s="933"/>
      <c r="G975" s="933"/>
      <c r="H975" s="933"/>
      <c r="I975" s="933"/>
      <c r="J975" s="933"/>
      <c r="K975" s="933"/>
      <c r="L975" s="933"/>
      <c r="M975" s="933"/>
      <c r="N975" s="933"/>
      <c r="O975" s="933"/>
      <c r="P975" s="933"/>
      <c r="Q975" s="933"/>
      <c r="R975" s="933"/>
      <c r="S975" s="933"/>
      <c r="T975" s="933"/>
      <c r="U975" s="933"/>
      <c r="V975" s="933"/>
      <c r="W975" s="933"/>
      <c r="X975" s="933"/>
      <c r="Y975" s="933"/>
      <c r="Z975" s="933"/>
      <c r="AA975" s="933"/>
      <c r="AB975" s="933"/>
      <c r="AC975" s="933"/>
      <c r="AD975" s="933"/>
      <c r="AE975" s="933"/>
    </row>
    <row r="976" spans="1:31" ht="12.75">
      <c r="A976" s="933"/>
      <c r="B976" s="933"/>
      <c r="C976" s="933"/>
      <c r="D976" s="933"/>
      <c r="E976" s="933"/>
      <c r="F976" s="933"/>
      <c r="G976" s="933"/>
      <c r="H976" s="933"/>
      <c r="I976" s="933"/>
      <c r="J976" s="933"/>
      <c r="K976" s="933"/>
      <c r="L976" s="933"/>
      <c r="M976" s="933"/>
      <c r="N976" s="933"/>
      <c r="O976" s="933"/>
      <c r="P976" s="933"/>
      <c r="Q976" s="933"/>
      <c r="R976" s="933"/>
      <c r="S976" s="933"/>
      <c r="T976" s="933"/>
      <c r="U976" s="933"/>
      <c r="V976" s="933"/>
      <c r="W976" s="933"/>
      <c r="X976" s="933"/>
      <c r="Y976" s="933"/>
      <c r="Z976" s="933"/>
      <c r="AA976" s="933"/>
      <c r="AB976" s="933"/>
      <c r="AC976" s="933"/>
      <c r="AD976" s="933"/>
      <c r="AE976" s="933"/>
    </row>
    <row r="977" spans="1:31" ht="12.75">
      <c r="A977" s="933"/>
      <c r="B977" s="933"/>
      <c r="C977" s="933"/>
      <c r="D977" s="933"/>
      <c r="E977" s="933"/>
      <c r="F977" s="933"/>
      <c r="G977" s="933"/>
      <c r="H977" s="933"/>
      <c r="I977" s="933"/>
      <c r="J977" s="933"/>
      <c r="K977" s="933"/>
      <c r="L977" s="933"/>
      <c r="M977" s="933"/>
      <c r="N977" s="933"/>
      <c r="O977" s="933"/>
      <c r="P977" s="933"/>
      <c r="Q977" s="933"/>
      <c r="R977" s="933"/>
      <c r="S977" s="933"/>
      <c r="T977" s="933"/>
      <c r="U977" s="933"/>
      <c r="V977" s="933"/>
      <c r="W977" s="933"/>
      <c r="X977" s="933"/>
      <c r="Y977" s="933"/>
      <c r="Z977" s="933"/>
      <c r="AA977" s="933"/>
      <c r="AB977" s="933"/>
      <c r="AC977" s="933"/>
      <c r="AD977" s="933"/>
      <c r="AE977" s="933"/>
    </row>
    <row r="978" spans="1:31" ht="12.75">
      <c r="A978" s="933"/>
      <c r="B978" s="933"/>
      <c r="C978" s="933"/>
      <c r="D978" s="933"/>
      <c r="E978" s="933"/>
      <c r="F978" s="933"/>
      <c r="G978" s="933"/>
      <c r="H978" s="933"/>
      <c r="I978" s="933"/>
      <c r="J978" s="933"/>
      <c r="K978" s="933"/>
      <c r="L978" s="933"/>
      <c r="M978" s="933"/>
      <c r="N978" s="933"/>
      <c r="O978" s="933"/>
      <c r="P978" s="933"/>
      <c r="Q978" s="933"/>
      <c r="R978" s="933"/>
      <c r="S978" s="933"/>
      <c r="T978" s="933"/>
      <c r="U978" s="933"/>
      <c r="V978" s="933"/>
      <c r="W978" s="933"/>
      <c r="X978" s="933"/>
      <c r="Y978" s="933"/>
      <c r="Z978" s="933"/>
      <c r="AA978" s="933"/>
      <c r="AB978" s="933"/>
      <c r="AC978" s="933"/>
      <c r="AD978" s="933"/>
      <c r="AE978" s="933"/>
    </row>
    <row r="979" spans="1:31" ht="12.75">
      <c r="A979" s="933"/>
      <c r="B979" s="933"/>
      <c r="C979" s="933"/>
      <c r="D979" s="933"/>
      <c r="E979" s="933"/>
      <c r="F979" s="933"/>
      <c r="G979" s="933"/>
      <c r="H979" s="933"/>
      <c r="I979" s="933"/>
      <c r="J979" s="933"/>
      <c r="K979" s="933"/>
      <c r="L979" s="933"/>
      <c r="M979" s="933"/>
      <c r="N979" s="933"/>
      <c r="O979" s="933"/>
      <c r="P979" s="933"/>
      <c r="Q979" s="933"/>
      <c r="R979" s="933"/>
      <c r="S979" s="933"/>
      <c r="T979" s="933"/>
      <c r="U979" s="933"/>
      <c r="V979" s="933"/>
      <c r="W979" s="933"/>
      <c r="X979" s="933"/>
      <c r="Y979" s="933"/>
      <c r="Z979" s="933"/>
      <c r="AA979" s="933"/>
      <c r="AB979" s="933"/>
      <c r="AC979" s="933"/>
      <c r="AD979" s="933"/>
      <c r="AE979" s="933"/>
    </row>
    <row r="980" spans="1:31" ht="12.75">
      <c r="A980" s="933"/>
      <c r="B980" s="933"/>
      <c r="C980" s="933"/>
      <c r="D980" s="933"/>
      <c r="E980" s="933"/>
      <c r="F980" s="933"/>
      <c r="G980" s="933"/>
      <c r="H980" s="933"/>
      <c r="I980" s="933"/>
      <c r="J980" s="933"/>
      <c r="K980" s="933"/>
      <c r="L980" s="933"/>
      <c r="M980" s="933"/>
      <c r="N980" s="933"/>
      <c r="O980" s="933"/>
      <c r="P980" s="933"/>
      <c r="Q980" s="933"/>
      <c r="R980" s="933"/>
      <c r="S980" s="933"/>
      <c r="T980" s="933"/>
      <c r="U980" s="933"/>
      <c r="V980" s="933"/>
      <c r="W980" s="933"/>
      <c r="X980" s="933"/>
      <c r="Y980" s="933"/>
      <c r="Z980" s="933"/>
      <c r="AA980" s="933"/>
      <c r="AB980" s="933"/>
      <c r="AC980" s="933"/>
      <c r="AD980" s="933"/>
      <c r="AE980" s="933"/>
    </row>
    <row r="981" spans="1:31" ht="12.75">
      <c r="A981" s="933"/>
      <c r="B981" s="933"/>
      <c r="C981" s="933"/>
      <c r="D981" s="933"/>
      <c r="E981" s="933"/>
      <c r="F981" s="933"/>
      <c r="G981" s="933"/>
      <c r="H981" s="933"/>
      <c r="I981" s="933"/>
      <c r="J981" s="933"/>
      <c r="K981" s="933"/>
      <c r="L981" s="933"/>
      <c r="M981" s="933"/>
      <c r="N981" s="933"/>
      <c r="O981" s="933"/>
      <c r="P981" s="933"/>
      <c r="Q981" s="933"/>
      <c r="R981" s="933"/>
      <c r="S981" s="933"/>
      <c r="T981" s="933"/>
      <c r="U981" s="933"/>
      <c r="V981" s="933"/>
      <c r="W981" s="933"/>
      <c r="X981" s="933"/>
      <c r="Y981" s="933"/>
      <c r="Z981" s="933"/>
      <c r="AA981" s="933"/>
      <c r="AB981" s="933"/>
      <c r="AC981" s="933"/>
      <c r="AD981" s="933"/>
      <c r="AE981" s="933"/>
    </row>
    <row r="982" spans="1:31" ht="12.75">
      <c r="A982" s="933"/>
      <c r="B982" s="933"/>
      <c r="C982" s="933"/>
      <c r="D982" s="933"/>
      <c r="E982" s="933"/>
      <c r="F982" s="933"/>
      <c r="G982" s="933"/>
      <c r="H982" s="933"/>
      <c r="I982" s="933"/>
      <c r="J982" s="933"/>
      <c r="K982" s="933"/>
      <c r="L982" s="933"/>
      <c r="M982" s="933"/>
      <c r="N982" s="933"/>
      <c r="O982" s="933"/>
      <c r="P982" s="933"/>
      <c r="Q982" s="933"/>
      <c r="R982" s="933"/>
      <c r="S982" s="933"/>
      <c r="T982" s="933"/>
      <c r="U982" s="933"/>
      <c r="V982" s="933"/>
      <c r="W982" s="933"/>
      <c r="X982" s="933"/>
      <c r="Y982" s="933"/>
      <c r="Z982" s="933"/>
      <c r="AA982" s="933"/>
      <c r="AB982" s="933"/>
      <c r="AC982" s="933"/>
      <c r="AD982" s="933"/>
      <c r="AE982" s="933"/>
    </row>
    <row r="983" spans="1:31" ht="12.75">
      <c r="A983" s="933"/>
      <c r="B983" s="933"/>
      <c r="C983" s="933"/>
      <c r="D983" s="933"/>
      <c r="E983" s="933"/>
      <c r="F983" s="933"/>
      <c r="G983" s="933"/>
      <c r="H983" s="933"/>
      <c r="I983" s="933"/>
      <c r="J983" s="933"/>
      <c r="K983" s="933"/>
      <c r="L983" s="933"/>
      <c r="M983" s="933"/>
      <c r="N983" s="933"/>
      <c r="O983" s="933"/>
      <c r="P983" s="933"/>
      <c r="Q983" s="933"/>
      <c r="R983" s="933"/>
      <c r="S983" s="933"/>
      <c r="T983" s="933"/>
      <c r="U983" s="933"/>
      <c r="V983" s="933"/>
      <c r="W983" s="933"/>
      <c r="X983" s="933"/>
      <c r="Y983" s="933"/>
      <c r="Z983" s="933"/>
      <c r="AA983" s="933"/>
      <c r="AB983" s="933"/>
      <c r="AC983" s="933"/>
      <c r="AD983" s="933"/>
      <c r="AE983" s="933"/>
    </row>
    <row r="984" spans="1:31" ht="12.75">
      <c r="A984" s="933"/>
      <c r="B984" s="933"/>
      <c r="C984" s="933"/>
      <c r="D984" s="933"/>
      <c r="E984" s="933"/>
      <c r="F984" s="933"/>
      <c r="G984" s="933"/>
      <c r="H984" s="933"/>
      <c r="I984" s="933"/>
      <c r="J984" s="933"/>
      <c r="K984" s="933"/>
      <c r="L984" s="933"/>
      <c r="M984" s="933"/>
      <c r="N984" s="933"/>
      <c r="O984" s="933"/>
      <c r="P984" s="933"/>
      <c r="Q984" s="933"/>
      <c r="R984" s="933"/>
      <c r="S984" s="933"/>
      <c r="T984" s="933"/>
      <c r="U984" s="933"/>
      <c r="V984" s="933"/>
      <c r="W984" s="933"/>
      <c r="X984" s="933"/>
      <c r="Y984" s="933"/>
      <c r="Z984" s="933"/>
      <c r="AA984" s="933"/>
      <c r="AB984" s="933"/>
      <c r="AC984" s="933"/>
      <c r="AD984" s="933"/>
      <c r="AE984" s="933"/>
    </row>
    <row r="985" spans="1:31" ht="12.75">
      <c r="A985" s="933"/>
      <c r="B985" s="933"/>
      <c r="C985" s="933"/>
      <c r="D985" s="933"/>
      <c r="E985" s="933"/>
      <c r="F985" s="933"/>
      <c r="G985" s="933"/>
      <c r="H985" s="933"/>
      <c r="I985" s="933"/>
      <c r="J985" s="933"/>
      <c r="K985" s="933"/>
      <c r="L985" s="933"/>
      <c r="M985" s="933"/>
      <c r="N985" s="933"/>
      <c r="O985" s="933"/>
      <c r="P985" s="933"/>
      <c r="Q985" s="933"/>
      <c r="R985" s="933"/>
      <c r="S985" s="933"/>
      <c r="T985" s="933"/>
      <c r="U985" s="933"/>
      <c r="V985" s="933"/>
      <c r="W985" s="933"/>
      <c r="X985" s="933"/>
      <c r="Y985" s="933"/>
      <c r="Z985" s="933"/>
      <c r="AA985" s="933"/>
      <c r="AB985" s="933"/>
      <c r="AC985" s="933"/>
      <c r="AD985" s="933"/>
      <c r="AE985" s="933"/>
    </row>
    <row r="986" spans="1:31" ht="12.75">
      <c r="A986" s="933"/>
      <c r="B986" s="933"/>
      <c r="C986" s="933"/>
      <c r="D986" s="933"/>
      <c r="E986" s="933"/>
      <c r="F986" s="933"/>
      <c r="G986" s="933"/>
      <c r="H986" s="933"/>
      <c r="I986" s="933"/>
      <c r="J986" s="933"/>
      <c r="K986" s="933"/>
      <c r="L986" s="933"/>
      <c r="M986" s="933"/>
      <c r="N986" s="933"/>
      <c r="O986" s="933"/>
      <c r="P986" s="933"/>
      <c r="Q986" s="933"/>
      <c r="R986" s="933"/>
      <c r="S986" s="933"/>
      <c r="T986" s="933"/>
      <c r="U986" s="933"/>
      <c r="V986" s="933"/>
      <c r="W986" s="933"/>
      <c r="X986" s="933"/>
      <c r="Y986" s="933"/>
      <c r="Z986" s="933"/>
      <c r="AA986" s="933"/>
      <c r="AB986" s="933"/>
      <c r="AC986" s="933"/>
      <c r="AD986" s="933"/>
      <c r="AE986" s="933"/>
    </row>
    <row r="987" spans="1:31" ht="12.75">
      <c r="A987" s="933"/>
      <c r="B987" s="933"/>
      <c r="C987" s="933"/>
      <c r="D987" s="933"/>
      <c r="E987" s="933"/>
      <c r="F987" s="933"/>
      <c r="G987" s="933"/>
      <c r="H987" s="933"/>
      <c r="I987" s="933"/>
      <c r="J987" s="933"/>
      <c r="K987" s="933"/>
      <c r="L987" s="933"/>
      <c r="M987" s="933"/>
      <c r="N987" s="933"/>
      <c r="O987" s="933"/>
      <c r="P987" s="933"/>
      <c r="Q987" s="933"/>
      <c r="R987" s="933"/>
      <c r="S987" s="933"/>
      <c r="T987" s="933"/>
      <c r="U987" s="933"/>
      <c r="V987" s="933"/>
      <c r="W987" s="933"/>
      <c r="X987" s="933"/>
      <c r="Y987" s="933"/>
      <c r="Z987" s="933"/>
      <c r="AA987" s="933"/>
      <c r="AB987" s="933"/>
      <c r="AC987" s="933"/>
      <c r="AD987" s="933"/>
      <c r="AE987" s="933"/>
    </row>
    <row r="988" spans="1:31" ht="12.75">
      <c r="A988" s="933"/>
      <c r="B988" s="933"/>
      <c r="C988" s="933"/>
      <c r="D988" s="933"/>
      <c r="E988" s="933"/>
      <c r="F988" s="933"/>
      <c r="G988" s="933"/>
      <c r="H988" s="933"/>
      <c r="I988" s="933"/>
      <c r="J988" s="933"/>
      <c r="K988" s="933"/>
      <c r="L988" s="933"/>
      <c r="M988" s="933"/>
      <c r="N988" s="933"/>
      <c r="O988" s="933"/>
      <c r="P988" s="933"/>
      <c r="Q988" s="933"/>
      <c r="R988" s="933"/>
      <c r="S988" s="933"/>
      <c r="T988" s="933"/>
      <c r="U988" s="933"/>
      <c r="V988" s="933"/>
      <c r="W988" s="933"/>
      <c r="X988" s="933"/>
      <c r="Y988" s="933"/>
      <c r="Z988" s="933"/>
      <c r="AA988" s="933"/>
      <c r="AB988" s="933"/>
      <c r="AC988" s="933"/>
      <c r="AD988" s="933"/>
      <c r="AE988" s="933"/>
    </row>
    <row r="989" spans="1:31" ht="12.75">
      <c r="A989" s="933"/>
      <c r="B989" s="933"/>
      <c r="C989" s="933"/>
      <c r="D989" s="933"/>
      <c r="E989" s="933"/>
      <c r="F989" s="933"/>
      <c r="G989" s="933"/>
      <c r="H989" s="933"/>
      <c r="I989" s="933"/>
      <c r="J989" s="933"/>
      <c r="K989" s="933"/>
      <c r="L989" s="933"/>
      <c r="M989" s="933"/>
      <c r="N989" s="933"/>
      <c r="O989" s="933"/>
      <c r="P989" s="933"/>
      <c r="Q989" s="933"/>
      <c r="R989" s="933"/>
      <c r="S989" s="933"/>
      <c r="T989" s="933"/>
      <c r="U989" s="933"/>
      <c r="V989" s="933"/>
      <c r="W989" s="933"/>
      <c r="X989" s="933"/>
      <c r="Y989" s="933"/>
      <c r="Z989" s="933"/>
      <c r="AA989" s="933"/>
      <c r="AB989" s="933"/>
      <c r="AC989" s="933"/>
      <c r="AD989" s="933"/>
      <c r="AE989" s="933"/>
    </row>
    <row r="990" spans="1:31" ht="12.75">
      <c r="A990" s="933"/>
      <c r="B990" s="933"/>
      <c r="C990" s="933"/>
      <c r="D990" s="933"/>
      <c r="E990" s="933"/>
      <c r="F990" s="933"/>
      <c r="G990" s="933"/>
      <c r="H990" s="933"/>
      <c r="I990" s="933"/>
      <c r="J990" s="933"/>
      <c r="K990" s="933"/>
      <c r="L990" s="933"/>
      <c r="M990" s="933"/>
      <c r="N990" s="933"/>
      <c r="O990" s="933"/>
      <c r="P990" s="933"/>
      <c r="Q990" s="933"/>
      <c r="R990" s="933"/>
      <c r="S990" s="933"/>
      <c r="T990" s="933"/>
      <c r="U990" s="933"/>
      <c r="V990" s="933"/>
      <c r="W990" s="933"/>
      <c r="X990" s="933"/>
      <c r="Y990" s="933"/>
      <c r="Z990" s="933"/>
      <c r="AA990" s="933"/>
      <c r="AB990" s="933"/>
      <c r="AC990" s="933"/>
      <c r="AD990" s="933"/>
      <c r="AE990" s="933"/>
    </row>
    <row r="991" spans="1:31" ht="12.75">
      <c r="A991" s="933"/>
      <c r="B991" s="933"/>
      <c r="C991" s="933"/>
      <c r="D991" s="933"/>
      <c r="E991" s="933"/>
      <c r="F991" s="933"/>
      <c r="G991" s="933"/>
      <c r="H991" s="933"/>
      <c r="I991" s="933"/>
      <c r="J991" s="933"/>
      <c r="K991" s="933"/>
      <c r="L991" s="933"/>
      <c r="M991" s="933"/>
      <c r="N991" s="933"/>
      <c r="O991" s="933"/>
      <c r="P991" s="933"/>
      <c r="Q991" s="933"/>
      <c r="R991" s="933"/>
      <c r="S991" s="933"/>
      <c r="T991" s="933"/>
      <c r="U991" s="933"/>
      <c r="V991" s="933"/>
      <c r="W991" s="933"/>
      <c r="X991" s="933"/>
      <c r="Y991" s="933"/>
      <c r="Z991" s="933"/>
      <c r="AA991" s="933"/>
      <c r="AB991" s="933"/>
      <c r="AC991" s="933"/>
      <c r="AD991" s="933"/>
      <c r="AE991" s="933"/>
    </row>
    <row r="992" spans="1:31" ht="12.75">
      <c r="A992" s="933"/>
      <c r="B992" s="933"/>
      <c r="C992" s="933"/>
      <c r="D992" s="933"/>
      <c r="E992" s="933"/>
      <c r="F992" s="933"/>
      <c r="G992" s="933"/>
      <c r="H992" s="933"/>
      <c r="I992" s="933"/>
      <c r="J992" s="933"/>
      <c r="K992" s="933"/>
      <c r="L992" s="933"/>
      <c r="M992" s="933"/>
      <c r="N992" s="933"/>
      <c r="O992" s="933"/>
      <c r="P992" s="933"/>
      <c r="Q992" s="933"/>
      <c r="R992" s="933"/>
      <c r="S992" s="933"/>
      <c r="T992" s="933"/>
      <c r="U992" s="933"/>
      <c r="V992" s="933"/>
      <c r="W992" s="933"/>
      <c r="X992" s="933"/>
      <c r="Y992" s="933"/>
      <c r="Z992" s="933"/>
      <c r="AA992" s="933"/>
      <c r="AB992" s="933"/>
      <c r="AC992" s="933"/>
      <c r="AD992" s="933"/>
      <c r="AE992" s="933"/>
    </row>
    <row r="993" spans="1:31" ht="12.75">
      <c r="A993" s="933"/>
      <c r="B993" s="933"/>
      <c r="C993" s="933"/>
      <c r="D993" s="933"/>
      <c r="E993" s="933"/>
      <c r="F993" s="933"/>
      <c r="G993" s="933"/>
      <c r="H993" s="933"/>
      <c r="I993" s="933"/>
      <c r="J993" s="933"/>
      <c r="K993" s="933"/>
      <c r="L993" s="933"/>
      <c r="M993" s="933"/>
      <c r="N993" s="933"/>
      <c r="O993" s="933"/>
      <c r="P993" s="933"/>
      <c r="Q993" s="933"/>
      <c r="R993" s="933"/>
      <c r="S993" s="933"/>
      <c r="T993" s="933"/>
      <c r="U993" s="933"/>
      <c r="V993" s="933"/>
      <c r="W993" s="933"/>
      <c r="X993" s="933"/>
      <c r="Y993" s="933"/>
      <c r="Z993" s="933"/>
      <c r="AA993" s="933"/>
      <c r="AB993" s="933"/>
      <c r="AC993" s="933"/>
      <c r="AD993" s="933"/>
      <c r="AE993" s="933"/>
    </row>
    <row r="994" spans="1:31" ht="12.75">
      <c r="A994" s="933"/>
      <c r="B994" s="933"/>
      <c r="C994" s="933"/>
      <c r="D994" s="933"/>
      <c r="E994" s="933"/>
      <c r="F994" s="933"/>
      <c r="G994" s="933"/>
      <c r="H994" s="933"/>
      <c r="I994" s="933"/>
      <c r="J994" s="933"/>
      <c r="K994" s="933"/>
      <c r="L994" s="933"/>
      <c r="M994" s="933"/>
      <c r="N994" s="933"/>
      <c r="O994" s="933"/>
      <c r="P994" s="933"/>
      <c r="Q994" s="933"/>
      <c r="R994" s="933"/>
      <c r="S994" s="933"/>
      <c r="T994" s="933"/>
      <c r="U994" s="933"/>
      <c r="V994" s="933"/>
      <c r="W994" s="933"/>
      <c r="X994" s="933"/>
      <c r="Y994" s="933"/>
      <c r="Z994" s="933"/>
      <c r="AA994" s="933"/>
      <c r="AB994" s="933"/>
      <c r="AC994" s="933"/>
      <c r="AD994" s="933"/>
      <c r="AE994" s="933"/>
    </row>
    <row r="995" spans="1:31" ht="12.75">
      <c r="A995" s="933"/>
      <c r="B995" s="933"/>
      <c r="C995" s="933"/>
      <c r="D995" s="933"/>
      <c r="E995" s="933"/>
      <c r="F995" s="933"/>
      <c r="G995" s="933"/>
      <c r="H995" s="933"/>
      <c r="I995" s="933"/>
      <c r="J995" s="933"/>
      <c r="K995" s="933"/>
      <c r="L995" s="933"/>
      <c r="M995" s="933"/>
      <c r="N995" s="933"/>
      <c r="O995" s="933"/>
      <c r="P995" s="933"/>
      <c r="Q995" s="933"/>
      <c r="R995" s="933"/>
      <c r="S995" s="933"/>
      <c r="T995" s="933"/>
      <c r="U995" s="933"/>
      <c r="V995" s="933"/>
      <c r="W995" s="933"/>
      <c r="X995" s="933"/>
      <c r="Y995" s="933"/>
      <c r="Z995" s="933"/>
      <c r="AA995" s="933"/>
      <c r="AB995" s="933"/>
      <c r="AC995" s="933"/>
      <c r="AD995" s="933"/>
      <c r="AE995" s="933"/>
    </row>
    <row r="996" spans="1:31" ht="12.75">
      <c r="A996" s="933"/>
      <c r="B996" s="933"/>
      <c r="C996" s="933"/>
      <c r="D996" s="933"/>
      <c r="E996" s="933"/>
      <c r="F996" s="933"/>
      <c r="G996" s="933"/>
      <c r="H996" s="933"/>
      <c r="I996" s="933"/>
      <c r="J996" s="933"/>
      <c r="K996" s="933"/>
      <c r="L996" s="933"/>
      <c r="M996" s="933"/>
      <c r="N996" s="933"/>
      <c r="O996" s="933"/>
      <c r="P996" s="933"/>
      <c r="Q996" s="933"/>
      <c r="R996" s="933"/>
      <c r="S996" s="933"/>
      <c r="T996" s="933"/>
      <c r="U996" s="933"/>
      <c r="V996" s="933"/>
      <c r="W996" s="933"/>
      <c r="X996" s="933"/>
      <c r="Y996" s="933"/>
      <c r="Z996" s="933"/>
      <c r="AA996" s="933"/>
      <c r="AB996" s="933"/>
      <c r="AC996" s="933"/>
      <c r="AD996" s="933"/>
      <c r="AE996" s="933"/>
    </row>
    <row r="997" spans="1:31" ht="12.75">
      <c r="A997" s="933"/>
      <c r="B997" s="933"/>
      <c r="C997" s="933"/>
      <c r="D997" s="933"/>
      <c r="E997" s="933"/>
      <c r="F997" s="933"/>
      <c r="G997" s="933"/>
      <c r="H997" s="933"/>
      <c r="I997" s="933"/>
      <c r="J997" s="933"/>
      <c r="K997" s="933"/>
      <c r="L997" s="933"/>
      <c r="M997" s="933"/>
      <c r="N997" s="933"/>
      <c r="O997" s="933"/>
      <c r="P997" s="933"/>
      <c r="Q997" s="933"/>
      <c r="R997" s="933"/>
      <c r="S997" s="933"/>
      <c r="T997" s="933"/>
      <c r="U997" s="933"/>
      <c r="V997" s="933"/>
      <c r="W997" s="933"/>
      <c r="X997" s="933"/>
      <c r="Y997" s="933"/>
      <c r="Z997" s="933"/>
      <c r="AA997" s="933"/>
      <c r="AB997" s="933"/>
      <c r="AC997" s="933"/>
      <c r="AD997" s="933"/>
      <c r="AE997" s="933"/>
    </row>
    <row r="998" spans="1:31" ht="12.75">
      <c r="A998" s="933"/>
      <c r="B998" s="933"/>
      <c r="C998" s="933"/>
      <c r="D998" s="933"/>
      <c r="E998" s="933"/>
      <c r="F998" s="933"/>
      <c r="G998" s="933"/>
      <c r="H998" s="933"/>
      <c r="I998" s="933"/>
      <c r="J998" s="933"/>
      <c r="K998" s="933"/>
      <c r="L998" s="933"/>
      <c r="M998" s="933"/>
      <c r="N998" s="933"/>
      <c r="O998" s="933"/>
      <c r="P998" s="933"/>
      <c r="Q998" s="933"/>
      <c r="R998" s="933"/>
      <c r="S998" s="933"/>
      <c r="T998" s="933"/>
      <c r="U998" s="933"/>
      <c r="V998" s="933"/>
      <c r="W998" s="933"/>
      <c r="X998" s="933"/>
      <c r="Y998" s="933"/>
      <c r="Z998" s="933"/>
      <c r="AA998" s="933"/>
      <c r="AB998" s="933"/>
      <c r="AC998" s="933"/>
      <c r="AD998" s="933"/>
      <c r="AE998" s="933"/>
    </row>
    <row r="999" spans="1:31" ht="12.75">
      <c r="A999" s="933"/>
      <c r="B999" s="933"/>
      <c r="C999" s="933"/>
      <c r="D999" s="933"/>
      <c r="E999" s="933"/>
      <c r="F999" s="933"/>
      <c r="G999" s="933"/>
      <c r="H999" s="933"/>
      <c r="I999" s="933"/>
      <c r="J999" s="933"/>
      <c r="K999" s="933"/>
      <c r="L999" s="933"/>
      <c r="M999" s="933"/>
      <c r="N999" s="933"/>
      <c r="O999" s="933"/>
      <c r="P999" s="933"/>
      <c r="Q999" s="933"/>
      <c r="R999" s="933"/>
      <c r="S999" s="933"/>
      <c r="T999" s="933"/>
      <c r="U999" s="933"/>
      <c r="V999" s="933"/>
      <c r="W999" s="933"/>
      <c r="X999" s="933"/>
      <c r="Y999" s="933"/>
      <c r="Z999" s="933"/>
      <c r="AA999" s="933"/>
      <c r="AB999" s="933"/>
      <c r="AC999" s="933"/>
      <c r="AD999" s="933"/>
      <c r="AE999" s="933"/>
    </row>
    <row r="1000" spans="1:31" ht="12.75">
      <c r="A1000" s="933"/>
      <c r="B1000" s="933"/>
      <c r="C1000" s="933"/>
      <c r="D1000" s="933"/>
      <c r="E1000" s="933"/>
      <c r="F1000" s="933"/>
      <c r="G1000" s="933"/>
      <c r="H1000" s="933"/>
      <c r="I1000" s="933"/>
      <c r="J1000" s="933"/>
      <c r="K1000" s="933"/>
      <c r="L1000" s="933"/>
      <c r="M1000" s="933"/>
      <c r="N1000" s="933"/>
      <c r="O1000" s="933"/>
      <c r="P1000" s="933"/>
      <c r="Q1000" s="933"/>
      <c r="R1000" s="933"/>
      <c r="S1000" s="933"/>
      <c r="T1000" s="933"/>
      <c r="U1000" s="933"/>
      <c r="V1000" s="933"/>
      <c r="W1000" s="933"/>
      <c r="X1000" s="933"/>
      <c r="Y1000" s="933"/>
      <c r="Z1000" s="933"/>
      <c r="AA1000" s="933"/>
      <c r="AB1000" s="933"/>
      <c r="AC1000" s="933"/>
      <c r="AD1000" s="933"/>
      <c r="AE1000" s="933"/>
    </row>
    <row r="1001" spans="1:31" ht="12.75">
      <c r="A1001" s="933"/>
      <c r="B1001" s="933"/>
      <c r="C1001" s="933"/>
      <c r="D1001" s="933"/>
      <c r="E1001" s="933"/>
      <c r="F1001" s="933"/>
      <c r="G1001" s="933"/>
      <c r="H1001" s="933"/>
      <c r="I1001" s="933"/>
      <c r="J1001" s="933"/>
      <c r="K1001" s="933"/>
      <c r="L1001" s="933"/>
      <c r="M1001" s="933"/>
      <c r="N1001" s="933"/>
      <c r="O1001" s="933"/>
      <c r="P1001" s="933"/>
      <c r="Q1001" s="933"/>
      <c r="R1001" s="933"/>
      <c r="S1001" s="933"/>
      <c r="T1001" s="933"/>
      <c r="U1001" s="933"/>
      <c r="V1001" s="933"/>
      <c r="W1001" s="933"/>
      <c r="X1001" s="933"/>
      <c r="Y1001" s="933"/>
      <c r="Z1001" s="933"/>
      <c r="AA1001" s="933"/>
      <c r="AB1001" s="933"/>
      <c r="AC1001" s="933"/>
      <c r="AD1001" s="933"/>
      <c r="AE1001" s="933"/>
    </row>
    <row r="1002" spans="1:31" ht="12.75">
      <c r="A1002" s="933"/>
      <c r="B1002" s="933"/>
      <c r="C1002" s="933"/>
      <c r="D1002" s="933"/>
      <c r="E1002" s="933"/>
      <c r="F1002" s="933"/>
      <c r="G1002" s="933"/>
      <c r="H1002" s="933"/>
      <c r="I1002" s="933"/>
      <c r="J1002" s="933"/>
      <c r="K1002" s="933"/>
      <c r="L1002" s="933"/>
      <c r="M1002" s="933"/>
      <c r="N1002" s="933"/>
      <c r="O1002" s="933"/>
      <c r="P1002" s="933"/>
      <c r="Q1002" s="933"/>
      <c r="R1002" s="933"/>
      <c r="S1002" s="933"/>
      <c r="T1002" s="933"/>
      <c r="U1002" s="933"/>
      <c r="V1002" s="933"/>
      <c r="W1002" s="933"/>
      <c r="X1002" s="933"/>
      <c r="Y1002" s="933"/>
      <c r="Z1002" s="933"/>
      <c r="AA1002" s="933"/>
      <c r="AB1002" s="933"/>
      <c r="AC1002" s="933"/>
      <c r="AD1002" s="933"/>
      <c r="AE1002" s="933"/>
    </row>
    <row r="1003" spans="1:31" ht="12.75">
      <c r="A1003" s="933"/>
      <c r="B1003" s="933"/>
      <c r="C1003" s="933"/>
      <c r="D1003" s="933"/>
      <c r="E1003" s="933"/>
      <c r="F1003" s="933"/>
      <c r="G1003" s="933"/>
      <c r="H1003" s="933"/>
      <c r="I1003" s="933"/>
      <c r="J1003" s="933"/>
      <c r="K1003" s="933"/>
      <c r="L1003" s="933"/>
      <c r="M1003" s="933"/>
      <c r="N1003" s="933"/>
      <c r="O1003" s="933"/>
      <c r="P1003" s="933"/>
      <c r="Q1003" s="933"/>
      <c r="R1003" s="933"/>
      <c r="S1003" s="933"/>
      <c r="T1003" s="933"/>
      <c r="U1003" s="933"/>
      <c r="V1003" s="933"/>
      <c r="W1003" s="933"/>
      <c r="X1003" s="933"/>
      <c r="Y1003" s="933"/>
      <c r="Z1003" s="933"/>
      <c r="AA1003" s="933"/>
      <c r="AB1003" s="933"/>
      <c r="AC1003" s="933"/>
      <c r="AD1003" s="933"/>
      <c r="AE1003" s="933"/>
    </row>
    <row r="1004" spans="1:31" ht="12.75">
      <c r="A1004" s="933"/>
      <c r="B1004" s="933"/>
      <c r="C1004" s="933"/>
      <c r="D1004" s="933"/>
      <c r="E1004" s="933"/>
      <c r="F1004" s="933"/>
      <c r="G1004" s="933"/>
      <c r="H1004" s="933"/>
      <c r="I1004" s="933"/>
      <c r="J1004" s="933"/>
      <c r="K1004" s="933"/>
      <c r="L1004" s="933"/>
      <c r="M1004" s="933"/>
      <c r="N1004" s="933"/>
      <c r="O1004" s="933"/>
      <c r="P1004" s="933"/>
      <c r="Q1004" s="933"/>
      <c r="R1004" s="933"/>
      <c r="S1004" s="933"/>
      <c r="T1004" s="933"/>
      <c r="U1004" s="933"/>
      <c r="V1004" s="933"/>
      <c r="W1004" s="933"/>
      <c r="X1004" s="933"/>
      <c r="Y1004" s="933"/>
      <c r="Z1004" s="933"/>
      <c r="AA1004" s="933"/>
      <c r="AB1004" s="933"/>
      <c r="AC1004" s="933"/>
      <c r="AD1004" s="933"/>
      <c r="AE1004" s="933"/>
    </row>
  </sheetData>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8087-7F62-4AB5-AC99-D6C1F2884DB2}">
  <sheetPr>
    <tabColor rgb="FFFF0000"/>
    <outlinePr summaryBelow="0" summaryRight="0"/>
  </sheetPr>
  <dimension ref="A1:AD1003"/>
  <sheetViews>
    <sheetView workbookViewId="0"/>
  </sheetViews>
  <sheetFormatPr defaultColWidth="12.5703125" defaultRowHeight="15.75" customHeight="1"/>
  <cols>
    <col min="1" max="1" width="18.5703125" style="929" customWidth="1"/>
    <col min="2" max="2" width="15.5703125" style="929" customWidth="1"/>
    <col min="3" max="3" width="14.85546875" style="929" customWidth="1"/>
    <col min="4" max="4" width="15.85546875" style="929" customWidth="1"/>
    <col min="5" max="5" width="18.85546875" style="929" customWidth="1"/>
    <col min="6" max="6" width="21.42578125" style="929" customWidth="1"/>
    <col min="7" max="7" width="16.85546875" style="929" customWidth="1"/>
    <col min="8" max="9" width="14.28515625" style="929" customWidth="1"/>
    <col min="10" max="10" width="19.5703125" style="929" customWidth="1"/>
    <col min="11" max="11" width="16.42578125" style="929" customWidth="1"/>
    <col min="12" max="12" width="13.5703125" style="929" customWidth="1"/>
    <col min="13" max="16384" width="12.5703125" style="929"/>
  </cols>
  <sheetData>
    <row r="1" spans="1:30" ht="15.75" customHeight="1">
      <c r="A1" s="933"/>
      <c r="B1" s="933"/>
      <c r="C1" s="933"/>
      <c r="D1" s="933"/>
      <c r="E1" s="933"/>
      <c r="F1" s="933"/>
      <c r="G1" s="933"/>
      <c r="H1" s="933"/>
      <c r="I1" s="933"/>
      <c r="J1" s="933"/>
      <c r="K1" s="935"/>
      <c r="L1" s="933"/>
      <c r="M1" s="933"/>
      <c r="N1" s="945"/>
      <c r="O1" s="933"/>
      <c r="P1" s="933"/>
      <c r="Q1" s="933"/>
      <c r="R1" s="933"/>
      <c r="S1" s="933"/>
      <c r="T1" s="933"/>
      <c r="U1" s="933"/>
      <c r="V1" s="933"/>
      <c r="W1" s="933"/>
      <c r="X1" s="933"/>
      <c r="Y1" s="933"/>
      <c r="Z1" s="933"/>
      <c r="AA1" s="933"/>
      <c r="AB1" s="933"/>
      <c r="AC1" s="933"/>
      <c r="AD1" s="933"/>
    </row>
    <row r="2" spans="1:30" ht="15.75" customHeight="1">
      <c r="A2" s="933" t="s">
        <v>1977</v>
      </c>
      <c r="B2" s="933"/>
      <c r="C2" s="933"/>
      <c r="D2" s="933"/>
      <c r="E2" s="933"/>
      <c r="F2" s="935" t="s">
        <v>1976</v>
      </c>
      <c r="G2" s="933"/>
      <c r="H2" s="933"/>
      <c r="I2" s="933"/>
      <c r="J2" s="933"/>
      <c r="K2" s="935"/>
      <c r="L2" s="933"/>
      <c r="M2" s="933"/>
      <c r="N2" s="945"/>
      <c r="O2" s="933"/>
      <c r="P2" s="933"/>
      <c r="Q2" s="933"/>
      <c r="R2" s="933"/>
      <c r="S2" s="933"/>
      <c r="T2" s="933"/>
      <c r="U2" s="933"/>
      <c r="V2" s="933"/>
      <c r="W2" s="933"/>
      <c r="X2" s="933"/>
      <c r="Y2" s="933"/>
      <c r="Z2" s="933"/>
      <c r="AA2" s="933"/>
      <c r="AB2" s="933"/>
      <c r="AC2" s="933"/>
      <c r="AD2" s="933"/>
    </row>
    <row r="3" spans="1:30" ht="15.75" customHeight="1">
      <c r="A3" s="933"/>
      <c r="B3" s="933"/>
      <c r="C3" s="933"/>
      <c r="D3" s="933"/>
      <c r="E3" s="933"/>
      <c r="F3" s="933"/>
      <c r="G3" s="933"/>
      <c r="H3" s="933"/>
      <c r="I3" s="933"/>
      <c r="J3" s="933"/>
      <c r="K3" s="935"/>
      <c r="L3" s="933"/>
      <c r="M3" s="933"/>
      <c r="N3" s="945"/>
      <c r="O3" s="933"/>
      <c r="P3" s="933"/>
      <c r="Q3" s="933"/>
      <c r="R3" s="933"/>
      <c r="S3" s="933"/>
      <c r="T3" s="933"/>
      <c r="U3" s="933"/>
      <c r="V3" s="933"/>
      <c r="W3" s="933"/>
      <c r="X3" s="933"/>
      <c r="Y3" s="933"/>
      <c r="Z3" s="933"/>
      <c r="AA3" s="933"/>
      <c r="AB3" s="933"/>
      <c r="AC3" s="933"/>
      <c r="AD3" s="933"/>
    </row>
    <row r="4" spans="1:30" ht="15.75" customHeight="1">
      <c r="A4" s="943" t="s">
        <v>1953</v>
      </c>
      <c r="B4" s="943" t="s">
        <v>1966</v>
      </c>
      <c r="C4" s="943" t="s">
        <v>1965</v>
      </c>
      <c r="D4" s="943" t="s">
        <v>1964</v>
      </c>
      <c r="E4" s="943" t="s">
        <v>1963</v>
      </c>
      <c r="F4" s="943" t="s">
        <v>1962</v>
      </c>
      <c r="G4" s="943" t="s">
        <v>1961</v>
      </c>
      <c r="H4" s="943" t="s">
        <v>1960</v>
      </c>
      <c r="I4" s="943" t="s">
        <v>1959</v>
      </c>
      <c r="J4" s="943" t="s">
        <v>1975</v>
      </c>
      <c r="K4" s="943" t="s">
        <v>1974</v>
      </c>
      <c r="L4" s="943" t="s">
        <v>1956</v>
      </c>
      <c r="M4" s="930"/>
      <c r="N4" s="952"/>
      <c r="O4" s="942"/>
      <c r="P4" s="942"/>
      <c r="Q4" s="942"/>
      <c r="R4" s="942"/>
      <c r="S4" s="942"/>
      <c r="T4" s="942"/>
      <c r="U4" s="942"/>
      <c r="V4" s="942"/>
      <c r="W4" s="942"/>
      <c r="X4" s="942"/>
      <c r="Y4" s="942"/>
      <c r="Z4" s="942"/>
      <c r="AA4" s="942"/>
      <c r="AB4" s="942"/>
      <c r="AC4" s="942"/>
      <c r="AD4" s="942"/>
    </row>
    <row r="5" spans="1:30" ht="15.75" customHeight="1">
      <c r="A5" s="937" t="s">
        <v>1949</v>
      </c>
      <c r="B5" s="946" t="s">
        <v>1930</v>
      </c>
      <c r="C5" s="946" t="s">
        <v>1930</v>
      </c>
      <c r="D5" s="946" t="s">
        <v>1930</v>
      </c>
      <c r="E5" s="946" t="s">
        <v>1930</v>
      </c>
      <c r="F5" s="946" t="s">
        <v>1930</v>
      </c>
      <c r="G5" s="946" t="s">
        <v>1930</v>
      </c>
      <c r="H5" s="946" t="s">
        <v>1930</v>
      </c>
      <c r="I5" s="946" t="s">
        <v>1930</v>
      </c>
      <c r="J5" s="946" t="s">
        <v>1930</v>
      </c>
      <c r="K5" s="946" t="s">
        <v>1930</v>
      </c>
      <c r="L5" s="934" t="s">
        <v>1893</v>
      </c>
      <c r="M5" s="933"/>
      <c r="N5" s="945"/>
      <c r="O5" s="933"/>
      <c r="P5" s="933"/>
      <c r="Q5" s="933"/>
      <c r="R5" s="933"/>
      <c r="S5" s="933"/>
      <c r="T5" s="933"/>
      <c r="U5" s="933"/>
      <c r="V5" s="933"/>
      <c r="W5" s="933"/>
      <c r="X5" s="933"/>
      <c r="Y5" s="933"/>
      <c r="Z5" s="933"/>
      <c r="AA5" s="933"/>
      <c r="AB5" s="933"/>
      <c r="AC5" s="933"/>
      <c r="AD5" s="933"/>
    </row>
    <row r="6" spans="1:30" ht="15.75" customHeight="1">
      <c r="A6" s="937"/>
      <c r="B6" s="935"/>
      <c r="C6" s="935"/>
      <c r="D6" s="935"/>
      <c r="E6" s="935"/>
      <c r="F6" s="935"/>
      <c r="G6" s="935"/>
      <c r="H6" s="935"/>
      <c r="I6" s="935"/>
      <c r="J6" s="935"/>
      <c r="K6" s="935"/>
      <c r="L6" s="933"/>
      <c r="M6" s="933"/>
      <c r="N6" s="945"/>
      <c r="O6" s="933"/>
      <c r="P6" s="933"/>
      <c r="Q6" s="933"/>
      <c r="R6" s="933"/>
      <c r="S6" s="933"/>
      <c r="T6" s="933"/>
      <c r="U6" s="933"/>
      <c r="V6" s="933"/>
      <c r="W6" s="933"/>
      <c r="X6" s="933"/>
      <c r="Y6" s="933"/>
      <c r="Z6" s="933"/>
      <c r="AA6" s="933"/>
      <c r="AB6" s="933"/>
      <c r="AC6" s="933"/>
      <c r="AD6" s="933"/>
    </row>
    <row r="7" spans="1:30" ht="15.75" customHeight="1">
      <c r="A7" s="937" t="s">
        <v>1946</v>
      </c>
      <c r="B7" s="934" t="s">
        <v>1893</v>
      </c>
      <c r="C7" s="934" t="s">
        <v>1893</v>
      </c>
      <c r="D7" s="934" t="s">
        <v>1893</v>
      </c>
      <c r="E7" s="941" t="s">
        <v>1930</v>
      </c>
      <c r="F7" s="938" t="s">
        <v>1941</v>
      </c>
      <c r="G7" s="938" t="s">
        <v>1941</v>
      </c>
      <c r="H7" s="941">
        <v>2</v>
      </c>
      <c r="I7" s="941">
        <v>2</v>
      </c>
      <c r="J7" s="941">
        <v>1</v>
      </c>
      <c r="K7" s="956">
        <v>1</v>
      </c>
      <c r="L7" s="934" t="s">
        <v>1893</v>
      </c>
      <c r="M7" s="933"/>
      <c r="N7" s="945"/>
      <c r="O7" s="933"/>
      <c r="P7" s="933"/>
      <c r="Q7" s="933"/>
      <c r="R7" s="933"/>
      <c r="S7" s="933"/>
      <c r="T7" s="933"/>
      <c r="U7" s="933"/>
      <c r="V7" s="933"/>
      <c r="W7" s="933"/>
      <c r="X7" s="933"/>
      <c r="Y7" s="933"/>
      <c r="Z7" s="933"/>
      <c r="AA7" s="933"/>
      <c r="AB7" s="933"/>
      <c r="AC7" s="933"/>
      <c r="AD7" s="933"/>
    </row>
    <row r="8" spans="1:30" ht="15.75" customHeight="1">
      <c r="A8" s="937"/>
      <c r="B8" s="935"/>
      <c r="C8" s="935"/>
      <c r="D8" s="935"/>
      <c r="E8" s="935"/>
      <c r="F8" s="935"/>
      <c r="G8" s="935"/>
      <c r="H8" s="935"/>
      <c r="I8" s="935"/>
      <c r="J8" s="935"/>
      <c r="K8" s="935"/>
      <c r="L8" s="933"/>
      <c r="M8" s="933"/>
      <c r="N8" s="945"/>
      <c r="O8" s="933"/>
      <c r="P8" s="933"/>
      <c r="Q8" s="933"/>
      <c r="R8" s="933"/>
      <c r="S8" s="933"/>
      <c r="T8" s="933"/>
      <c r="U8" s="933"/>
      <c r="V8" s="933"/>
      <c r="W8" s="933"/>
      <c r="X8" s="933"/>
      <c r="Y8" s="933"/>
      <c r="Z8" s="933"/>
      <c r="AA8" s="933"/>
      <c r="AB8" s="933"/>
      <c r="AC8" s="933"/>
      <c r="AD8" s="933"/>
    </row>
    <row r="9" spans="1:30" ht="15.75" customHeight="1">
      <c r="A9" s="937" t="s">
        <v>1945</v>
      </c>
      <c r="B9" s="934" t="s">
        <v>1893</v>
      </c>
      <c r="C9" s="934" t="s">
        <v>1893</v>
      </c>
      <c r="D9" s="934" t="s">
        <v>1893</v>
      </c>
      <c r="E9" s="934" t="s">
        <v>1893</v>
      </c>
      <c r="F9" s="934" t="s">
        <v>1893</v>
      </c>
      <c r="G9" s="934" t="s">
        <v>1893</v>
      </c>
      <c r="H9" s="934" t="s">
        <v>1893</v>
      </c>
      <c r="I9" s="934" t="s">
        <v>1893</v>
      </c>
      <c r="J9" s="934" t="s">
        <v>1893</v>
      </c>
      <c r="K9" s="941">
        <v>3</v>
      </c>
      <c r="L9" s="934" t="s">
        <v>1893</v>
      </c>
      <c r="M9" s="933"/>
      <c r="N9" s="945"/>
      <c r="O9" s="933"/>
      <c r="P9" s="933"/>
      <c r="Q9" s="933"/>
      <c r="R9" s="933"/>
      <c r="S9" s="933"/>
      <c r="T9" s="933"/>
      <c r="U9" s="933"/>
      <c r="V9" s="933"/>
      <c r="W9" s="933"/>
      <c r="X9" s="933"/>
      <c r="Y9" s="933"/>
      <c r="Z9" s="933"/>
      <c r="AA9" s="933"/>
      <c r="AB9" s="933"/>
      <c r="AC9" s="933"/>
      <c r="AD9" s="933"/>
    </row>
    <row r="10" spans="1:30" ht="15.75" customHeight="1">
      <c r="A10" s="937"/>
      <c r="B10" s="935"/>
      <c r="C10" s="935"/>
      <c r="D10" s="935"/>
      <c r="E10" s="935"/>
      <c r="F10" s="935"/>
      <c r="G10" s="935"/>
      <c r="H10" s="935"/>
      <c r="I10" s="935"/>
      <c r="J10" s="935"/>
      <c r="K10" s="935"/>
      <c r="L10" s="933"/>
      <c r="M10" s="933"/>
      <c r="N10" s="945"/>
      <c r="O10" s="933"/>
      <c r="P10" s="933"/>
      <c r="Q10" s="933"/>
      <c r="R10" s="933"/>
      <c r="S10" s="933"/>
      <c r="T10" s="933"/>
      <c r="U10" s="933"/>
      <c r="V10" s="933"/>
      <c r="W10" s="933"/>
      <c r="X10" s="933"/>
      <c r="Y10" s="933"/>
      <c r="Z10" s="933"/>
      <c r="AA10" s="933"/>
      <c r="AB10" s="933"/>
      <c r="AC10" s="933"/>
      <c r="AD10" s="933"/>
    </row>
    <row r="11" spans="1:30" ht="15.75" customHeight="1">
      <c r="A11" s="937" t="s">
        <v>1944</v>
      </c>
      <c r="B11" s="946" t="s">
        <v>1930</v>
      </c>
      <c r="C11" s="946" t="s">
        <v>1930</v>
      </c>
      <c r="D11" s="946" t="s">
        <v>1930</v>
      </c>
      <c r="E11" s="946" t="s">
        <v>1930</v>
      </c>
      <c r="F11" s="946" t="s">
        <v>1930</v>
      </c>
      <c r="G11" s="946" t="s">
        <v>1930</v>
      </c>
      <c r="H11" s="946" t="s">
        <v>1930</v>
      </c>
      <c r="I11" s="946" t="s">
        <v>1930</v>
      </c>
      <c r="J11" s="946" t="s">
        <v>1930</v>
      </c>
      <c r="K11" s="946" t="s">
        <v>1930</v>
      </c>
      <c r="L11" s="934" t="s">
        <v>1893</v>
      </c>
      <c r="M11" s="933"/>
      <c r="N11" s="945"/>
      <c r="O11" s="933"/>
      <c r="P11" s="933"/>
      <c r="Q11" s="933"/>
      <c r="R11" s="933"/>
      <c r="S11" s="933"/>
      <c r="T11" s="933"/>
      <c r="U11" s="933"/>
      <c r="V11" s="933"/>
      <c r="W11" s="933"/>
      <c r="X11" s="933"/>
      <c r="Y11" s="933"/>
      <c r="Z11" s="933"/>
      <c r="AA11" s="933"/>
      <c r="AB11" s="933"/>
      <c r="AC11" s="933"/>
      <c r="AD11" s="933"/>
    </row>
    <row r="12" spans="1:30" ht="15.75" customHeight="1">
      <c r="A12" s="937"/>
      <c r="B12" s="935"/>
      <c r="C12" s="935"/>
      <c r="D12" s="935"/>
      <c r="E12" s="935"/>
      <c r="F12" s="935"/>
      <c r="G12" s="935"/>
      <c r="H12" s="935"/>
      <c r="I12" s="935"/>
      <c r="J12" s="935"/>
      <c r="K12" s="935"/>
      <c r="L12" s="933"/>
      <c r="M12" s="933"/>
      <c r="N12" s="945"/>
      <c r="O12" s="933"/>
      <c r="P12" s="933"/>
      <c r="Q12" s="933"/>
      <c r="R12" s="933"/>
      <c r="S12" s="933"/>
      <c r="T12" s="933"/>
      <c r="U12" s="933"/>
      <c r="V12" s="933"/>
      <c r="W12" s="933"/>
      <c r="X12" s="933"/>
      <c r="Y12" s="933"/>
      <c r="Z12" s="933"/>
      <c r="AA12" s="933"/>
      <c r="AB12" s="933"/>
      <c r="AC12" s="933"/>
      <c r="AD12" s="933"/>
    </row>
    <row r="13" spans="1:30" ht="15.75" customHeight="1">
      <c r="A13" s="937" t="s">
        <v>1943</v>
      </c>
      <c r="B13" s="934" t="s">
        <v>1893</v>
      </c>
      <c r="C13" s="934" t="s">
        <v>1893</v>
      </c>
      <c r="D13" s="934" t="s">
        <v>1893</v>
      </c>
      <c r="E13" s="938" t="s">
        <v>1941</v>
      </c>
      <c r="F13" s="938" t="s">
        <v>1941</v>
      </c>
      <c r="G13" s="938" t="s">
        <v>1941</v>
      </c>
      <c r="H13" s="941">
        <v>2</v>
      </c>
      <c r="I13" s="941">
        <v>2</v>
      </c>
      <c r="J13" s="938">
        <v>1</v>
      </c>
      <c r="K13" s="956">
        <v>1</v>
      </c>
      <c r="L13" s="934" t="s">
        <v>1893</v>
      </c>
      <c r="M13" s="933"/>
      <c r="N13" s="945"/>
      <c r="O13" s="933"/>
      <c r="P13" s="933"/>
      <c r="Q13" s="933"/>
      <c r="R13" s="933"/>
      <c r="S13" s="933"/>
      <c r="T13" s="933"/>
      <c r="U13" s="933"/>
      <c r="V13" s="933"/>
      <c r="W13" s="933"/>
      <c r="X13" s="933"/>
      <c r="Y13" s="933"/>
      <c r="Z13" s="933"/>
      <c r="AA13" s="933"/>
      <c r="AB13" s="933"/>
      <c r="AC13" s="933"/>
      <c r="AD13" s="933"/>
    </row>
    <row r="14" spans="1:30" ht="15.75" customHeight="1">
      <c r="A14" s="937"/>
      <c r="B14" s="935"/>
      <c r="C14" s="935"/>
      <c r="D14" s="935"/>
      <c r="E14" s="935"/>
      <c r="F14" s="935"/>
      <c r="G14" s="935"/>
      <c r="H14" s="935"/>
      <c r="I14" s="935"/>
      <c r="J14" s="935"/>
      <c r="K14" s="935"/>
      <c r="L14" s="933"/>
      <c r="M14" s="933"/>
      <c r="N14" s="945"/>
      <c r="O14" s="933"/>
      <c r="P14" s="933"/>
      <c r="Q14" s="933"/>
      <c r="R14" s="933"/>
      <c r="S14" s="933"/>
      <c r="T14" s="933"/>
      <c r="U14" s="933"/>
      <c r="V14" s="933"/>
      <c r="W14" s="933"/>
      <c r="X14" s="933"/>
      <c r="Y14" s="933"/>
      <c r="Z14" s="933"/>
      <c r="AA14" s="933"/>
      <c r="AB14" s="933"/>
      <c r="AC14" s="933"/>
      <c r="AD14" s="933"/>
    </row>
    <row r="15" spans="1:30" ht="15.75" customHeight="1">
      <c r="A15" s="937" t="s">
        <v>1942</v>
      </c>
      <c r="B15" s="934" t="s">
        <v>1893</v>
      </c>
      <c r="C15" s="934" t="s">
        <v>1893</v>
      </c>
      <c r="D15" s="934" t="s">
        <v>1893</v>
      </c>
      <c r="E15" s="938" t="s">
        <v>1941</v>
      </c>
      <c r="F15" s="957" t="s">
        <v>1941</v>
      </c>
      <c r="G15" s="934" t="s">
        <v>1893</v>
      </c>
      <c r="H15" s="941">
        <v>2</v>
      </c>
      <c r="I15" s="941">
        <v>2</v>
      </c>
      <c r="J15" s="941">
        <v>1</v>
      </c>
      <c r="K15" s="956">
        <v>1</v>
      </c>
      <c r="L15" s="934" t="s">
        <v>1893</v>
      </c>
      <c r="M15" s="933"/>
      <c r="N15" s="945"/>
      <c r="O15" s="933"/>
      <c r="P15" s="933"/>
      <c r="Q15" s="933"/>
      <c r="R15" s="933"/>
      <c r="S15" s="933"/>
      <c r="T15" s="933"/>
      <c r="U15" s="933"/>
      <c r="V15" s="933"/>
      <c r="W15" s="933"/>
      <c r="X15" s="933"/>
      <c r="Y15" s="933"/>
      <c r="Z15" s="933"/>
      <c r="AA15" s="933"/>
      <c r="AB15" s="933"/>
      <c r="AC15" s="933"/>
      <c r="AD15" s="933"/>
    </row>
    <row r="16" spans="1:30" ht="15.75" customHeight="1">
      <c r="A16" s="937"/>
      <c r="B16" s="935"/>
      <c r="C16" s="935"/>
      <c r="D16" s="935"/>
      <c r="E16" s="935"/>
      <c r="F16" s="935"/>
      <c r="G16" s="935"/>
      <c r="H16" s="935"/>
      <c r="I16" s="935"/>
      <c r="J16" s="935"/>
      <c r="K16" s="955"/>
      <c r="L16" s="933"/>
      <c r="M16" s="933"/>
      <c r="N16" s="945"/>
      <c r="O16" s="933"/>
      <c r="P16" s="933"/>
      <c r="Q16" s="933"/>
      <c r="R16" s="933"/>
      <c r="S16" s="933"/>
      <c r="T16" s="933"/>
      <c r="U16" s="933"/>
      <c r="V16" s="933"/>
      <c r="W16" s="933"/>
      <c r="X16" s="933"/>
      <c r="Y16" s="933"/>
      <c r="Z16" s="933"/>
      <c r="AA16" s="933"/>
      <c r="AB16" s="933"/>
      <c r="AC16" s="933"/>
      <c r="AD16" s="933"/>
    </row>
    <row r="17" spans="1:30" ht="15.75" customHeight="1">
      <c r="A17" s="937" t="s">
        <v>1940</v>
      </c>
      <c r="B17" s="934" t="s">
        <v>1893</v>
      </c>
      <c r="C17" s="934" t="s">
        <v>1893</v>
      </c>
      <c r="D17" s="934" t="s">
        <v>1893</v>
      </c>
      <c r="E17" s="934" t="s">
        <v>1893</v>
      </c>
      <c r="F17" s="934" t="s">
        <v>1893</v>
      </c>
      <c r="G17" s="934" t="s">
        <v>1893</v>
      </c>
      <c r="H17" s="941">
        <v>2</v>
      </c>
      <c r="I17" s="941">
        <v>2</v>
      </c>
      <c r="J17" s="938">
        <v>2</v>
      </c>
      <c r="K17" s="938">
        <v>1</v>
      </c>
      <c r="L17" s="934" t="s">
        <v>1893</v>
      </c>
      <c r="M17" s="933"/>
      <c r="N17" s="945"/>
      <c r="O17" s="933"/>
      <c r="P17" s="933"/>
      <c r="Q17" s="933"/>
      <c r="R17" s="933"/>
      <c r="S17" s="933"/>
      <c r="T17" s="933"/>
      <c r="U17" s="933"/>
      <c r="V17" s="933"/>
      <c r="W17" s="933"/>
      <c r="X17" s="933"/>
      <c r="Y17" s="933"/>
      <c r="Z17" s="933"/>
      <c r="AA17" s="933"/>
      <c r="AB17" s="933"/>
      <c r="AC17" s="933"/>
      <c r="AD17" s="933"/>
    </row>
    <row r="18" spans="1:30" ht="15.75" customHeight="1">
      <c r="A18" s="937"/>
      <c r="B18" s="934"/>
      <c r="C18" s="934"/>
      <c r="D18" s="934"/>
      <c r="E18" s="934"/>
      <c r="F18" s="934"/>
      <c r="G18" s="934"/>
      <c r="H18" s="941"/>
      <c r="I18" s="941"/>
      <c r="J18" s="935"/>
      <c r="K18" s="938"/>
      <c r="L18" s="933"/>
      <c r="M18" s="933"/>
      <c r="N18" s="945"/>
      <c r="O18" s="933"/>
      <c r="P18" s="933"/>
      <c r="Q18" s="933"/>
      <c r="R18" s="933"/>
      <c r="S18" s="933"/>
      <c r="T18" s="933"/>
      <c r="U18" s="933"/>
      <c r="V18" s="933"/>
      <c r="W18" s="933"/>
      <c r="X18" s="933"/>
      <c r="Y18" s="933"/>
      <c r="Z18" s="933"/>
      <c r="AA18" s="933"/>
      <c r="AB18" s="933"/>
      <c r="AC18" s="933"/>
      <c r="AD18" s="933"/>
    </row>
    <row r="19" spans="1:30" ht="15.75" customHeight="1">
      <c r="A19" s="937" t="s">
        <v>1937</v>
      </c>
      <c r="B19" s="934" t="s">
        <v>1893</v>
      </c>
      <c r="C19" s="934" t="s">
        <v>1893</v>
      </c>
      <c r="D19" s="934" t="s">
        <v>1893</v>
      </c>
      <c r="E19" s="934" t="s">
        <v>1893</v>
      </c>
      <c r="F19" s="934" t="s">
        <v>1893</v>
      </c>
      <c r="G19" s="934" t="s">
        <v>1893</v>
      </c>
      <c r="H19" s="934" t="s">
        <v>1893</v>
      </c>
      <c r="I19" s="934" t="s">
        <v>1893</v>
      </c>
      <c r="J19" s="934" t="s">
        <v>1893</v>
      </c>
      <c r="K19" s="941">
        <v>2</v>
      </c>
      <c r="L19" s="934" t="s">
        <v>1893</v>
      </c>
      <c r="M19" s="954"/>
      <c r="N19" s="945"/>
      <c r="O19" s="933"/>
      <c r="P19" s="933"/>
      <c r="Q19" s="933"/>
      <c r="R19" s="933"/>
      <c r="S19" s="933"/>
      <c r="T19" s="933"/>
      <c r="U19" s="933"/>
      <c r="V19" s="933"/>
      <c r="W19" s="933"/>
      <c r="X19" s="933"/>
      <c r="Y19" s="933"/>
      <c r="Z19" s="933"/>
      <c r="AA19" s="933"/>
      <c r="AB19" s="933"/>
      <c r="AC19" s="933"/>
      <c r="AD19" s="933"/>
    </row>
    <row r="20" spans="1:30" ht="15.75" customHeight="1">
      <c r="A20" s="937"/>
      <c r="B20" s="935"/>
      <c r="C20" s="935"/>
      <c r="D20" s="935"/>
      <c r="E20" s="935"/>
      <c r="F20" s="935"/>
      <c r="G20" s="935"/>
      <c r="H20" s="935"/>
      <c r="I20" s="935"/>
      <c r="J20" s="935"/>
      <c r="K20" s="935"/>
      <c r="L20" s="933"/>
      <c r="M20" s="933"/>
      <c r="N20" s="945"/>
      <c r="O20" s="933"/>
      <c r="P20" s="933"/>
      <c r="Q20" s="933"/>
      <c r="R20" s="933"/>
      <c r="S20" s="933"/>
      <c r="T20" s="933"/>
      <c r="U20" s="933"/>
      <c r="V20" s="933"/>
      <c r="W20" s="933"/>
      <c r="X20" s="933"/>
      <c r="Y20" s="933"/>
      <c r="Z20" s="933"/>
      <c r="AA20" s="933"/>
      <c r="AB20" s="933"/>
      <c r="AC20" s="933"/>
      <c r="AD20" s="933"/>
    </row>
    <row r="21" spans="1:30" ht="15.75" customHeight="1">
      <c r="A21" s="948" t="s">
        <v>1936</v>
      </c>
      <c r="B21" s="943" t="s">
        <v>1966</v>
      </c>
      <c r="C21" s="943" t="s">
        <v>1965</v>
      </c>
      <c r="D21" s="943" t="s">
        <v>1964</v>
      </c>
      <c r="E21" s="943" t="s">
        <v>1963</v>
      </c>
      <c r="F21" s="943" t="s">
        <v>1962</v>
      </c>
      <c r="G21" s="943" t="s">
        <v>1961</v>
      </c>
      <c r="H21" s="943" t="s">
        <v>1960</v>
      </c>
      <c r="I21" s="943" t="s">
        <v>1959</v>
      </c>
      <c r="J21" s="943" t="s">
        <v>1958</v>
      </c>
      <c r="K21" s="943" t="s">
        <v>1957</v>
      </c>
      <c r="L21" s="943" t="s">
        <v>1956</v>
      </c>
      <c r="M21" s="942"/>
      <c r="N21" s="952"/>
      <c r="O21" s="942"/>
      <c r="P21" s="942"/>
      <c r="Q21" s="942"/>
      <c r="R21" s="942"/>
      <c r="S21" s="942"/>
      <c r="T21" s="942"/>
      <c r="U21" s="942"/>
      <c r="V21" s="942"/>
      <c r="W21" s="942"/>
      <c r="X21" s="942"/>
      <c r="Y21" s="942"/>
      <c r="Z21" s="942"/>
      <c r="AA21" s="942"/>
      <c r="AB21" s="942"/>
      <c r="AC21" s="942"/>
      <c r="AD21" s="942"/>
    </row>
    <row r="22" spans="1:30" ht="15.75" customHeight="1">
      <c r="A22" s="937" t="s">
        <v>1934</v>
      </c>
      <c r="B22" s="946" t="s">
        <v>1930</v>
      </c>
      <c r="C22" s="946" t="s">
        <v>1930</v>
      </c>
      <c r="D22" s="946" t="s">
        <v>1930</v>
      </c>
      <c r="E22" s="946" t="s">
        <v>1930</v>
      </c>
      <c r="F22" s="946" t="s">
        <v>1930</v>
      </c>
      <c r="G22" s="946" t="s">
        <v>1930</v>
      </c>
      <c r="H22" s="946" t="s">
        <v>1930</v>
      </c>
      <c r="I22" s="946" t="s">
        <v>1930</v>
      </c>
      <c r="J22" s="946" t="s">
        <v>1930</v>
      </c>
      <c r="K22" s="946" t="s">
        <v>1930</v>
      </c>
      <c r="L22" s="933">
        <v>1</v>
      </c>
      <c r="M22" s="933"/>
      <c r="N22" s="945" t="s">
        <v>1973</v>
      </c>
      <c r="O22" s="933"/>
      <c r="P22" s="933"/>
      <c r="Q22" s="933"/>
      <c r="R22" s="933"/>
      <c r="S22" s="933"/>
      <c r="T22" s="933"/>
      <c r="U22" s="933"/>
      <c r="V22" s="933"/>
      <c r="W22" s="933"/>
      <c r="X22" s="933"/>
      <c r="Y22" s="933"/>
      <c r="Z22" s="933"/>
      <c r="AA22" s="933"/>
      <c r="AB22" s="933"/>
      <c r="AC22" s="933"/>
      <c r="AD22" s="933"/>
    </row>
    <row r="23" spans="1:30" ht="15.75" customHeight="1">
      <c r="A23" s="937"/>
      <c r="B23" s="935"/>
      <c r="C23" s="935"/>
      <c r="D23" s="935"/>
      <c r="E23" s="935"/>
      <c r="F23" s="935"/>
      <c r="G23" s="935"/>
      <c r="H23" s="935"/>
      <c r="I23" s="935"/>
      <c r="J23" s="935"/>
      <c r="K23" s="935"/>
      <c r="L23" s="933"/>
      <c r="M23" s="933"/>
      <c r="N23" s="945" t="s">
        <v>1972</v>
      </c>
      <c r="O23" s="933"/>
      <c r="P23" s="933"/>
      <c r="Q23" s="933"/>
      <c r="R23" s="933"/>
      <c r="S23" s="933"/>
      <c r="T23" s="933"/>
      <c r="U23" s="933"/>
      <c r="V23" s="933"/>
      <c r="W23" s="933"/>
      <c r="X23" s="933"/>
      <c r="Y23" s="933"/>
      <c r="Z23" s="933"/>
      <c r="AA23" s="933"/>
      <c r="AB23" s="933"/>
      <c r="AC23" s="933"/>
      <c r="AD23" s="933"/>
    </row>
    <row r="24" spans="1:30" ht="14.25">
      <c r="A24" s="937" t="s">
        <v>1931</v>
      </c>
      <c r="B24" s="946" t="s">
        <v>1930</v>
      </c>
      <c r="C24" s="946" t="s">
        <v>1930</v>
      </c>
      <c r="D24" s="946" t="s">
        <v>1930</v>
      </c>
      <c r="E24" s="946" t="s">
        <v>1930</v>
      </c>
      <c r="F24" s="946" t="s">
        <v>1930</v>
      </c>
      <c r="G24" s="946" t="s">
        <v>1930</v>
      </c>
      <c r="H24" s="946" t="s">
        <v>1930</v>
      </c>
      <c r="I24" s="946" t="s">
        <v>1930</v>
      </c>
      <c r="J24" s="946" t="s">
        <v>1930</v>
      </c>
      <c r="K24" s="946" t="s">
        <v>1930</v>
      </c>
      <c r="L24" s="933">
        <v>1</v>
      </c>
      <c r="M24" s="933"/>
      <c r="N24" s="945" t="s">
        <v>1971</v>
      </c>
      <c r="O24" s="933"/>
      <c r="P24" s="933"/>
      <c r="Q24" s="933"/>
      <c r="R24" s="933"/>
      <c r="S24" s="933"/>
      <c r="T24" s="933"/>
      <c r="U24" s="933"/>
      <c r="V24" s="933"/>
      <c r="W24" s="933"/>
      <c r="X24" s="933"/>
      <c r="Y24" s="933"/>
      <c r="Z24" s="933"/>
      <c r="AA24" s="933"/>
      <c r="AB24" s="933"/>
      <c r="AC24" s="933"/>
      <c r="AD24" s="933"/>
    </row>
    <row r="25" spans="1:30" ht="14.25">
      <c r="A25" s="937"/>
      <c r="B25" s="935"/>
      <c r="C25" s="935"/>
      <c r="D25" s="935"/>
      <c r="E25" s="935"/>
      <c r="F25" s="935"/>
      <c r="G25" s="935"/>
      <c r="H25" s="935"/>
      <c r="I25" s="935"/>
      <c r="J25" s="935"/>
      <c r="K25" s="935"/>
      <c r="L25" s="933"/>
      <c r="M25" s="933"/>
      <c r="N25" s="945" t="s">
        <v>1970</v>
      </c>
      <c r="O25" s="933"/>
      <c r="P25" s="933"/>
      <c r="Q25" s="933"/>
      <c r="R25" s="933"/>
      <c r="S25" s="933"/>
      <c r="T25" s="933"/>
      <c r="U25" s="933"/>
      <c r="V25" s="933"/>
      <c r="W25" s="933"/>
      <c r="X25" s="933"/>
      <c r="Y25" s="933"/>
      <c r="Z25" s="933"/>
      <c r="AA25" s="933"/>
      <c r="AB25" s="933"/>
      <c r="AC25" s="933"/>
      <c r="AD25" s="933"/>
    </row>
    <row r="26" spans="1:30" ht="14.25">
      <c r="A26" s="937" t="s">
        <v>1927</v>
      </c>
      <c r="B26" s="934" t="s">
        <v>1893</v>
      </c>
      <c r="C26" s="934" t="s">
        <v>1893</v>
      </c>
      <c r="D26" s="934" t="s">
        <v>1893</v>
      </c>
      <c r="E26" s="934" t="s">
        <v>1941</v>
      </c>
      <c r="F26" s="934" t="s">
        <v>1941</v>
      </c>
      <c r="G26" s="934" t="s">
        <v>1941</v>
      </c>
      <c r="H26" s="934" t="s">
        <v>1893</v>
      </c>
      <c r="I26" s="934" t="s">
        <v>1893</v>
      </c>
      <c r="J26" s="934" t="s">
        <v>1893</v>
      </c>
      <c r="K26" s="941">
        <v>1</v>
      </c>
      <c r="L26" s="933">
        <v>1</v>
      </c>
      <c r="M26" s="933"/>
      <c r="N26" s="945" t="s">
        <v>1969</v>
      </c>
      <c r="O26" s="933"/>
      <c r="P26" s="933"/>
      <c r="Q26" s="933"/>
      <c r="R26" s="933"/>
      <c r="S26" s="933"/>
      <c r="T26" s="933"/>
      <c r="U26" s="933"/>
      <c r="V26" s="933"/>
      <c r="W26" s="933"/>
      <c r="X26" s="933"/>
      <c r="Y26" s="933"/>
      <c r="Z26" s="933"/>
      <c r="AA26" s="933"/>
      <c r="AB26" s="933"/>
      <c r="AC26" s="933"/>
      <c r="AD26" s="933"/>
    </row>
    <row r="27" spans="1:30" ht="14.25">
      <c r="A27" s="937"/>
      <c r="B27" s="935"/>
      <c r="C27" s="935"/>
      <c r="D27" s="935"/>
      <c r="E27" s="935"/>
      <c r="F27" s="935"/>
      <c r="G27" s="935"/>
      <c r="H27" s="935"/>
      <c r="I27" s="935"/>
      <c r="J27" s="935"/>
      <c r="K27" s="941"/>
      <c r="L27" s="933"/>
      <c r="M27" s="933"/>
      <c r="N27" s="945"/>
      <c r="O27" s="933"/>
      <c r="P27" s="933"/>
      <c r="Q27" s="933"/>
      <c r="R27" s="933"/>
      <c r="S27" s="933"/>
      <c r="T27" s="933"/>
      <c r="U27" s="933"/>
      <c r="V27" s="933"/>
      <c r="W27" s="933"/>
      <c r="X27" s="933"/>
      <c r="Y27" s="933"/>
      <c r="Z27" s="933"/>
      <c r="AA27" s="933"/>
      <c r="AB27" s="933"/>
      <c r="AC27" s="933"/>
      <c r="AD27" s="933"/>
    </row>
    <row r="28" spans="1:30" ht="14.25">
      <c r="A28" s="937" t="s">
        <v>1925</v>
      </c>
      <c r="B28" s="934" t="s">
        <v>1893</v>
      </c>
      <c r="C28" s="934" t="s">
        <v>1893</v>
      </c>
      <c r="D28" s="934" t="s">
        <v>1893</v>
      </c>
      <c r="E28" s="934" t="s">
        <v>1893</v>
      </c>
      <c r="F28" s="934" t="s">
        <v>1893</v>
      </c>
      <c r="G28" s="934" t="s">
        <v>1893</v>
      </c>
      <c r="H28" s="934" t="s">
        <v>1893</v>
      </c>
      <c r="I28" s="934" t="s">
        <v>1893</v>
      </c>
      <c r="J28" s="934" t="s">
        <v>1893</v>
      </c>
      <c r="K28" s="941">
        <v>4</v>
      </c>
      <c r="L28" s="933">
        <v>1</v>
      </c>
      <c r="M28" s="933"/>
      <c r="N28" s="945"/>
      <c r="O28" s="933"/>
      <c r="P28" s="933"/>
      <c r="Q28" s="933"/>
      <c r="R28" s="933"/>
      <c r="S28" s="933"/>
      <c r="T28" s="933"/>
      <c r="U28" s="933"/>
      <c r="V28" s="933"/>
      <c r="W28" s="933"/>
      <c r="X28" s="933"/>
      <c r="Y28" s="933"/>
      <c r="Z28" s="933"/>
      <c r="AA28" s="933"/>
      <c r="AB28" s="933"/>
      <c r="AC28" s="933"/>
      <c r="AD28" s="933"/>
    </row>
    <row r="29" spans="1:30" ht="14.25">
      <c r="A29" s="937"/>
      <c r="B29" s="935"/>
      <c r="C29" s="935"/>
      <c r="D29" s="935"/>
      <c r="E29" s="935"/>
      <c r="F29" s="935"/>
      <c r="G29" s="935"/>
      <c r="H29" s="935"/>
      <c r="I29" s="935"/>
      <c r="J29" s="935"/>
      <c r="K29" s="941"/>
      <c r="L29" s="933"/>
      <c r="M29" s="933"/>
      <c r="N29" s="945"/>
      <c r="O29" s="933"/>
      <c r="P29" s="933"/>
      <c r="Q29" s="933"/>
      <c r="R29" s="933"/>
      <c r="S29" s="933"/>
      <c r="T29" s="933"/>
      <c r="U29" s="933"/>
      <c r="V29" s="933"/>
      <c r="W29" s="933"/>
      <c r="X29" s="933"/>
      <c r="Y29" s="933"/>
      <c r="Z29" s="933"/>
      <c r="AA29" s="933"/>
      <c r="AB29" s="933"/>
      <c r="AC29" s="933"/>
      <c r="AD29" s="933"/>
    </row>
    <row r="30" spans="1:30" ht="14.25">
      <c r="A30" s="937" t="s">
        <v>1924</v>
      </c>
      <c r="B30" s="934" t="s">
        <v>1893</v>
      </c>
      <c r="C30" s="934" t="s">
        <v>1893</v>
      </c>
      <c r="D30" s="934" t="s">
        <v>1893</v>
      </c>
      <c r="E30" s="934" t="s">
        <v>1893</v>
      </c>
      <c r="F30" s="934" t="s">
        <v>1893</v>
      </c>
      <c r="G30" s="934" t="s">
        <v>1893</v>
      </c>
      <c r="H30" s="934" t="s">
        <v>1893</v>
      </c>
      <c r="I30" s="934" t="s">
        <v>1893</v>
      </c>
      <c r="J30" s="934" t="s">
        <v>1893</v>
      </c>
      <c r="K30" s="941">
        <v>5</v>
      </c>
      <c r="L30" s="933">
        <v>1</v>
      </c>
      <c r="M30" s="933"/>
      <c r="N30" s="945"/>
      <c r="O30" s="933"/>
      <c r="P30" s="933"/>
      <c r="Q30" s="933"/>
      <c r="R30" s="933"/>
      <c r="S30" s="933"/>
      <c r="T30" s="933"/>
      <c r="U30" s="933"/>
      <c r="V30" s="933"/>
      <c r="W30" s="933"/>
      <c r="X30" s="933"/>
      <c r="Y30" s="933"/>
      <c r="Z30" s="933"/>
      <c r="AA30" s="933"/>
      <c r="AB30" s="933"/>
      <c r="AC30" s="933"/>
      <c r="AD30" s="933"/>
    </row>
    <row r="31" spans="1:30" ht="14.25">
      <c r="A31" s="937"/>
      <c r="B31" s="935"/>
      <c r="C31" s="935"/>
      <c r="D31" s="935"/>
      <c r="E31" s="935"/>
      <c r="F31" s="935"/>
      <c r="G31" s="935"/>
      <c r="H31" s="935"/>
      <c r="I31" s="935"/>
      <c r="J31" s="935"/>
      <c r="K31" s="941"/>
      <c r="L31" s="933"/>
      <c r="M31" s="933"/>
      <c r="N31" s="945"/>
      <c r="O31" s="933"/>
      <c r="P31" s="933"/>
      <c r="Q31" s="933"/>
      <c r="R31" s="933"/>
      <c r="S31" s="933"/>
      <c r="T31" s="933"/>
      <c r="U31" s="933"/>
      <c r="V31" s="933"/>
      <c r="W31" s="933"/>
      <c r="X31" s="933"/>
      <c r="Y31" s="933"/>
      <c r="Z31" s="933"/>
      <c r="AA31" s="933"/>
      <c r="AB31" s="933"/>
      <c r="AC31" s="933"/>
      <c r="AD31" s="933"/>
    </row>
    <row r="32" spans="1:30" ht="14.25">
      <c r="A32" s="937" t="s">
        <v>1923</v>
      </c>
      <c r="B32" s="934" t="s">
        <v>1893</v>
      </c>
      <c r="C32" s="934" t="s">
        <v>1893</v>
      </c>
      <c r="D32" s="934" t="s">
        <v>1893</v>
      </c>
      <c r="E32" s="934" t="s">
        <v>1893</v>
      </c>
      <c r="F32" s="934" t="s">
        <v>1893</v>
      </c>
      <c r="G32" s="934" t="s">
        <v>1893</v>
      </c>
      <c r="H32" s="934" t="s">
        <v>1893</v>
      </c>
      <c r="I32" s="934" t="s">
        <v>1893</v>
      </c>
      <c r="J32" s="934" t="s">
        <v>1893</v>
      </c>
      <c r="K32" s="941">
        <v>5</v>
      </c>
      <c r="L32" s="933">
        <v>1</v>
      </c>
      <c r="M32" s="933"/>
      <c r="N32" s="945"/>
      <c r="O32" s="933"/>
      <c r="P32" s="933"/>
      <c r="Q32" s="933"/>
      <c r="R32" s="933"/>
      <c r="S32" s="933"/>
      <c r="T32" s="933"/>
      <c r="U32" s="933"/>
      <c r="V32" s="933"/>
      <c r="W32" s="933"/>
      <c r="X32" s="933"/>
      <c r="Y32" s="933"/>
      <c r="Z32" s="933"/>
      <c r="AA32" s="933"/>
      <c r="AB32" s="933"/>
      <c r="AC32" s="933"/>
      <c r="AD32" s="933"/>
    </row>
    <row r="33" spans="1:30" ht="14.25">
      <c r="A33" s="937"/>
      <c r="B33" s="935"/>
      <c r="C33" s="935"/>
      <c r="D33" s="935"/>
      <c r="E33" s="935"/>
      <c r="F33" s="935"/>
      <c r="G33" s="935"/>
      <c r="H33" s="935"/>
      <c r="I33" s="935"/>
      <c r="J33" s="935"/>
      <c r="K33" s="941"/>
      <c r="L33" s="933"/>
      <c r="M33" s="933"/>
      <c r="N33" s="945"/>
      <c r="O33" s="933"/>
      <c r="P33" s="933"/>
      <c r="Q33" s="933"/>
      <c r="R33" s="933"/>
      <c r="S33" s="933"/>
      <c r="T33" s="933"/>
      <c r="U33" s="933"/>
      <c r="V33" s="933"/>
      <c r="W33" s="933"/>
      <c r="X33" s="933"/>
      <c r="Y33" s="933"/>
      <c r="Z33" s="933"/>
      <c r="AA33" s="933"/>
      <c r="AB33" s="933"/>
      <c r="AC33" s="933"/>
      <c r="AD33" s="933"/>
    </row>
    <row r="34" spans="1:30" ht="14.25">
      <c r="A34" s="937" t="s">
        <v>1921</v>
      </c>
      <c r="B34" s="934" t="s">
        <v>1893</v>
      </c>
      <c r="C34" s="934" t="s">
        <v>1893</v>
      </c>
      <c r="D34" s="934" t="s">
        <v>1893</v>
      </c>
      <c r="E34" s="934" t="s">
        <v>1893</v>
      </c>
      <c r="F34" s="934" t="s">
        <v>1893</v>
      </c>
      <c r="G34" s="934" t="s">
        <v>1893</v>
      </c>
      <c r="H34" s="934" t="s">
        <v>1893</v>
      </c>
      <c r="I34" s="934" t="s">
        <v>1893</v>
      </c>
      <c r="J34" s="934" t="s">
        <v>1893</v>
      </c>
      <c r="K34" s="941" t="s">
        <v>1967</v>
      </c>
      <c r="L34" s="933">
        <v>4</v>
      </c>
      <c r="M34" s="933"/>
      <c r="N34" s="945"/>
      <c r="O34" s="933"/>
      <c r="P34" s="933"/>
      <c r="Q34" s="933"/>
      <c r="R34" s="933"/>
      <c r="S34" s="933"/>
      <c r="T34" s="933"/>
      <c r="U34" s="933"/>
      <c r="V34" s="933"/>
      <c r="W34" s="933"/>
      <c r="X34" s="933"/>
      <c r="Y34" s="933"/>
      <c r="Z34" s="933"/>
      <c r="AA34" s="933"/>
      <c r="AB34" s="933"/>
      <c r="AC34" s="933"/>
      <c r="AD34" s="933"/>
    </row>
    <row r="35" spans="1:30" ht="14.25">
      <c r="A35" s="937"/>
      <c r="B35" s="935"/>
      <c r="C35" s="935"/>
      <c r="D35" s="935"/>
      <c r="E35" s="935"/>
      <c r="F35" s="935"/>
      <c r="G35" s="935"/>
      <c r="H35" s="935"/>
      <c r="I35" s="935"/>
      <c r="J35" s="935"/>
      <c r="K35" s="941"/>
      <c r="L35" s="933"/>
      <c r="M35" s="933"/>
      <c r="N35" s="945"/>
      <c r="O35" s="933"/>
      <c r="P35" s="933"/>
      <c r="Q35" s="933"/>
      <c r="R35" s="933"/>
      <c r="S35" s="933"/>
      <c r="T35" s="933"/>
      <c r="U35" s="933"/>
      <c r="V35" s="933"/>
      <c r="W35" s="933"/>
      <c r="X35" s="933"/>
      <c r="Y35" s="933"/>
      <c r="Z35" s="933"/>
      <c r="AA35" s="933"/>
      <c r="AB35" s="933"/>
      <c r="AC35" s="933"/>
      <c r="AD35" s="933"/>
    </row>
    <row r="36" spans="1:30" ht="14.25">
      <c r="A36" s="937" t="s">
        <v>1968</v>
      </c>
      <c r="B36" s="934" t="s">
        <v>1893</v>
      </c>
      <c r="C36" s="934" t="s">
        <v>1893</v>
      </c>
      <c r="D36" s="934" t="s">
        <v>1893</v>
      </c>
      <c r="E36" s="934" t="s">
        <v>1893</v>
      </c>
      <c r="F36" s="934" t="s">
        <v>1893</v>
      </c>
      <c r="G36" s="934" t="s">
        <v>1893</v>
      </c>
      <c r="H36" s="934" t="s">
        <v>1893</v>
      </c>
      <c r="I36" s="934" t="s">
        <v>1893</v>
      </c>
      <c r="J36" s="934" t="s">
        <v>1893</v>
      </c>
      <c r="K36" s="941" t="s">
        <v>1967</v>
      </c>
      <c r="L36" s="933">
        <v>4</v>
      </c>
      <c r="M36" s="933"/>
      <c r="N36" s="945"/>
      <c r="O36" s="933"/>
      <c r="P36" s="933"/>
      <c r="Q36" s="933"/>
      <c r="R36" s="933"/>
      <c r="S36" s="933"/>
      <c r="T36" s="933"/>
      <c r="U36" s="933"/>
      <c r="V36" s="933"/>
      <c r="W36" s="933"/>
      <c r="X36" s="933"/>
      <c r="Y36" s="933"/>
      <c r="Z36" s="933"/>
      <c r="AA36" s="933"/>
      <c r="AB36" s="933"/>
      <c r="AC36" s="933"/>
      <c r="AD36" s="933"/>
    </row>
    <row r="37" spans="1:30" ht="12.75">
      <c r="A37" s="953"/>
      <c r="B37" s="935"/>
      <c r="C37" s="935"/>
      <c r="D37" s="934"/>
      <c r="E37" s="934"/>
      <c r="F37" s="935"/>
      <c r="G37" s="935"/>
      <c r="H37" s="935"/>
      <c r="I37" s="935"/>
      <c r="J37" s="935"/>
      <c r="K37" s="935"/>
      <c r="L37" s="933"/>
      <c r="M37" s="933"/>
      <c r="N37" s="945"/>
      <c r="O37" s="933"/>
      <c r="P37" s="933"/>
      <c r="Q37" s="933"/>
      <c r="R37" s="933"/>
      <c r="S37" s="933"/>
      <c r="T37" s="933"/>
      <c r="U37" s="933"/>
      <c r="V37" s="933"/>
      <c r="W37" s="933"/>
      <c r="X37" s="933"/>
      <c r="Y37" s="933"/>
      <c r="Z37" s="933"/>
      <c r="AA37" s="933"/>
      <c r="AB37" s="933"/>
      <c r="AC37" s="933"/>
      <c r="AD37" s="933"/>
    </row>
    <row r="38" spans="1:30" ht="12.75">
      <c r="A38" s="943" t="s">
        <v>1917</v>
      </c>
      <c r="B38" s="943" t="s">
        <v>1966</v>
      </c>
      <c r="C38" s="943" t="s">
        <v>1965</v>
      </c>
      <c r="D38" s="943" t="s">
        <v>1964</v>
      </c>
      <c r="E38" s="943" t="s">
        <v>1963</v>
      </c>
      <c r="F38" s="943" t="s">
        <v>1962</v>
      </c>
      <c r="G38" s="943" t="s">
        <v>1961</v>
      </c>
      <c r="H38" s="943" t="s">
        <v>1960</v>
      </c>
      <c r="I38" s="943" t="s">
        <v>1959</v>
      </c>
      <c r="J38" s="943" t="s">
        <v>1958</v>
      </c>
      <c r="K38" s="943" t="s">
        <v>1957</v>
      </c>
      <c r="L38" s="943" t="s">
        <v>1956</v>
      </c>
      <c r="M38" s="942"/>
      <c r="N38" s="952"/>
      <c r="O38" s="942"/>
      <c r="P38" s="942"/>
      <c r="Q38" s="942"/>
      <c r="R38" s="942"/>
      <c r="S38" s="942"/>
      <c r="T38" s="942"/>
      <c r="U38" s="942"/>
      <c r="V38" s="942"/>
      <c r="W38" s="942"/>
      <c r="X38" s="942"/>
      <c r="Y38" s="942"/>
      <c r="Z38" s="942"/>
      <c r="AA38" s="942"/>
      <c r="AB38" s="942"/>
      <c r="AC38" s="942"/>
      <c r="AD38" s="942"/>
    </row>
    <row r="39" spans="1:30" ht="14.25">
      <c r="A39" s="939" t="s">
        <v>1901</v>
      </c>
      <c r="B39" s="935"/>
      <c r="C39" s="935"/>
      <c r="D39" s="932"/>
      <c r="E39" s="932"/>
      <c r="F39" s="935"/>
      <c r="G39" s="935"/>
      <c r="H39" s="935"/>
      <c r="I39" s="935"/>
      <c r="J39" s="935"/>
      <c r="K39" s="935"/>
      <c r="L39" s="933"/>
      <c r="M39" s="933"/>
      <c r="N39" s="945"/>
      <c r="O39" s="933"/>
      <c r="P39" s="933"/>
      <c r="Q39" s="933"/>
      <c r="R39" s="933"/>
      <c r="S39" s="933"/>
      <c r="T39" s="933"/>
      <c r="U39" s="933"/>
      <c r="V39" s="933"/>
      <c r="W39" s="933"/>
      <c r="X39" s="933"/>
      <c r="Y39" s="933"/>
      <c r="Z39" s="933"/>
      <c r="AA39" s="933"/>
      <c r="AB39" s="933"/>
      <c r="AC39" s="933"/>
      <c r="AD39" s="933"/>
    </row>
    <row r="40" spans="1:30" ht="14.25">
      <c r="A40" s="940" t="s">
        <v>1897</v>
      </c>
      <c r="B40" s="934" t="s">
        <v>1893</v>
      </c>
      <c r="C40" s="934" t="s">
        <v>1893</v>
      </c>
      <c r="D40" s="934" t="s">
        <v>1893</v>
      </c>
      <c r="E40" s="934" t="s">
        <v>1893</v>
      </c>
      <c r="F40" s="934" t="s">
        <v>1893</v>
      </c>
      <c r="G40" s="934" t="s">
        <v>1893</v>
      </c>
      <c r="H40" s="934" t="s">
        <v>1893</v>
      </c>
      <c r="I40" s="934" t="s">
        <v>1893</v>
      </c>
      <c r="J40" s="934" t="s">
        <v>1893</v>
      </c>
      <c r="K40" s="935">
        <v>48</v>
      </c>
      <c r="L40" s="934" t="s">
        <v>1893</v>
      </c>
      <c r="M40" s="933"/>
      <c r="N40" s="945"/>
      <c r="O40" s="933"/>
      <c r="P40" s="933"/>
      <c r="Q40" s="933"/>
      <c r="R40" s="933"/>
      <c r="S40" s="933"/>
      <c r="T40" s="933"/>
      <c r="U40" s="933"/>
      <c r="V40" s="933"/>
      <c r="W40" s="933"/>
      <c r="X40" s="933"/>
      <c r="Y40" s="933"/>
      <c r="Z40" s="933"/>
      <c r="AA40" s="933"/>
      <c r="AB40" s="933"/>
      <c r="AC40" s="933"/>
      <c r="AD40" s="933"/>
    </row>
    <row r="41" spans="1:30" ht="14.25">
      <c r="A41" s="940"/>
      <c r="B41" s="935"/>
      <c r="C41" s="935"/>
      <c r="D41" s="935"/>
      <c r="E41" s="935"/>
      <c r="F41" s="935"/>
      <c r="G41" s="935"/>
      <c r="H41" s="935"/>
      <c r="I41" s="935"/>
      <c r="J41" s="935"/>
      <c r="K41" s="935"/>
      <c r="L41" s="933"/>
      <c r="M41" s="933"/>
      <c r="N41" s="945"/>
      <c r="O41" s="933"/>
      <c r="P41" s="933"/>
      <c r="Q41" s="933"/>
      <c r="R41" s="933"/>
      <c r="S41" s="933"/>
      <c r="T41" s="933"/>
      <c r="U41" s="933"/>
      <c r="V41" s="933"/>
      <c r="W41" s="933"/>
      <c r="X41" s="933"/>
      <c r="Y41" s="933"/>
      <c r="Z41" s="933"/>
      <c r="AA41" s="933"/>
      <c r="AB41" s="933"/>
      <c r="AC41" s="933"/>
      <c r="AD41" s="933"/>
    </row>
    <row r="42" spans="1:30" ht="14.25">
      <c r="A42" s="940" t="s">
        <v>1896</v>
      </c>
      <c r="B42" s="934" t="s">
        <v>1893</v>
      </c>
      <c r="C42" s="934" t="s">
        <v>1893</v>
      </c>
      <c r="D42" s="934" t="s">
        <v>1893</v>
      </c>
      <c r="E42" s="934" t="s">
        <v>1893</v>
      </c>
      <c r="F42" s="934" t="s">
        <v>1893</v>
      </c>
      <c r="G42" s="934" t="s">
        <v>1893</v>
      </c>
      <c r="H42" s="934" t="s">
        <v>1893</v>
      </c>
      <c r="I42" s="934" t="s">
        <v>1893</v>
      </c>
      <c r="J42" s="934" t="s">
        <v>1893</v>
      </c>
      <c r="K42" s="935"/>
      <c r="L42" s="934" t="s">
        <v>1893</v>
      </c>
      <c r="M42" s="933"/>
      <c r="N42" s="945"/>
      <c r="O42" s="933"/>
      <c r="P42" s="933"/>
      <c r="Q42" s="933"/>
      <c r="R42" s="933"/>
      <c r="S42" s="933"/>
      <c r="T42" s="933"/>
      <c r="U42" s="933"/>
      <c r="V42" s="933"/>
      <c r="W42" s="933"/>
      <c r="X42" s="933"/>
      <c r="Y42" s="933"/>
      <c r="Z42" s="933"/>
      <c r="AA42" s="933"/>
      <c r="AB42" s="933"/>
      <c r="AC42" s="933"/>
      <c r="AD42" s="933"/>
    </row>
    <row r="43" spans="1:30" ht="14.25">
      <c r="A43" s="940"/>
      <c r="B43" s="935"/>
      <c r="C43" s="935"/>
      <c r="D43" s="935"/>
      <c r="E43" s="934"/>
      <c r="F43" s="935"/>
      <c r="G43" s="935"/>
      <c r="H43" s="935"/>
      <c r="I43" s="935"/>
      <c r="J43" s="935"/>
      <c r="K43" s="935"/>
      <c r="L43" s="933"/>
      <c r="M43" s="933"/>
      <c r="N43" s="945"/>
      <c r="O43" s="933"/>
      <c r="P43" s="933"/>
      <c r="Q43" s="933"/>
      <c r="R43" s="933"/>
      <c r="S43" s="933"/>
      <c r="T43" s="933"/>
      <c r="U43" s="933"/>
      <c r="V43" s="933"/>
      <c r="W43" s="933"/>
      <c r="X43" s="933"/>
      <c r="Y43" s="933"/>
      <c r="Z43" s="933"/>
      <c r="AA43" s="933"/>
      <c r="AB43" s="933"/>
      <c r="AC43" s="933"/>
      <c r="AD43" s="933"/>
    </row>
    <row r="44" spans="1:30" ht="14.25">
      <c r="A44" s="940" t="s">
        <v>1900</v>
      </c>
      <c r="B44" s="934" t="s">
        <v>1893</v>
      </c>
      <c r="C44" s="934" t="s">
        <v>1893</v>
      </c>
      <c r="D44" s="934" t="s">
        <v>1893</v>
      </c>
      <c r="E44" s="934" t="s">
        <v>1893</v>
      </c>
      <c r="F44" s="934" t="s">
        <v>1893</v>
      </c>
      <c r="G44" s="934" t="s">
        <v>1893</v>
      </c>
      <c r="H44" s="934" t="s">
        <v>1893</v>
      </c>
      <c r="I44" s="934" t="s">
        <v>1893</v>
      </c>
      <c r="J44" s="934" t="s">
        <v>1893</v>
      </c>
      <c r="K44" s="935">
        <v>18</v>
      </c>
      <c r="L44" s="934" t="s">
        <v>1893</v>
      </c>
      <c r="M44" s="933"/>
      <c r="N44" s="945"/>
      <c r="O44" s="933"/>
      <c r="P44" s="933"/>
      <c r="Q44" s="933"/>
      <c r="R44" s="933"/>
      <c r="S44" s="933"/>
      <c r="T44" s="933"/>
      <c r="U44" s="933"/>
      <c r="V44" s="933"/>
      <c r="W44" s="933"/>
      <c r="X44" s="933"/>
      <c r="Y44" s="933"/>
      <c r="Z44" s="933"/>
      <c r="AA44" s="933"/>
      <c r="AB44" s="933"/>
      <c r="AC44" s="933"/>
      <c r="AD44" s="933"/>
    </row>
    <row r="45" spans="1:30" ht="14.25">
      <c r="A45" s="940"/>
      <c r="B45" s="935"/>
      <c r="C45" s="935"/>
      <c r="D45" s="935"/>
      <c r="E45" s="935"/>
      <c r="F45" s="935"/>
      <c r="G45" s="935"/>
      <c r="H45" s="935"/>
      <c r="I45" s="935"/>
      <c r="J45" s="935"/>
      <c r="K45" s="935"/>
      <c r="L45" s="933"/>
      <c r="M45" s="933"/>
      <c r="N45" s="945"/>
      <c r="O45" s="933"/>
      <c r="P45" s="933"/>
      <c r="Q45" s="933"/>
      <c r="R45" s="933"/>
      <c r="S45" s="933"/>
      <c r="T45" s="933"/>
      <c r="U45" s="933"/>
      <c r="V45" s="933"/>
      <c r="W45" s="933"/>
      <c r="X45" s="933"/>
      <c r="Y45" s="933"/>
      <c r="Z45" s="933"/>
      <c r="AA45" s="933"/>
      <c r="AB45" s="933"/>
      <c r="AC45" s="933"/>
      <c r="AD45" s="933"/>
    </row>
    <row r="46" spans="1:30" ht="14.25">
      <c r="A46" s="939" t="s">
        <v>1898</v>
      </c>
      <c r="B46" s="932"/>
      <c r="C46" s="932"/>
      <c r="D46" s="932"/>
      <c r="E46" s="934"/>
      <c r="F46" s="932"/>
      <c r="G46" s="932"/>
      <c r="H46" s="932"/>
      <c r="I46" s="932"/>
      <c r="J46" s="932"/>
      <c r="K46" s="935"/>
      <c r="M46" s="933"/>
      <c r="N46" s="945"/>
      <c r="O46" s="933"/>
      <c r="P46" s="933"/>
      <c r="Q46" s="933"/>
      <c r="R46" s="933"/>
      <c r="S46" s="933"/>
      <c r="T46" s="933"/>
      <c r="U46" s="933"/>
      <c r="V46" s="933"/>
      <c r="W46" s="933"/>
      <c r="X46" s="933"/>
      <c r="Y46" s="933"/>
      <c r="Z46" s="933"/>
      <c r="AA46" s="933"/>
      <c r="AB46" s="933"/>
      <c r="AC46" s="933"/>
      <c r="AD46" s="933"/>
    </row>
    <row r="47" spans="1:30" ht="14.25">
      <c r="A47" s="937" t="s">
        <v>1897</v>
      </c>
      <c r="B47" s="934" t="s">
        <v>1893</v>
      </c>
      <c r="C47" s="934" t="s">
        <v>1893</v>
      </c>
      <c r="D47" s="934" t="s">
        <v>1893</v>
      </c>
      <c r="E47" s="934" t="s">
        <v>1893</v>
      </c>
      <c r="F47" s="934" t="s">
        <v>1893</v>
      </c>
      <c r="G47" s="934" t="s">
        <v>1893</v>
      </c>
      <c r="H47" s="934" t="s">
        <v>1893</v>
      </c>
      <c r="I47" s="934" t="s">
        <v>1893</v>
      </c>
      <c r="J47" s="934" t="s">
        <v>1893</v>
      </c>
      <c r="K47" s="935"/>
      <c r="L47" s="934" t="s">
        <v>1893</v>
      </c>
      <c r="M47" s="933"/>
      <c r="N47" s="945"/>
      <c r="O47" s="933"/>
      <c r="P47" s="933"/>
      <c r="Q47" s="933"/>
      <c r="R47" s="933"/>
      <c r="S47" s="933"/>
      <c r="T47" s="933"/>
      <c r="U47" s="933"/>
      <c r="V47" s="933"/>
      <c r="W47" s="933"/>
      <c r="X47" s="933"/>
      <c r="Y47" s="933"/>
      <c r="Z47" s="933"/>
      <c r="AA47" s="933"/>
      <c r="AB47" s="933"/>
      <c r="AC47" s="933"/>
      <c r="AD47" s="933"/>
    </row>
    <row r="48" spans="1:30" ht="14.25">
      <c r="A48" s="937"/>
      <c r="B48" s="935"/>
      <c r="C48" s="935"/>
      <c r="D48" s="935"/>
      <c r="E48" s="934"/>
      <c r="F48" s="935"/>
      <c r="G48" s="935"/>
      <c r="H48" s="935"/>
      <c r="I48" s="935"/>
      <c r="J48" s="935"/>
      <c r="K48" s="935"/>
      <c r="L48" s="933"/>
      <c r="M48" s="933"/>
      <c r="N48" s="945"/>
      <c r="O48" s="933"/>
      <c r="P48" s="933"/>
      <c r="Q48" s="933"/>
      <c r="R48" s="933"/>
      <c r="S48" s="933"/>
      <c r="T48" s="933"/>
      <c r="U48" s="933"/>
      <c r="V48" s="933"/>
      <c r="W48" s="933"/>
      <c r="X48" s="933"/>
      <c r="Y48" s="933"/>
      <c r="Z48" s="933"/>
      <c r="AA48" s="933"/>
      <c r="AB48" s="933"/>
      <c r="AC48" s="933"/>
      <c r="AD48" s="933"/>
    </row>
    <row r="49" spans="1:30" ht="14.25">
      <c r="A49" s="937" t="s">
        <v>1896</v>
      </c>
      <c r="B49" s="934" t="s">
        <v>1893</v>
      </c>
      <c r="C49" s="934" t="s">
        <v>1893</v>
      </c>
      <c r="D49" s="934" t="s">
        <v>1893</v>
      </c>
      <c r="E49" s="934" t="s">
        <v>1893</v>
      </c>
      <c r="F49" s="934" t="s">
        <v>1893</v>
      </c>
      <c r="G49" s="934" t="s">
        <v>1893</v>
      </c>
      <c r="H49" s="934" t="s">
        <v>1893</v>
      </c>
      <c r="I49" s="934" t="s">
        <v>1893</v>
      </c>
      <c r="J49" s="934" t="s">
        <v>1893</v>
      </c>
      <c r="K49" s="935"/>
      <c r="L49" s="934" t="s">
        <v>1893</v>
      </c>
      <c r="M49" s="933"/>
      <c r="N49" s="945"/>
      <c r="O49" s="933"/>
      <c r="P49" s="933"/>
      <c r="Q49" s="933"/>
      <c r="R49" s="933"/>
      <c r="S49" s="933"/>
      <c r="T49" s="933"/>
      <c r="U49" s="933"/>
      <c r="V49" s="933"/>
      <c r="W49" s="933"/>
      <c r="X49" s="933"/>
      <c r="Y49" s="933"/>
      <c r="Z49" s="933"/>
      <c r="AA49" s="933"/>
      <c r="AB49" s="933"/>
      <c r="AC49" s="933"/>
      <c r="AD49" s="933"/>
    </row>
    <row r="50" spans="1:30" ht="14.25">
      <c r="A50" s="937"/>
      <c r="B50" s="935"/>
      <c r="C50" s="935"/>
      <c r="D50" s="935"/>
      <c r="E50" s="932"/>
      <c r="F50" s="935"/>
      <c r="G50" s="935"/>
      <c r="H50" s="935"/>
      <c r="I50" s="935"/>
      <c r="J50" s="935"/>
      <c r="K50" s="935"/>
      <c r="L50" s="933"/>
      <c r="M50" s="933"/>
      <c r="N50" s="945"/>
      <c r="O50" s="933"/>
      <c r="P50" s="933"/>
      <c r="Q50" s="933"/>
      <c r="R50" s="933"/>
      <c r="S50" s="933"/>
      <c r="T50" s="933"/>
      <c r="U50" s="933"/>
      <c r="V50" s="933"/>
      <c r="W50" s="933"/>
      <c r="X50" s="933"/>
      <c r="Y50" s="933"/>
      <c r="Z50" s="933"/>
      <c r="AA50" s="933"/>
      <c r="AB50" s="933"/>
      <c r="AC50" s="933"/>
      <c r="AD50" s="933"/>
    </row>
    <row r="51" spans="1:30" ht="14.25">
      <c r="A51" s="936" t="s">
        <v>1894</v>
      </c>
      <c r="B51" s="934" t="s">
        <v>1893</v>
      </c>
      <c r="C51" s="934" t="s">
        <v>1893</v>
      </c>
      <c r="D51" s="934" t="s">
        <v>1893</v>
      </c>
      <c r="E51" s="934" t="s">
        <v>1893</v>
      </c>
      <c r="F51" s="934" t="s">
        <v>1893</v>
      </c>
      <c r="G51" s="934" t="s">
        <v>1893</v>
      </c>
      <c r="H51" s="934" t="s">
        <v>1893</v>
      </c>
      <c r="I51" s="934" t="s">
        <v>1893</v>
      </c>
      <c r="J51" s="934" t="s">
        <v>1893</v>
      </c>
      <c r="K51" s="935"/>
      <c r="L51" s="934" t="s">
        <v>1893</v>
      </c>
      <c r="M51" s="933"/>
      <c r="N51" s="945"/>
      <c r="O51" s="933"/>
      <c r="P51" s="933"/>
      <c r="Q51" s="933"/>
      <c r="R51" s="933"/>
      <c r="S51" s="933"/>
      <c r="T51" s="933"/>
      <c r="U51" s="933"/>
      <c r="V51" s="933"/>
      <c r="W51" s="933"/>
      <c r="X51" s="933"/>
      <c r="Y51" s="933"/>
      <c r="Z51" s="933"/>
      <c r="AA51" s="933"/>
      <c r="AB51" s="933"/>
      <c r="AC51" s="933"/>
      <c r="AD51" s="933"/>
    </row>
    <row r="52" spans="1:30" ht="12.75">
      <c r="A52" s="933"/>
      <c r="B52" s="933"/>
      <c r="C52" s="933"/>
      <c r="F52" s="933"/>
      <c r="G52" s="933"/>
      <c r="H52" s="933"/>
      <c r="I52" s="933"/>
      <c r="J52" s="933"/>
      <c r="K52" s="935"/>
      <c r="L52" s="933"/>
      <c r="M52" s="933"/>
      <c r="N52" s="945"/>
      <c r="O52" s="933"/>
      <c r="P52" s="933"/>
      <c r="Q52" s="933"/>
      <c r="R52" s="933"/>
      <c r="S52" s="933"/>
      <c r="T52" s="933"/>
      <c r="U52" s="933"/>
      <c r="V52" s="933"/>
      <c r="W52" s="933"/>
      <c r="X52" s="933"/>
      <c r="Y52" s="933"/>
      <c r="Z52" s="933"/>
      <c r="AA52" s="933"/>
      <c r="AB52" s="933"/>
      <c r="AC52" s="933"/>
      <c r="AD52" s="933"/>
    </row>
    <row r="53" spans="1:30" ht="12.75">
      <c r="A53" s="933"/>
      <c r="B53" s="933"/>
      <c r="C53" s="933"/>
      <c r="F53" s="933"/>
      <c r="G53" s="933"/>
      <c r="H53" s="933"/>
      <c r="I53" s="933"/>
      <c r="J53" s="933"/>
      <c r="K53" s="935"/>
      <c r="L53" s="934"/>
      <c r="M53" s="933"/>
      <c r="N53" s="945"/>
      <c r="O53" s="933"/>
      <c r="P53" s="933"/>
      <c r="Q53" s="933"/>
      <c r="R53" s="933"/>
      <c r="S53" s="933"/>
      <c r="T53" s="933"/>
      <c r="U53" s="933"/>
      <c r="V53" s="933"/>
      <c r="W53" s="933"/>
      <c r="X53" s="933"/>
      <c r="Y53" s="933"/>
      <c r="Z53" s="933"/>
      <c r="AA53" s="933"/>
      <c r="AB53" s="933"/>
      <c r="AC53" s="933"/>
      <c r="AD53" s="933"/>
    </row>
    <row r="54" spans="1:30" ht="12.75">
      <c r="A54" s="933"/>
      <c r="B54" s="933"/>
      <c r="C54" s="933"/>
      <c r="F54" s="933"/>
      <c r="G54" s="933"/>
      <c r="H54" s="933"/>
      <c r="I54" s="933"/>
      <c r="J54" s="933"/>
      <c r="K54" s="935"/>
      <c r="L54" s="933"/>
      <c r="M54" s="933"/>
      <c r="N54" s="945"/>
      <c r="O54" s="933"/>
      <c r="P54" s="933"/>
      <c r="Q54" s="933"/>
      <c r="R54" s="933"/>
      <c r="S54" s="933"/>
      <c r="T54" s="933"/>
      <c r="U54" s="933"/>
      <c r="V54" s="933"/>
      <c r="W54" s="933"/>
      <c r="X54" s="933"/>
      <c r="Y54" s="933"/>
      <c r="Z54" s="933"/>
      <c r="AA54" s="933"/>
      <c r="AB54" s="933"/>
      <c r="AC54" s="933"/>
      <c r="AD54" s="933"/>
    </row>
    <row r="55" spans="1:30" ht="12.75">
      <c r="A55" s="945" t="s">
        <v>1955</v>
      </c>
      <c r="B55" s="933"/>
      <c r="C55" s="933"/>
      <c r="F55" s="933"/>
      <c r="G55" s="933"/>
      <c r="H55" s="933"/>
      <c r="I55" s="933"/>
      <c r="J55" s="933"/>
      <c r="K55" s="935"/>
      <c r="L55" s="934"/>
      <c r="M55" s="933"/>
      <c r="N55" s="945"/>
      <c r="O55" s="933"/>
      <c r="P55" s="933"/>
      <c r="Q55" s="933"/>
      <c r="R55" s="933"/>
      <c r="S55" s="933"/>
      <c r="T55" s="933"/>
      <c r="U55" s="933"/>
      <c r="V55" s="933"/>
      <c r="W55" s="933"/>
      <c r="X55" s="933"/>
      <c r="Y55" s="933"/>
      <c r="Z55" s="933"/>
      <c r="AA55" s="933"/>
      <c r="AB55" s="933"/>
      <c r="AC55" s="933"/>
      <c r="AD55" s="933"/>
    </row>
    <row r="56" spans="1:30" ht="12.75">
      <c r="A56" s="933"/>
      <c r="B56" s="933"/>
      <c r="C56" s="933"/>
      <c r="F56" s="933"/>
      <c r="G56" s="933"/>
      <c r="H56" s="933"/>
      <c r="I56" s="933"/>
      <c r="J56" s="933"/>
      <c r="K56" s="935"/>
      <c r="L56" s="933"/>
      <c r="M56" s="933"/>
      <c r="N56" s="945"/>
      <c r="O56" s="933"/>
      <c r="P56" s="933"/>
      <c r="Q56" s="933"/>
      <c r="R56" s="933"/>
      <c r="S56" s="933"/>
      <c r="T56" s="933"/>
      <c r="U56" s="933"/>
      <c r="V56" s="933"/>
      <c r="W56" s="933"/>
      <c r="X56" s="933"/>
      <c r="Y56" s="933"/>
      <c r="Z56" s="933"/>
      <c r="AA56" s="933"/>
      <c r="AB56" s="933"/>
      <c r="AC56" s="933"/>
      <c r="AD56" s="933"/>
    </row>
    <row r="57" spans="1:30" ht="12.75">
      <c r="A57" s="933"/>
      <c r="B57" s="933"/>
      <c r="C57" s="933"/>
      <c r="F57" s="933"/>
      <c r="G57" s="933"/>
      <c r="H57" s="933"/>
      <c r="I57" s="933"/>
      <c r="J57" s="933"/>
      <c r="K57" s="935"/>
      <c r="L57" s="933"/>
      <c r="M57" s="933"/>
      <c r="N57" s="945"/>
      <c r="O57" s="933"/>
      <c r="P57" s="933"/>
      <c r="Q57" s="933"/>
      <c r="R57" s="933"/>
      <c r="S57" s="933"/>
      <c r="T57" s="933"/>
      <c r="U57" s="933"/>
      <c r="V57" s="933"/>
      <c r="W57" s="933"/>
      <c r="X57" s="933"/>
      <c r="Y57" s="933"/>
      <c r="Z57" s="933"/>
      <c r="AA57" s="933"/>
      <c r="AB57" s="933"/>
      <c r="AC57" s="933"/>
      <c r="AD57" s="933"/>
    </row>
    <row r="58" spans="1:30" ht="12.75">
      <c r="A58" s="933"/>
      <c r="B58" s="933"/>
      <c r="C58" s="933"/>
      <c r="F58" s="933"/>
      <c r="G58" s="933"/>
      <c r="H58" s="933"/>
      <c r="I58" s="933"/>
      <c r="J58" s="933"/>
      <c r="K58" s="935"/>
      <c r="L58" s="933"/>
      <c r="M58" s="933"/>
      <c r="N58" s="945"/>
      <c r="O58" s="933"/>
      <c r="P58" s="933"/>
      <c r="Q58" s="933"/>
      <c r="R58" s="933"/>
      <c r="S58" s="933"/>
      <c r="T58" s="933"/>
      <c r="U58" s="933"/>
      <c r="V58" s="933"/>
      <c r="W58" s="933"/>
      <c r="X58" s="933"/>
      <c r="Y58" s="933"/>
      <c r="Z58" s="933"/>
      <c r="AA58" s="933"/>
      <c r="AB58" s="933"/>
      <c r="AC58" s="933"/>
      <c r="AD58" s="933"/>
    </row>
    <row r="59" spans="1:30" ht="12.75">
      <c r="A59" s="933"/>
      <c r="B59" s="933"/>
      <c r="C59" s="933"/>
      <c r="F59" s="933"/>
      <c r="G59" s="933"/>
      <c r="H59" s="933"/>
      <c r="I59" s="933"/>
      <c r="J59" s="933"/>
      <c r="K59" s="935"/>
      <c r="L59" s="933"/>
      <c r="M59" s="933"/>
      <c r="N59" s="945"/>
      <c r="O59" s="933"/>
      <c r="P59" s="933"/>
      <c r="Q59" s="933"/>
      <c r="R59" s="933"/>
      <c r="S59" s="933"/>
      <c r="T59" s="933"/>
      <c r="U59" s="933"/>
      <c r="V59" s="933"/>
      <c r="W59" s="933"/>
      <c r="X59" s="933"/>
      <c r="Y59" s="933"/>
      <c r="Z59" s="933"/>
      <c r="AA59" s="933"/>
      <c r="AB59" s="933"/>
      <c r="AC59" s="933"/>
      <c r="AD59" s="933"/>
    </row>
    <row r="60" spans="1:30" ht="12.75">
      <c r="A60" s="933"/>
      <c r="B60" s="933"/>
      <c r="C60" s="933"/>
      <c r="D60" s="933"/>
      <c r="E60" s="933"/>
      <c r="F60" s="933"/>
      <c r="G60" s="933"/>
      <c r="H60" s="933"/>
      <c r="I60" s="933"/>
      <c r="J60" s="933"/>
      <c r="K60" s="935"/>
      <c r="L60" s="933"/>
      <c r="M60" s="933"/>
      <c r="N60" s="945"/>
      <c r="O60" s="933"/>
      <c r="P60" s="933"/>
      <c r="Q60" s="933"/>
      <c r="R60" s="933"/>
      <c r="S60" s="933"/>
      <c r="T60" s="933"/>
      <c r="U60" s="933"/>
      <c r="V60" s="933"/>
      <c r="W60" s="933"/>
      <c r="X60" s="933"/>
      <c r="Y60" s="933"/>
      <c r="Z60" s="933"/>
      <c r="AA60" s="933"/>
      <c r="AB60" s="933"/>
      <c r="AC60" s="933"/>
      <c r="AD60" s="933"/>
    </row>
    <row r="61" spans="1:30" ht="12.75">
      <c r="A61" s="933"/>
      <c r="B61" s="933"/>
      <c r="C61" s="933"/>
      <c r="D61" s="933"/>
      <c r="E61" s="933"/>
      <c r="F61" s="933"/>
      <c r="G61" s="933"/>
      <c r="H61" s="933"/>
      <c r="I61" s="933"/>
      <c r="J61" s="933"/>
      <c r="K61" s="935"/>
      <c r="L61" s="933"/>
      <c r="M61" s="933"/>
      <c r="N61" s="945"/>
      <c r="O61" s="933"/>
      <c r="P61" s="933"/>
      <c r="Q61" s="933"/>
      <c r="R61" s="933"/>
      <c r="S61" s="933"/>
      <c r="T61" s="933"/>
      <c r="U61" s="933"/>
      <c r="V61" s="933"/>
      <c r="W61" s="933"/>
      <c r="X61" s="933"/>
      <c r="Y61" s="933"/>
      <c r="Z61" s="933"/>
      <c r="AA61" s="933"/>
      <c r="AB61" s="933"/>
      <c r="AC61" s="933"/>
      <c r="AD61" s="933"/>
    </row>
    <row r="62" spans="1:30" ht="12.75">
      <c r="A62" s="933"/>
      <c r="B62" s="933"/>
      <c r="C62" s="933"/>
      <c r="D62" s="933"/>
      <c r="E62" s="933"/>
      <c r="F62" s="933"/>
      <c r="G62" s="933"/>
      <c r="H62" s="933"/>
      <c r="I62" s="933"/>
      <c r="J62" s="933"/>
      <c r="K62" s="935"/>
      <c r="L62" s="933"/>
      <c r="M62" s="933"/>
      <c r="N62" s="945"/>
      <c r="O62" s="933"/>
      <c r="P62" s="933"/>
      <c r="Q62" s="933"/>
      <c r="R62" s="933"/>
      <c r="S62" s="933"/>
      <c r="T62" s="933"/>
      <c r="U62" s="933"/>
      <c r="V62" s="933"/>
      <c r="W62" s="933"/>
      <c r="X62" s="933"/>
      <c r="Y62" s="933"/>
      <c r="Z62" s="933"/>
      <c r="AA62" s="933"/>
      <c r="AB62" s="933"/>
      <c r="AC62" s="933"/>
      <c r="AD62" s="933"/>
    </row>
    <row r="63" spans="1:30" ht="12.75">
      <c r="A63" s="933"/>
      <c r="B63" s="933"/>
      <c r="C63" s="933"/>
      <c r="D63" s="933"/>
      <c r="E63" s="933"/>
      <c r="F63" s="933"/>
      <c r="G63" s="933"/>
      <c r="H63" s="933"/>
      <c r="I63" s="933"/>
      <c r="J63" s="933"/>
      <c r="K63" s="935"/>
      <c r="L63" s="933"/>
      <c r="M63" s="933"/>
      <c r="N63" s="945"/>
      <c r="O63" s="933"/>
      <c r="P63" s="933"/>
      <c r="Q63" s="933"/>
      <c r="R63" s="933"/>
      <c r="S63" s="933"/>
      <c r="T63" s="933"/>
      <c r="U63" s="933"/>
      <c r="V63" s="933"/>
      <c r="W63" s="933"/>
      <c r="X63" s="933"/>
      <c r="Y63" s="933"/>
      <c r="Z63" s="933"/>
      <c r="AA63" s="933"/>
      <c r="AB63" s="933"/>
      <c r="AC63" s="933"/>
      <c r="AD63" s="933"/>
    </row>
    <row r="64" spans="1:30" ht="12.75">
      <c r="A64" s="933"/>
      <c r="B64" s="933"/>
      <c r="C64" s="933"/>
      <c r="D64" s="933"/>
      <c r="E64" s="933"/>
      <c r="F64" s="933"/>
      <c r="G64" s="933"/>
      <c r="H64" s="933"/>
      <c r="I64" s="933"/>
      <c r="J64" s="933"/>
      <c r="K64" s="935"/>
      <c r="L64" s="933"/>
      <c r="M64" s="933"/>
      <c r="N64" s="945"/>
      <c r="O64" s="933"/>
      <c r="P64" s="933"/>
      <c r="Q64" s="933"/>
      <c r="R64" s="933"/>
      <c r="S64" s="933"/>
      <c r="T64" s="933"/>
      <c r="U64" s="933"/>
      <c r="V64" s="933"/>
      <c r="W64" s="933"/>
      <c r="X64" s="933"/>
      <c r="Y64" s="933"/>
      <c r="Z64" s="933"/>
      <c r="AA64" s="933"/>
      <c r="AB64" s="933"/>
      <c r="AC64" s="933"/>
      <c r="AD64" s="933"/>
    </row>
    <row r="65" spans="1:30" ht="12.75">
      <c r="A65" s="933"/>
      <c r="B65" s="933"/>
      <c r="C65" s="933"/>
      <c r="D65" s="933"/>
      <c r="E65" s="933"/>
      <c r="F65" s="933"/>
      <c r="G65" s="933"/>
      <c r="H65" s="933"/>
      <c r="I65" s="933"/>
      <c r="J65" s="933"/>
      <c r="K65" s="935"/>
      <c r="L65" s="933"/>
      <c r="M65" s="933"/>
      <c r="N65" s="945"/>
      <c r="O65" s="933"/>
      <c r="P65" s="933"/>
      <c r="Q65" s="933"/>
      <c r="R65" s="933"/>
      <c r="S65" s="933"/>
      <c r="T65" s="933"/>
      <c r="U65" s="933"/>
      <c r="V65" s="933"/>
      <c r="W65" s="933"/>
      <c r="X65" s="933"/>
      <c r="Y65" s="933"/>
      <c r="Z65" s="933"/>
      <c r="AA65" s="933"/>
      <c r="AB65" s="933"/>
      <c r="AC65" s="933"/>
      <c r="AD65" s="933"/>
    </row>
    <row r="66" spans="1:30" ht="12.75">
      <c r="A66" s="933"/>
      <c r="B66" s="933"/>
      <c r="C66" s="933"/>
      <c r="D66" s="933"/>
      <c r="E66" s="933"/>
      <c r="F66" s="933"/>
      <c r="G66" s="933"/>
      <c r="H66" s="933"/>
      <c r="I66" s="933"/>
      <c r="J66" s="933"/>
      <c r="K66" s="935"/>
      <c r="L66" s="933"/>
      <c r="M66" s="933"/>
      <c r="N66" s="945"/>
      <c r="O66" s="933"/>
      <c r="P66" s="933"/>
      <c r="Q66" s="933"/>
      <c r="R66" s="933"/>
      <c r="S66" s="933"/>
      <c r="T66" s="933"/>
      <c r="U66" s="933"/>
      <c r="V66" s="933"/>
      <c r="W66" s="933"/>
      <c r="X66" s="933"/>
      <c r="Y66" s="933"/>
      <c r="Z66" s="933"/>
      <c r="AA66" s="933"/>
      <c r="AB66" s="933"/>
      <c r="AC66" s="933"/>
      <c r="AD66" s="933"/>
    </row>
    <row r="67" spans="1:30" ht="12.75">
      <c r="A67" s="933"/>
      <c r="B67" s="933"/>
      <c r="C67" s="933"/>
      <c r="D67" s="933"/>
      <c r="E67" s="933"/>
      <c r="F67" s="933"/>
      <c r="G67" s="933"/>
      <c r="H67" s="933"/>
      <c r="I67" s="933"/>
      <c r="J67" s="933"/>
      <c r="K67" s="935"/>
      <c r="L67" s="933"/>
      <c r="M67" s="933"/>
      <c r="N67" s="945"/>
      <c r="O67" s="933"/>
      <c r="P67" s="933"/>
      <c r="Q67" s="933"/>
      <c r="R67" s="933"/>
      <c r="S67" s="933"/>
      <c r="T67" s="933"/>
      <c r="U67" s="933"/>
      <c r="V67" s="933"/>
      <c r="W67" s="933"/>
      <c r="X67" s="933"/>
      <c r="Y67" s="933"/>
      <c r="Z67" s="933"/>
      <c r="AA67" s="933"/>
      <c r="AB67" s="933"/>
      <c r="AC67" s="933"/>
      <c r="AD67" s="933"/>
    </row>
    <row r="68" spans="1:30" ht="12.75">
      <c r="A68" s="933"/>
      <c r="B68" s="933"/>
      <c r="C68" s="933"/>
      <c r="D68" s="933"/>
      <c r="E68" s="933"/>
      <c r="F68" s="933"/>
      <c r="G68" s="933"/>
      <c r="H68" s="933"/>
      <c r="I68" s="933"/>
      <c r="J68" s="933"/>
      <c r="K68" s="935"/>
      <c r="L68" s="933"/>
      <c r="M68" s="933"/>
      <c r="N68" s="945"/>
      <c r="O68" s="933"/>
      <c r="P68" s="933"/>
      <c r="Q68" s="933"/>
      <c r="R68" s="933"/>
      <c r="S68" s="933"/>
      <c r="T68" s="933"/>
      <c r="U68" s="933"/>
      <c r="V68" s="933"/>
      <c r="W68" s="933"/>
      <c r="X68" s="933"/>
      <c r="Y68" s="933"/>
      <c r="Z68" s="933"/>
      <c r="AA68" s="933"/>
      <c r="AB68" s="933"/>
      <c r="AC68" s="933"/>
      <c r="AD68" s="933"/>
    </row>
    <row r="69" spans="1:30" ht="12.75">
      <c r="A69" s="933"/>
      <c r="B69" s="933"/>
      <c r="C69" s="933"/>
      <c r="D69" s="933"/>
      <c r="E69" s="933"/>
      <c r="F69" s="933"/>
      <c r="G69" s="933"/>
      <c r="H69" s="933"/>
      <c r="I69" s="933"/>
      <c r="J69" s="933"/>
      <c r="K69" s="935"/>
      <c r="L69" s="933"/>
      <c r="M69" s="933"/>
      <c r="N69" s="945"/>
      <c r="O69" s="933"/>
      <c r="P69" s="933"/>
      <c r="Q69" s="933"/>
      <c r="R69" s="933"/>
      <c r="S69" s="933"/>
      <c r="T69" s="933"/>
      <c r="U69" s="933"/>
      <c r="V69" s="933"/>
      <c r="W69" s="933"/>
      <c r="X69" s="933"/>
      <c r="Y69" s="933"/>
      <c r="Z69" s="933"/>
      <c r="AA69" s="933"/>
      <c r="AB69" s="933"/>
      <c r="AC69" s="933"/>
      <c r="AD69" s="933"/>
    </row>
    <row r="70" spans="1:30" ht="12.75">
      <c r="A70" s="933"/>
      <c r="B70" s="933"/>
      <c r="C70" s="933"/>
      <c r="D70" s="933"/>
      <c r="E70" s="933"/>
      <c r="F70" s="933"/>
      <c r="G70" s="933"/>
      <c r="H70" s="933"/>
      <c r="I70" s="933"/>
      <c r="J70" s="933"/>
      <c r="K70" s="935"/>
      <c r="L70" s="933"/>
      <c r="M70" s="933"/>
      <c r="N70" s="945"/>
      <c r="O70" s="933"/>
      <c r="P70" s="933"/>
      <c r="Q70" s="933"/>
      <c r="R70" s="933"/>
      <c r="S70" s="933"/>
      <c r="T70" s="933"/>
      <c r="U70" s="933"/>
      <c r="V70" s="933"/>
      <c r="W70" s="933"/>
      <c r="X70" s="933"/>
      <c r="Y70" s="933"/>
      <c r="Z70" s="933"/>
      <c r="AA70" s="933"/>
      <c r="AB70" s="933"/>
      <c r="AC70" s="933"/>
      <c r="AD70" s="933"/>
    </row>
    <row r="71" spans="1:30" ht="12.75">
      <c r="A71" s="933"/>
      <c r="B71" s="933"/>
      <c r="C71" s="933"/>
      <c r="D71" s="933"/>
      <c r="E71" s="933"/>
      <c r="F71" s="933"/>
      <c r="G71" s="933"/>
      <c r="H71" s="933"/>
      <c r="I71" s="933"/>
      <c r="J71" s="933"/>
      <c r="K71" s="935"/>
      <c r="L71" s="933"/>
      <c r="M71" s="933"/>
      <c r="N71" s="945"/>
      <c r="O71" s="933"/>
      <c r="P71" s="933"/>
      <c r="Q71" s="933"/>
      <c r="R71" s="933"/>
      <c r="S71" s="933"/>
      <c r="T71" s="933"/>
      <c r="U71" s="933"/>
      <c r="V71" s="933"/>
      <c r="W71" s="933"/>
      <c r="X71" s="933"/>
      <c r="Y71" s="933"/>
      <c r="Z71" s="933"/>
      <c r="AA71" s="933"/>
      <c r="AB71" s="933"/>
      <c r="AC71" s="933"/>
      <c r="AD71" s="933"/>
    </row>
    <row r="72" spans="1:30" ht="12.75">
      <c r="A72" s="933"/>
      <c r="B72" s="933"/>
      <c r="C72" s="933"/>
      <c r="D72" s="933"/>
      <c r="E72" s="933"/>
      <c r="F72" s="933"/>
      <c r="G72" s="933"/>
      <c r="H72" s="933"/>
      <c r="I72" s="933"/>
      <c r="J72" s="933"/>
      <c r="K72" s="935"/>
      <c r="L72" s="933"/>
      <c r="M72" s="933"/>
      <c r="N72" s="945"/>
      <c r="O72" s="933"/>
      <c r="P72" s="933"/>
      <c r="Q72" s="933"/>
      <c r="R72" s="933"/>
      <c r="S72" s="933"/>
      <c r="T72" s="933"/>
      <c r="U72" s="933"/>
      <c r="V72" s="933"/>
      <c r="W72" s="933"/>
      <c r="X72" s="933"/>
      <c r="Y72" s="933"/>
      <c r="Z72" s="933"/>
      <c r="AA72" s="933"/>
      <c r="AB72" s="933"/>
      <c r="AC72" s="933"/>
      <c r="AD72" s="933"/>
    </row>
    <row r="73" spans="1:30" ht="12.75">
      <c r="A73" s="933"/>
      <c r="B73" s="933"/>
      <c r="C73" s="933"/>
      <c r="D73" s="933"/>
      <c r="E73" s="933"/>
      <c r="F73" s="933"/>
      <c r="G73" s="933"/>
      <c r="H73" s="933"/>
      <c r="I73" s="933"/>
      <c r="J73" s="933"/>
      <c r="K73" s="935"/>
      <c r="L73" s="933"/>
      <c r="M73" s="933"/>
      <c r="N73" s="945"/>
      <c r="O73" s="933"/>
      <c r="P73" s="933"/>
      <c r="Q73" s="933"/>
      <c r="R73" s="933"/>
      <c r="S73" s="933"/>
      <c r="T73" s="933"/>
      <c r="U73" s="933"/>
      <c r="V73" s="933"/>
      <c r="W73" s="933"/>
      <c r="X73" s="933"/>
      <c r="Y73" s="933"/>
      <c r="Z73" s="933"/>
      <c r="AA73" s="933"/>
      <c r="AB73" s="933"/>
      <c r="AC73" s="933"/>
      <c r="AD73" s="933"/>
    </row>
    <row r="74" spans="1:30" ht="12.75">
      <c r="A74" s="933"/>
      <c r="B74" s="933"/>
      <c r="C74" s="933"/>
      <c r="D74" s="933"/>
      <c r="E74" s="933"/>
      <c r="F74" s="933"/>
      <c r="G74" s="933"/>
      <c r="H74" s="933"/>
      <c r="I74" s="933"/>
      <c r="J74" s="933"/>
      <c r="K74" s="935"/>
      <c r="L74" s="933"/>
      <c r="M74" s="933"/>
      <c r="N74" s="945"/>
      <c r="O74" s="933"/>
      <c r="P74" s="933"/>
      <c r="Q74" s="933"/>
      <c r="R74" s="933"/>
      <c r="S74" s="933"/>
      <c r="T74" s="933"/>
      <c r="U74" s="933"/>
      <c r="V74" s="933"/>
      <c r="W74" s="933"/>
      <c r="X74" s="933"/>
      <c r="Y74" s="933"/>
      <c r="Z74" s="933"/>
      <c r="AA74" s="933"/>
      <c r="AB74" s="933"/>
      <c r="AC74" s="933"/>
      <c r="AD74" s="933"/>
    </row>
    <row r="75" spans="1:30" ht="12.75">
      <c r="A75" s="933"/>
      <c r="B75" s="933"/>
      <c r="C75" s="933"/>
      <c r="D75" s="933"/>
      <c r="E75" s="933"/>
      <c r="F75" s="933"/>
      <c r="G75" s="933"/>
      <c r="H75" s="933"/>
      <c r="I75" s="933"/>
      <c r="J75" s="933"/>
      <c r="K75" s="935"/>
      <c r="L75" s="933"/>
      <c r="M75" s="933"/>
      <c r="N75" s="945"/>
      <c r="O75" s="933"/>
      <c r="P75" s="933"/>
      <c r="Q75" s="933"/>
      <c r="R75" s="933"/>
      <c r="S75" s="933"/>
      <c r="T75" s="933"/>
      <c r="U75" s="933"/>
      <c r="V75" s="933"/>
      <c r="W75" s="933"/>
      <c r="X75" s="933"/>
      <c r="Y75" s="933"/>
      <c r="Z75" s="933"/>
      <c r="AA75" s="933"/>
      <c r="AB75" s="933"/>
      <c r="AC75" s="933"/>
      <c r="AD75" s="933"/>
    </row>
    <row r="76" spans="1:30" ht="12.75">
      <c r="A76" s="933"/>
      <c r="B76" s="933"/>
      <c r="C76" s="933"/>
      <c r="D76" s="933"/>
      <c r="E76" s="933"/>
      <c r="F76" s="933"/>
      <c r="G76" s="933"/>
      <c r="H76" s="933"/>
      <c r="I76" s="933"/>
      <c r="J76" s="933"/>
      <c r="K76" s="935"/>
      <c r="L76" s="933"/>
      <c r="M76" s="933"/>
      <c r="N76" s="945"/>
      <c r="O76" s="933"/>
      <c r="P76" s="933"/>
      <c r="Q76" s="933"/>
      <c r="R76" s="933"/>
      <c r="S76" s="933"/>
      <c r="T76" s="933"/>
      <c r="U76" s="933"/>
      <c r="V76" s="933"/>
      <c r="W76" s="933"/>
      <c r="X76" s="933"/>
      <c r="Y76" s="933"/>
      <c r="Z76" s="933"/>
      <c r="AA76" s="933"/>
      <c r="AB76" s="933"/>
      <c r="AC76" s="933"/>
      <c r="AD76" s="933"/>
    </row>
    <row r="77" spans="1:30" ht="12.75">
      <c r="A77" s="933"/>
      <c r="B77" s="933"/>
      <c r="C77" s="933"/>
      <c r="D77" s="933"/>
      <c r="E77" s="933"/>
      <c r="F77" s="933"/>
      <c r="G77" s="933"/>
      <c r="H77" s="933"/>
      <c r="I77" s="933"/>
      <c r="J77" s="933"/>
      <c r="K77" s="935"/>
      <c r="L77" s="933"/>
      <c r="M77" s="933"/>
      <c r="N77" s="945"/>
      <c r="O77" s="933"/>
      <c r="P77" s="933"/>
      <c r="Q77" s="933"/>
      <c r="R77" s="933"/>
      <c r="S77" s="933"/>
      <c r="T77" s="933"/>
      <c r="U77" s="933"/>
      <c r="V77" s="933"/>
      <c r="W77" s="933"/>
      <c r="X77" s="933"/>
      <c r="Y77" s="933"/>
      <c r="Z77" s="933"/>
      <c r="AA77" s="933"/>
      <c r="AB77" s="933"/>
      <c r="AC77" s="933"/>
      <c r="AD77" s="933"/>
    </row>
    <row r="78" spans="1:30" ht="12.75">
      <c r="A78" s="933"/>
      <c r="B78" s="933"/>
      <c r="C78" s="933"/>
      <c r="D78" s="933"/>
      <c r="E78" s="933"/>
      <c r="F78" s="933"/>
      <c r="G78" s="933"/>
      <c r="H78" s="933"/>
      <c r="I78" s="933"/>
      <c r="J78" s="933"/>
      <c r="K78" s="935"/>
      <c r="L78" s="933"/>
      <c r="M78" s="933"/>
      <c r="N78" s="945"/>
      <c r="O78" s="933"/>
      <c r="P78" s="933"/>
      <c r="Q78" s="933"/>
      <c r="R78" s="933"/>
      <c r="S78" s="933"/>
      <c r="T78" s="933"/>
      <c r="U78" s="933"/>
      <c r="V78" s="933"/>
      <c r="W78" s="933"/>
      <c r="X78" s="933"/>
      <c r="Y78" s="933"/>
      <c r="Z78" s="933"/>
      <c r="AA78" s="933"/>
      <c r="AB78" s="933"/>
      <c r="AC78" s="933"/>
      <c r="AD78" s="933"/>
    </row>
    <row r="79" spans="1:30" ht="12.75">
      <c r="A79" s="933"/>
      <c r="B79" s="933"/>
      <c r="C79" s="933"/>
      <c r="D79" s="933"/>
      <c r="E79" s="933"/>
      <c r="F79" s="933"/>
      <c r="G79" s="933"/>
      <c r="H79" s="933"/>
      <c r="I79" s="933"/>
      <c r="J79" s="933"/>
      <c r="K79" s="935"/>
      <c r="L79" s="933"/>
      <c r="M79" s="933"/>
      <c r="N79" s="945"/>
      <c r="O79" s="933"/>
      <c r="P79" s="933"/>
      <c r="Q79" s="933"/>
      <c r="R79" s="933"/>
      <c r="S79" s="933"/>
      <c r="T79" s="933"/>
      <c r="U79" s="933"/>
      <c r="V79" s="933"/>
      <c r="W79" s="933"/>
      <c r="X79" s="933"/>
      <c r="Y79" s="933"/>
      <c r="Z79" s="933"/>
      <c r="AA79" s="933"/>
      <c r="AB79" s="933"/>
      <c r="AC79" s="933"/>
      <c r="AD79" s="933"/>
    </row>
    <row r="80" spans="1:30" ht="12.75">
      <c r="A80" s="933"/>
      <c r="B80" s="933"/>
      <c r="C80" s="933"/>
      <c r="D80" s="933"/>
      <c r="E80" s="933"/>
      <c r="F80" s="933"/>
      <c r="G80" s="933"/>
      <c r="H80" s="933"/>
      <c r="I80" s="933"/>
      <c r="J80" s="933"/>
      <c r="K80" s="935"/>
      <c r="L80" s="933"/>
      <c r="M80" s="933"/>
      <c r="N80" s="945"/>
      <c r="O80" s="933"/>
      <c r="P80" s="933"/>
      <c r="Q80" s="933"/>
      <c r="R80" s="933"/>
      <c r="S80" s="933"/>
      <c r="T80" s="933"/>
      <c r="U80" s="933"/>
      <c r="V80" s="933"/>
      <c r="W80" s="933"/>
      <c r="X80" s="933"/>
      <c r="Y80" s="933"/>
      <c r="Z80" s="933"/>
      <c r="AA80" s="933"/>
      <c r="AB80" s="933"/>
      <c r="AC80" s="933"/>
      <c r="AD80" s="933"/>
    </row>
    <row r="81" spans="1:30" ht="12.75">
      <c r="A81" s="933"/>
      <c r="B81" s="933"/>
      <c r="C81" s="933"/>
      <c r="D81" s="933"/>
      <c r="E81" s="933"/>
      <c r="F81" s="933"/>
      <c r="G81" s="933"/>
      <c r="H81" s="933"/>
      <c r="I81" s="933"/>
      <c r="J81" s="933"/>
      <c r="K81" s="935"/>
      <c r="L81" s="933"/>
      <c r="M81" s="933"/>
      <c r="N81" s="945"/>
      <c r="O81" s="933"/>
      <c r="P81" s="933"/>
      <c r="Q81" s="933"/>
      <c r="R81" s="933"/>
      <c r="S81" s="933"/>
      <c r="T81" s="933"/>
      <c r="U81" s="933"/>
      <c r="V81" s="933"/>
      <c r="W81" s="933"/>
      <c r="X81" s="933"/>
      <c r="Y81" s="933"/>
      <c r="Z81" s="933"/>
      <c r="AA81" s="933"/>
      <c r="AB81" s="933"/>
      <c r="AC81" s="933"/>
      <c r="AD81" s="933"/>
    </row>
    <row r="82" spans="1:30" ht="12.75">
      <c r="A82" s="933"/>
      <c r="B82" s="933"/>
      <c r="C82" s="933"/>
      <c r="D82" s="933"/>
      <c r="E82" s="933"/>
      <c r="F82" s="933"/>
      <c r="G82" s="933"/>
      <c r="H82" s="933"/>
      <c r="I82" s="933"/>
      <c r="J82" s="933"/>
      <c r="K82" s="935"/>
      <c r="L82" s="933"/>
      <c r="M82" s="933"/>
      <c r="N82" s="945"/>
      <c r="O82" s="933"/>
      <c r="P82" s="933"/>
      <c r="Q82" s="933"/>
      <c r="R82" s="933"/>
      <c r="S82" s="933"/>
      <c r="T82" s="933"/>
      <c r="U82" s="933"/>
      <c r="V82" s="933"/>
      <c r="W82" s="933"/>
      <c r="X82" s="933"/>
      <c r="Y82" s="933"/>
      <c r="Z82" s="933"/>
      <c r="AA82" s="933"/>
      <c r="AB82" s="933"/>
      <c r="AC82" s="933"/>
      <c r="AD82" s="933"/>
    </row>
    <row r="83" spans="1:30" ht="12.75">
      <c r="A83" s="933"/>
      <c r="B83" s="933"/>
      <c r="C83" s="933"/>
      <c r="D83" s="933"/>
      <c r="E83" s="933"/>
      <c r="F83" s="933"/>
      <c r="G83" s="933"/>
      <c r="H83" s="933"/>
      <c r="I83" s="933"/>
      <c r="J83" s="933"/>
      <c r="K83" s="935"/>
      <c r="L83" s="933"/>
      <c r="M83" s="933"/>
      <c r="N83" s="945"/>
      <c r="O83" s="933"/>
      <c r="P83" s="933"/>
      <c r="Q83" s="933"/>
      <c r="R83" s="933"/>
      <c r="S83" s="933"/>
      <c r="T83" s="933"/>
      <c r="U83" s="933"/>
      <c r="V83" s="933"/>
      <c r="W83" s="933"/>
      <c r="X83" s="933"/>
      <c r="Y83" s="933"/>
      <c r="Z83" s="933"/>
      <c r="AA83" s="933"/>
      <c r="AB83" s="933"/>
      <c r="AC83" s="933"/>
      <c r="AD83" s="933"/>
    </row>
    <row r="84" spans="1:30" ht="12.75">
      <c r="A84" s="933"/>
      <c r="B84" s="933"/>
      <c r="C84" s="933"/>
      <c r="D84" s="933"/>
      <c r="E84" s="933"/>
      <c r="F84" s="933"/>
      <c r="G84" s="933"/>
      <c r="H84" s="933"/>
      <c r="I84" s="933"/>
      <c r="J84" s="933"/>
      <c r="K84" s="935"/>
      <c r="L84" s="933"/>
      <c r="M84" s="933"/>
      <c r="N84" s="945"/>
      <c r="O84" s="933"/>
      <c r="P84" s="933"/>
      <c r="Q84" s="933"/>
      <c r="R84" s="933"/>
      <c r="S84" s="933"/>
      <c r="T84" s="933"/>
      <c r="U84" s="933"/>
      <c r="V84" s="933"/>
      <c r="W84" s="933"/>
      <c r="X84" s="933"/>
      <c r="Y84" s="933"/>
      <c r="Z84" s="933"/>
      <c r="AA84" s="933"/>
      <c r="AB84" s="933"/>
      <c r="AC84" s="933"/>
      <c r="AD84" s="933"/>
    </row>
    <row r="85" spans="1:30" ht="12.75">
      <c r="A85" s="933"/>
      <c r="B85" s="933"/>
      <c r="C85" s="933"/>
      <c r="D85" s="933"/>
      <c r="E85" s="933"/>
      <c r="F85" s="933"/>
      <c r="G85" s="933"/>
      <c r="H85" s="933"/>
      <c r="I85" s="933"/>
      <c r="J85" s="933"/>
      <c r="K85" s="935"/>
      <c r="L85" s="933"/>
      <c r="M85" s="933"/>
      <c r="N85" s="945"/>
      <c r="O85" s="933"/>
      <c r="P85" s="933"/>
      <c r="Q85" s="933"/>
      <c r="R85" s="933"/>
      <c r="S85" s="933"/>
      <c r="T85" s="933"/>
      <c r="U85" s="933"/>
      <c r="V85" s="933"/>
      <c r="W85" s="933"/>
      <c r="X85" s="933"/>
      <c r="Y85" s="933"/>
      <c r="Z85" s="933"/>
      <c r="AA85" s="933"/>
      <c r="AB85" s="933"/>
      <c r="AC85" s="933"/>
      <c r="AD85" s="933"/>
    </row>
    <row r="86" spans="1:30" ht="12.75">
      <c r="A86" s="933"/>
      <c r="B86" s="933"/>
      <c r="C86" s="933"/>
      <c r="D86" s="933"/>
      <c r="E86" s="933"/>
      <c r="F86" s="933"/>
      <c r="G86" s="933"/>
      <c r="H86" s="933"/>
      <c r="I86" s="933"/>
      <c r="J86" s="933"/>
      <c r="K86" s="935"/>
      <c r="L86" s="933"/>
      <c r="M86" s="933"/>
      <c r="N86" s="945"/>
      <c r="O86" s="933"/>
      <c r="P86" s="933"/>
      <c r="Q86" s="933"/>
      <c r="R86" s="933"/>
      <c r="S86" s="933"/>
      <c r="T86" s="933"/>
      <c r="U86" s="933"/>
      <c r="V86" s="933"/>
      <c r="W86" s="933"/>
      <c r="X86" s="933"/>
      <c r="Y86" s="933"/>
      <c r="Z86" s="933"/>
      <c r="AA86" s="933"/>
      <c r="AB86" s="933"/>
      <c r="AC86" s="933"/>
      <c r="AD86" s="933"/>
    </row>
    <row r="87" spans="1:30" ht="12.75">
      <c r="A87" s="933"/>
      <c r="B87" s="933"/>
      <c r="C87" s="933"/>
      <c r="D87" s="933"/>
      <c r="E87" s="933"/>
      <c r="F87" s="933"/>
      <c r="G87" s="933"/>
      <c r="H87" s="933"/>
      <c r="I87" s="933"/>
      <c r="J87" s="933"/>
      <c r="K87" s="935"/>
      <c r="L87" s="933"/>
      <c r="M87" s="933"/>
      <c r="N87" s="945"/>
      <c r="O87" s="933"/>
      <c r="P87" s="933"/>
      <c r="Q87" s="933"/>
      <c r="R87" s="933"/>
      <c r="S87" s="933"/>
      <c r="T87" s="933"/>
      <c r="U87" s="933"/>
      <c r="V87" s="933"/>
      <c r="W87" s="933"/>
      <c r="X87" s="933"/>
      <c r="Y87" s="933"/>
      <c r="Z87" s="933"/>
      <c r="AA87" s="933"/>
      <c r="AB87" s="933"/>
      <c r="AC87" s="933"/>
      <c r="AD87" s="933"/>
    </row>
    <row r="88" spans="1:30" ht="12.75">
      <c r="A88" s="933"/>
      <c r="B88" s="933"/>
      <c r="C88" s="933"/>
      <c r="D88" s="933"/>
      <c r="E88" s="933"/>
      <c r="F88" s="933"/>
      <c r="G88" s="933"/>
      <c r="H88" s="933"/>
      <c r="I88" s="933"/>
      <c r="J88" s="933"/>
      <c r="K88" s="935"/>
      <c r="L88" s="933"/>
      <c r="M88" s="933"/>
      <c r="N88" s="945"/>
      <c r="O88" s="933"/>
      <c r="P88" s="933"/>
      <c r="Q88" s="933"/>
      <c r="R88" s="933"/>
      <c r="S88" s="933"/>
      <c r="T88" s="933"/>
      <c r="U88" s="933"/>
      <c r="V88" s="933"/>
      <c r="W88" s="933"/>
      <c r="X88" s="933"/>
      <c r="Y88" s="933"/>
      <c r="Z88" s="933"/>
      <c r="AA88" s="933"/>
      <c r="AB88" s="933"/>
      <c r="AC88" s="933"/>
      <c r="AD88" s="933"/>
    </row>
    <row r="89" spans="1:30" ht="12.75">
      <c r="A89" s="933"/>
      <c r="B89" s="933"/>
      <c r="C89" s="933"/>
      <c r="D89" s="933"/>
      <c r="E89" s="933"/>
      <c r="F89" s="933"/>
      <c r="G89" s="933"/>
      <c r="H89" s="933"/>
      <c r="I89" s="933"/>
      <c r="J89" s="933"/>
      <c r="K89" s="935"/>
      <c r="L89" s="933"/>
      <c r="M89" s="933"/>
      <c r="N89" s="945"/>
      <c r="O89" s="933"/>
      <c r="P89" s="933"/>
      <c r="Q89" s="933"/>
      <c r="R89" s="933"/>
      <c r="S89" s="933"/>
      <c r="T89" s="933"/>
      <c r="U89" s="933"/>
      <c r="V89" s="933"/>
      <c r="W89" s="933"/>
      <c r="X89" s="933"/>
      <c r="Y89" s="933"/>
      <c r="Z89" s="933"/>
      <c r="AA89" s="933"/>
      <c r="AB89" s="933"/>
      <c r="AC89" s="933"/>
      <c r="AD89" s="933"/>
    </row>
    <row r="90" spans="1:30" ht="12.75">
      <c r="A90" s="933"/>
      <c r="B90" s="933"/>
      <c r="C90" s="933"/>
      <c r="D90" s="933"/>
      <c r="E90" s="933"/>
      <c r="F90" s="933"/>
      <c r="G90" s="933"/>
      <c r="H90" s="933"/>
      <c r="I90" s="933"/>
      <c r="J90" s="933"/>
      <c r="K90" s="935"/>
      <c r="L90" s="933"/>
      <c r="M90" s="933"/>
      <c r="N90" s="945"/>
      <c r="O90" s="933"/>
      <c r="P90" s="933"/>
      <c r="Q90" s="933"/>
      <c r="R90" s="933"/>
      <c r="S90" s="933"/>
      <c r="T90" s="933"/>
      <c r="U90" s="933"/>
      <c r="V90" s="933"/>
      <c r="W90" s="933"/>
      <c r="X90" s="933"/>
      <c r="Y90" s="933"/>
      <c r="Z90" s="933"/>
      <c r="AA90" s="933"/>
      <c r="AB90" s="933"/>
      <c r="AC90" s="933"/>
      <c r="AD90" s="933"/>
    </row>
    <row r="91" spans="1:30" ht="12.75">
      <c r="A91" s="933"/>
      <c r="B91" s="933"/>
      <c r="C91" s="933"/>
      <c r="D91" s="933"/>
      <c r="E91" s="933"/>
      <c r="F91" s="933"/>
      <c r="G91" s="933"/>
      <c r="H91" s="933"/>
      <c r="I91" s="933"/>
      <c r="J91" s="933"/>
      <c r="K91" s="935"/>
      <c r="L91" s="933"/>
      <c r="M91" s="933"/>
      <c r="N91" s="945"/>
      <c r="O91" s="933"/>
      <c r="P91" s="933"/>
      <c r="Q91" s="933"/>
      <c r="R91" s="933"/>
      <c r="S91" s="933"/>
      <c r="T91" s="933"/>
      <c r="U91" s="933"/>
      <c r="V91" s="933"/>
      <c r="W91" s="933"/>
      <c r="X91" s="933"/>
      <c r="Y91" s="933"/>
      <c r="Z91" s="933"/>
      <c r="AA91" s="933"/>
      <c r="AB91" s="933"/>
      <c r="AC91" s="933"/>
      <c r="AD91" s="933"/>
    </row>
    <row r="92" spans="1:30" ht="12.75">
      <c r="A92" s="933"/>
      <c r="B92" s="933"/>
      <c r="C92" s="933"/>
      <c r="D92" s="933"/>
      <c r="E92" s="933"/>
      <c r="F92" s="933"/>
      <c r="G92" s="933"/>
      <c r="H92" s="933"/>
      <c r="I92" s="933"/>
      <c r="J92" s="933"/>
      <c r="K92" s="935"/>
      <c r="L92" s="933"/>
      <c r="M92" s="933"/>
      <c r="N92" s="945"/>
      <c r="O92" s="933"/>
      <c r="P92" s="933"/>
      <c r="Q92" s="933"/>
      <c r="R92" s="933"/>
      <c r="S92" s="933"/>
      <c r="T92" s="933"/>
      <c r="U92" s="933"/>
      <c r="V92" s="933"/>
      <c r="W92" s="933"/>
      <c r="X92" s="933"/>
      <c r="Y92" s="933"/>
      <c r="Z92" s="933"/>
      <c r="AA92" s="933"/>
      <c r="AB92" s="933"/>
      <c r="AC92" s="933"/>
      <c r="AD92" s="933"/>
    </row>
    <row r="93" spans="1:30" ht="12.75">
      <c r="A93" s="933"/>
      <c r="B93" s="933"/>
      <c r="C93" s="933"/>
      <c r="D93" s="933"/>
      <c r="E93" s="933"/>
      <c r="F93" s="933"/>
      <c r="G93" s="933"/>
      <c r="H93" s="933"/>
      <c r="I93" s="933"/>
      <c r="J93" s="933"/>
      <c r="K93" s="935"/>
      <c r="L93" s="933"/>
      <c r="M93" s="933"/>
      <c r="N93" s="945"/>
      <c r="O93" s="933"/>
      <c r="P93" s="933"/>
      <c r="Q93" s="933"/>
      <c r="R93" s="933"/>
      <c r="S93" s="933"/>
      <c r="T93" s="933"/>
      <c r="U93" s="933"/>
      <c r="V93" s="933"/>
      <c r="W93" s="933"/>
      <c r="X93" s="933"/>
      <c r="Y93" s="933"/>
      <c r="Z93" s="933"/>
      <c r="AA93" s="933"/>
      <c r="AB93" s="933"/>
      <c r="AC93" s="933"/>
      <c r="AD93" s="933"/>
    </row>
    <row r="94" spans="1:30" ht="12.75">
      <c r="A94" s="933"/>
      <c r="B94" s="933"/>
      <c r="C94" s="933"/>
      <c r="D94" s="933"/>
      <c r="E94" s="933"/>
      <c r="F94" s="933"/>
      <c r="G94" s="933"/>
      <c r="H94" s="933"/>
      <c r="I94" s="933"/>
      <c r="J94" s="933"/>
      <c r="K94" s="935"/>
      <c r="L94" s="933"/>
      <c r="M94" s="933"/>
      <c r="N94" s="945"/>
      <c r="O94" s="933"/>
      <c r="P94" s="933"/>
      <c r="Q94" s="933"/>
      <c r="R94" s="933"/>
      <c r="S94" s="933"/>
      <c r="T94" s="933"/>
      <c r="U94" s="933"/>
      <c r="V94" s="933"/>
      <c r="W94" s="933"/>
      <c r="X94" s="933"/>
      <c r="Y94" s="933"/>
      <c r="Z94" s="933"/>
      <c r="AA94" s="933"/>
      <c r="AB94" s="933"/>
      <c r="AC94" s="933"/>
      <c r="AD94" s="933"/>
    </row>
    <row r="95" spans="1:30" ht="12.75">
      <c r="A95" s="933"/>
      <c r="B95" s="933"/>
      <c r="C95" s="933"/>
      <c r="D95" s="933"/>
      <c r="E95" s="933"/>
      <c r="F95" s="933"/>
      <c r="G95" s="933"/>
      <c r="H95" s="933"/>
      <c r="I95" s="933"/>
      <c r="J95" s="933"/>
      <c r="K95" s="935"/>
      <c r="L95" s="933"/>
      <c r="M95" s="933"/>
      <c r="N95" s="945"/>
      <c r="O95" s="933"/>
      <c r="P95" s="933"/>
      <c r="Q95" s="933"/>
      <c r="R95" s="933"/>
      <c r="S95" s="933"/>
      <c r="T95" s="933"/>
      <c r="U95" s="933"/>
      <c r="V95" s="933"/>
      <c r="W95" s="933"/>
      <c r="X95" s="933"/>
      <c r="Y95" s="933"/>
      <c r="Z95" s="933"/>
      <c r="AA95" s="933"/>
      <c r="AB95" s="933"/>
      <c r="AC95" s="933"/>
      <c r="AD95" s="933"/>
    </row>
    <row r="96" spans="1:30" ht="12.75">
      <c r="A96" s="933"/>
      <c r="B96" s="933"/>
      <c r="C96" s="933"/>
      <c r="D96" s="933"/>
      <c r="E96" s="933"/>
      <c r="F96" s="933"/>
      <c r="G96" s="933"/>
      <c r="H96" s="933"/>
      <c r="I96" s="933"/>
      <c r="J96" s="933"/>
      <c r="K96" s="935"/>
      <c r="L96" s="933"/>
      <c r="M96" s="933"/>
      <c r="N96" s="945"/>
      <c r="O96" s="933"/>
      <c r="P96" s="933"/>
      <c r="Q96" s="933"/>
      <c r="R96" s="933"/>
      <c r="S96" s="933"/>
      <c r="T96" s="933"/>
      <c r="U96" s="933"/>
      <c r="V96" s="933"/>
      <c r="W96" s="933"/>
      <c r="X96" s="933"/>
      <c r="Y96" s="933"/>
      <c r="Z96" s="933"/>
      <c r="AA96" s="933"/>
      <c r="AB96" s="933"/>
      <c r="AC96" s="933"/>
      <c r="AD96" s="933"/>
    </row>
    <row r="97" spans="1:30" ht="12.75">
      <c r="A97" s="933"/>
      <c r="B97" s="933"/>
      <c r="C97" s="933"/>
      <c r="D97" s="933"/>
      <c r="E97" s="933"/>
      <c r="F97" s="933"/>
      <c r="G97" s="933"/>
      <c r="H97" s="933"/>
      <c r="I97" s="933"/>
      <c r="J97" s="933"/>
      <c r="K97" s="935"/>
      <c r="L97" s="933"/>
      <c r="M97" s="933"/>
      <c r="N97" s="945"/>
      <c r="O97" s="933"/>
      <c r="P97" s="933"/>
      <c r="Q97" s="933"/>
      <c r="R97" s="933"/>
      <c r="S97" s="933"/>
      <c r="T97" s="933"/>
      <c r="U97" s="933"/>
      <c r="V97" s="933"/>
      <c r="W97" s="933"/>
      <c r="X97" s="933"/>
      <c r="Y97" s="933"/>
      <c r="Z97" s="933"/>
      <c r="AA97" s="933"/>
      <c r="AB97" s="933"/>
      <c r="AC97" s="933"/>
      <c r="AD97" s="933"/>
    </row>
    <row r="98" spans="1:30" ht="12.75">
      <c r="A98" s="933"/>
      <c r="B98" s="933"/>
      <c r="C98" s="933"/>
      <c r="D98" s="933"/>
      <c r="E98" s="933"/>
      <c r="F98" s="933"/>
      <c r="G98" s="933"/>
      <c r="H98" s="933"/>
      <c r="I98" s="933"/>
      <c r="J98" s="933"/>
      <c r="K98" s="935"/>
      <c r="L98" s="933"/>
      <c r="M98" s="933"/>
      <c r="N98" s="945"/>
      <c r="O98" s="933"/>
      <c r="P98" s="933"/>
      <c r="Q98" s="933"/>
      <c r="R98" s="933"/>
      <c r="S98" s="933"/>
      <c r="T98" s="933"/>
      <c r="U98" s="933"/>
      <c r="V98" s="933"/>
      <c r="W98" s="933"/>
      <c r="X98" s="933"/>
      <c r="Y98" s="933"/>
      <c r="Z98" s="933"/>
      <c r="AA98" s="933"/>
      <c r="AB98" s="933"/>
      <c r="AC98" s="933"/>
      <c r="AD98" s="933"/>
    </row>
    <row r="99" spans="1:30" ht="12.75">
      <c r="A99" s="933"/>
      <c r="B99" s="933"/>
      <c r="C99" s="933"/>
      <c r="D99" s="933"/>
      <c r="E99" s="933"/>
      <c r="F99" s="933"/>
      <c r="G99" s="933"/>
      <c r="H99" s="933"/>
      <c r="I99" s="933"/>
      <c r="J99" s="933"/>
      <c r="K99" s="935"/>
      <c r="L99" s="933"/>
      <c r="M99" s="933"/>
      <c r="N99" s="945"/>
      <c r="O99" s="933"/>
      <c r="P99" s="933"/>
      <c r="Q99" s="933"/>
      <c r="R99" s="933"/>
      <c r="S99" s="933"/>
      <c r="T99" s="933"/>
      <c r="U99" s="933"/>
      <c r="V99" s="933"/>
      <c r="W99" s="933"/>
      <c r="X99" s="933"/>
      <c r="Y99" s="933"/>
      <c r="Z99" s="933"/>
      <c r="AA99" s="933"/>
      <c r="AB99" s="933"/>
      <c r="AC99" s="933"/>
      <c r="AD99" s="933"/>
    </row>
    <row r="100" spans="1:30" ht="12.75">
      <c r="A100" s="933"/>
      <c r="B100" s="933"/>
      <c r="C100" s="933"/>
      <c r="D100" s="933"/>
      <c r="E100" s="933"/>
      <c r="F100" s="933"/>
      <c r="G100" s="933"/>
      <c r="H100" s="933"/>
      <c r="I100" s="933"/>
      <c r="J100" s="933"/>
      <c r="K100" s="935"/>
      <c r="L100" s="933"/>
      <c r="M100" s="933"/>
      <c r="N100" s="945"/>
      <c r="O100" s="933"/>
      <c r="P100" s="933"/>
      <c r="Q100" s="933"/>
      <c r="R100" s="933"/>
      <c r="S100" s="933"/>
      <c r="T100" s="933"/>
      <c r="U100" s="933"/>
      <c r="V100" s="933"/>
      <c r="W100" s="933"/>
      <c r="X100" s="933"/>
      <c r="Y100" s="933"/>
      <c r="Z100" s="933"/>
      <c r="AA100" s="933"/>
      <c r="AB100" s="933"/>
      <c r="AC100" s="933"/>
      <c r="AD100" s="933"/>
    </row>
    <row r="101" spans="1:30" ht="12.75">
      <c r="A101" s="933"/>
      <c r="B101" s="933"/>
      <c r="C101" s="933"/>
      <c r="D101" s="933"/>
      <c r="E101" s="933"/>
      <c r="F101" s="933"/>
      <c r="G101" s="933"/>
      <c r="H101" s="933"/>
      <c r="I101" s="933"/>
      <c r="J101" s="933"/>
      <c r="K101" s="935"/>
      <c r="L101" s="933"/>
      <c r="M101" s="933"/>
      <c r="N101" s="945"/>
      <c r="O101" s="933"/>
      <c r="P101" s="933"/>
      <c r="Q101" s="933"/>
      <c r="R101" s="933"/>
      <c r="S101" s="933"/>
      <c r="T101" s="933"/>
      <c r="U101" s="933"/>
      <c r="V101" s="933"/>
      <c r="W101" s="933"/>
      <c r="X101" s="933"/>
      <c r="Y101" s="933"/>
      <c r="Z101" s="933"/>
      <c r="AA101" s="933"/>
      <c r="AB101" s="933"/>
      <c r="AC101" s="933"/>
      <c r="AD101" s="933"/>
    </row>
    <row r="102" spans="1:30" ht="12.75">
      <c r="A102" s="933"/>
      <c r="B102" s="933"/>
      <c r="C102" s="933"/>
      <c r="D102" s="933"/>
      <c r="E102" s="933"/>
      <c r="F102" s="933"/>
      <c r="G102" s="933"/>
      <c r="H102" s="933"/>
      <c r="I102" s="933"/>
      <c r="J102" s="933"/>
      <c r="K102" s="935"/>
      <c r="L102" s="933"/>
      <c r="M102" s="933"/>
      <c r="N102" s="945"/>
      <c r="O102" s="933"/>
      <c r="P102" s="933"/>
      <c r="Q102" s="933"/>
      <c r="R102" s="933"/>
      <c r="S102" s="933"/>
      <c r="T102" s="933"/>
      <c r="U102" s="933"/>
      <c r="V102" s="933"/>
      <c r="W102" s="933"/>
      <c r="X102" s="933"/>
      <c r="Y102" s="933"/>
      <c r="Z102" s="933"/>
      <c r="AA102" s="933"/>
      <c r="AB102" s="933"/>
      <c r="AC102" s="933"/>
      <c r="AD102" s="933"/>
    </row>
    <row r="103" spans="1:30" ht="12.75">
      <c r="A103" s="933"/>
      <c r="B103" s="933"/>
      <c r="C103" s="933"/>
      <c r="D103" s="933"/>
      <c r="E103" s="933"/>
      <c r="F103" s="933"/>
      <c r="G103" s="933"/>
      <c r="H103" s="933"/>
      <c r="I103" s="933"/>
      <c r="J103" s="933"/>
      <c r="K103" s="935"/>
      <c r="L103" s="933"/>
      <c r="M103" s="933"/>
      <c r="N103" s="945"/>
      <c r="O103" s="933"/>
      <c r="P103" s="933"/>
      <c r="Q103" s="933"/>
      <c r="R103" s="933"/>
      <c r="S103" s="933"/>
      <c r="T103" s="933"/>
      <c r="U103" s="933"/>
      <c r="V103" s="933"/>
      <c r="W103" s="933"/>
      <c r="X103" s="933"/>
      <c r="Y103" s="933"/>
      <c r="Z103" s="933"/>
      <c r="AA103" s="933"/>
      <c r="AB103" s="933"/>
      <c r="AC103" s="933"/>
      <c r="AD103" s="933"/>
    </row>
    <row r="104" spans="1:30" ht="12.75">
      <c r="A104" s="933"/>
      <c r="B104" s="933"/>
      <c r="C104" s="933"/>
      <c r="D104" s="933"/>
      <c r="E104" s="933"/>
      <c r="F104" s="933"/>
      <c r="G104" s="933"/>
      <c r="H104" s="933"/>
      <c r="I104" s="933"/>
      <c r="J104" s="933"/>
      <c r="K104" s="935"/>
      <c r="L104" s="933"/>
      <c r="M104" s="933"/>
      <c r="N104" s="945"/>
      <c r="O104" s="933"/>
      <c r="P104" s="933"/>
      <c r="Q104" s="933"/>
      <c r="R104" s="933"/>
      <c r="S104" s="933"/>
      <c r="T104" s="933"/>
      <c r="U104" s="933"/>
      <c r="V104" s="933"/>
      <c r="W104" s="933"/>
      <c r="X104" s="933"/>
      <c r="Y104" s="933"/>
      <c r="Z104" s="933"/>
      <c r="AA104" s="933"/>
      <c r="AB104" s="933"/>
      <c r="AC104" s="933"/>
      <c r="AD104" s="933"/>
    </row>
    <row r="105" spans="1:30" ht="12.75">
      <c r="A105" s="933"/>
      <c r="B105" s="933"/>
      <c r="C105" s="933"/>
      <c r="D105" s="933"/>
      <c r="E105" s="933"/>
      <c r="F105" s="933"/>
      <c r="G105" s="933"/>
      <c r="H105" s="933"/>
      <c r="I105" s="933"/>
      <c r="J105" s="933"/>
      <c r="K105" s="935"/>
      <c r="L105" s="933"/>
      <c r="M105" s="933"/>
      <c r="N105" s="945"/>
      <c r="O105" s="933"/>
      <c r="P105" s="933"/>
      <c r="Q105" s="933"/>
      <c r="R105" s="933"/>
      <c r="S105" s="933"/>
      <c r="T105" s="933"/>
      <c r="U105" s="933"/>
      <c r="V105" s="933"/>
      <c r="W105" s="933"/>
      <c r="X105" s="933"/>
      <c r="Y105" s="933"/>
      <c r="Z105" s="933"/>
      <c r="AA105" s="933"/>
      <c r="AB105" s="933"/>
      <c r="AC105" s="933"/>
      <c r="AD105" s="933"/>
    </row>
    <row r="106" spans="1:30" ht="12.75">
      <c r="A106" s="933"/>
      <c r="B106" s="933"/>
      <c r="C106" s="933"/>
      <c r="D106" s="933"/>
      <c r="E106" s="933"/>
      <c r="F106" s="933"/>
      <c r="G106" s="933"/>
      <c r="H106" s="933"/>
      <c r="I106" s="933"/>
      <c r="J106" s="933"/>
      <c r="K106" s="935"/>
      <c r="L106" s="933"/>
      <c r="M106" s="933"/>
      <c r="N106" s="945"/>
      <c r="O106" s="933"/>
      <c r="P106" s="933"/>
      <c r="Q106" s="933"/>
      <c r="R106" s="933"/>
      <c r="S106" s="933"/>
      <c r="T106" s="933"/>
      <c r="U106" s="933"/>
      <c r="V106" s="933"/>
      <c r="W106" s="933"/>
      <c r="X106" s="933"/>
      <c r="Y106" s="933"/>
      <c r="Z106" s="933"/>
      <c r="AA106" s="933"/>
      <c r="AB106" s="933"/>
      <c r="AC106" s="933"/>
      <c r="AD106" s="933"/>
    </row>
    <row r="107" spans="1:30" ht="12.75">
      <c r="A107" s="933"/>
      <c r="B107" s="933"/>
      <c r="C107" s="933"/>
      <c r="D107" s="933"/>
      <c r="E107" s="933"/>
      <c r="F107" s="933"/>
      <c r="G107" s="933"/>
      <c r="H107" s="933"/>
      <c r="I107" s="933"/>
      <c r="J107" s="933"/>
      <c r="K107" s="935"/>
      <c r="L107" s="933"/>
      <c r="M107" s="933"/>
      <c r="N107" s="945"/>
      <c r="O107" s="933"/>
      <c r="P107" s="933"/>
      <c r="Q107" s="933"/>
      <c r="R107" s="933"/>
      <c r="S107" s="933"/>
      <c r="T107" s="933"/>
      <c r="U107" s="933"/>
      <c r="V107" s="933"/>
      <c r="W107" s="933"/>
      <c r="X107" s="933"/>
      <c r="Y107" s="933"/>
      <c r="Z107" s="933"/>
      <c r="AA107" s="933"/>
      <c r="AB107" s="933"/>
      <c r="AC107" s="933"/>
      <c r="AD107" s="933"/>
    </row>
    <row r="108" spans="1:30" ht="12.75">
      <c r="A108" s="933"/>
      <c r="B108" s="933"/>
      <c r="C108" s="933"/>
      <c r="D108" s="933"/>
      <c r="E108" s="933"/>
      <c r="F108" s="933"/>
      <c r="G108" s="933"/>
      <c r="H108" s="933"/>
      <c r="I108" s="933"/>
      <c r="J108" s="933"/>
      <c r="K108" s="935"/>
      <c r="L108" s="933"/>
      <c r="M108" s="933"/>
      <c r="N108" s="945"/>
      <c r="O108" s="933"/>
      <c r="P108" s="933"/>
      <c r="Q108" s="933"/>
      <c r="R108" s="933"/>
      <c r="S108" s="933"/>
      <c r="T108" s="933"/>
      <c r="U108" s="933"/>
      <c r="V108" s="933"/>
      <c r="W108" s="933"/>
      <c r="X108" s="933"/>
      <c r="Y108" s="933"/>
      <c r="Z108" s="933"/>
      <c r="AA108" s="933"/>
      <c r="AB108" s="933"/>
      <c r="AC108" s="933"/>
      <c r="AD108" s="933"/>
    </row>
    <row r="109" spans="1:30" ht="12.75">
      <c r="A109" s="933"/>
      <c r="B109" s="933"/>
      <c r="C109" s="933"/>
      <c r="D109" s="933"/>
      <c r="E109" s="933"/>
      <c r="F109" s="933"/>
      <c r="G109" s="933"/>
      <c r="H109" s="933"/>
      <c r="I109" s="933"/>
      <c r="J109" s="933"/>
      <c r="K109" s="935"/>
      <c r="L109" s="933"/>
      <c r="M109" s="933"/>
      <c r="N109" s="945"/>
      <c r="O109" s="933"/>
      <c r="P109" s="933"/>
      <c r="Q109" s="933"/>
      <c r="R109" s="933"/>
      <c r="S109" s="933"/>
      <c r="T109" s="933"/>
      <c r="U109" s="933"/>
      <c r="V109" s="933"/>
      <c r="W109" s="933"/>
      <c r="X109" s="933"/>
      <c r="Y109" s="933"/>
      <c r="Z109" s="933"/>
      <c r="AA109" s="933"/>
      <c r="AB109" s="933"/>
      <c r="AC109" s="933"/>
      <c r="AD109" s="933"/>
    </row>
    <row r="110" spans="1:30" ht="12.75">
      <c r="A110" s="933"/>
      <c r="B110" s="933"/>
      <c r="C110" s="933"/>
      <c r="D110" s="933"/>
      <c r="E110" s="933"/>
      <c r="F110" s="933"/>
      <c r="G110" s="933"/>
      <c r="H110" s="933"/>
      <c r="I110" s="933"/>
      <c r="J110" s="933"/>
      <c r="K110" s="935"/>
      <c r="L110" s="933"/>
      <c r="M110" s="933"/>
      <c r="N110" s="945"/>
      <c r="O110" s="933"/>
      <c r="P110" s="933"/>
      <c r="Q110" s="933"/>
      <c r="R110" s="933"/>
      <c r="S110" s="933"/>
      <c r="T110" s="933"/>
      <c r="U110" s="933"/>
      <c r="V110" s="933"/>
      <c r="W110" s="933"/>
      <c r="X110" s="933"/>
      <c r="Y110" s="933"/>
      <c r="Z110" s="933"/>
      <c r="AA110" s="933"/>
      <c r="AB110" s="933"/>
      <c r="AC110" s="933"/>
      <c r="AD110" s="933"/>
    </row>
    <row r="111" spans="1:30" ht="12.75">
      <c r="A111" s="933"/>
      <c r="B111" s="933"/>
      <c r="C111" s="933"/>
      <c r="D111" s="933"/>
      <c r="E111" s="933"/>
      <c r="F111" s="933"/>
      <c r="G111" s="933"/>
      <c r="H111" s="933"/>
      <c r="I111" s="933"/>
      <c r="J111" s="933"/>
      <c r="K111" s="935"/>
      <c r="L111" s="933"/>
      <c r="M111" s="933"/>
      <c r="N111" s="945"/>
      <c r="O111" s="933"/>
      <c r="P111" s="933"/>
      <c r="Q111" s="933"/>
      <c r="R111" s="933"/>
      <c r="S111" s="933"/>
      <c r="T111" s="933"/>
      <c r="U111" s="933"/>
      <c r="V111" s="933"/>
      <c r="W111" s="933"/>
      <c r="X111" s="933"/>
      <c r="Y111" s="933"/>
      <c r="Z111" s="933"/>
      <c r="AA111" s="933"/>
      <c r="AB111" s="933"/>
      <c r="AC111" s="933"/>
      <c r="AD111" s="933"/>
    </row>
    <row r="112" spans="1:30" ht="12.75">
      <c r="A112" s="933"/>
      <c r="B112" s="933"/>
      <c r="C112" s="933"/>
      <c r="D112" s="933"/>
      <c r="E112" s="933"/>
      <c r="F112" s="933"/>
      <c r="G112" s="933"/>
      <c r="H112" s="933"/>
      <c r="I112" s="933"/>
      <c r="J112" s="933"/>
      <c r="K112" s="935"/>
      <c r="L112" s="933"/>
      <c r="M112" s="933"/>
      <c r="N112" s="945"/>
      <c r="O112" s="933"/>
      <c r="P112" s="933"/>
      <c r="Q112" s="933"/>
      <c r="R112" s="933"/>
      <c r="S112" s="933"/>
      <c r="T112" s="933"/>
      <c r="U112" s="933"/>
      <c r="V112" s="933"/>
      <c r="W112" s="933"/>
      <c r="X112" s="933"/>
      <c r="Y112" s="933"/>
      <c r="Z112" s="933"/>
      <c r="AA112" s="933"/>
      <c r="AB112" s="933"/>
      <c r="AC112" s="933"/>
      <c r="AD112" s="933"/>
    </row>
    <row r="113" spans="1:30" ht="12.75">
      <c r="A113" s="933"/>
      <c r="B113" s="933"/>
      <c r="C113" s="933"/>
      <c r="D113" s="933"/>
      <c r="E113" s="933"/>
      <c r="F113" s="933"/>
      <c r="G113" s="933"/>
      <c r="H113" s="933"/>
      <c r="I113" s="933"/>
      <c r="J113" s="933"/>
      <c r="K113" s="935"/>
      <c r="L113" s="933"/>
      <c r="M113" s="933"/>
      <c r="N113" s="945"/>
      <c r="O113" s="933"/>
      <c r="P113" s="933"/>
      <c r="Q113" s="933"/>
      <c r="R113" s="933"/>
      <c r="S113" s="933"/>
      <c r="T113" s="933"/>
      <c r="U113" s="933"/>
      <c r="V113" s="933"/>
      <c r="W113" s="933"/>
      <c r="X113" s="933"/>
      <c r="Y113" s="933"/>
      <c r="Z113" s="933"/>
      <c r="AA113" s="933"/>
      <c r="AB113" s="933"/>
      <c r="AC113" s="933"/>
      <c r="AD113" s="933"/>
    </row>
    <row r="114" spans="1:30" ht="12.75">
      <c r="A114" s="933"/>
      <c r="B114" s="933"/>
      <c r="C114" s="933"/>
      <c r="D114" s="933"/>
      <c r="E114" s="933"/>
      <c r="F114" s="933"/>
      <c r="G114" s="933"/>
      <c r="H114" s="933"/>
      <c r="I114" s="933"/>
      <c r="J114" s="933"/>
      <c r="K114" s="935"/>
      <c r="L114" s="933"/>
      <c r="M114" s="933"/>
      <c r="N114" s="945"/>
      <c r="O114" s="933"/>
      <c r="P114" s="933"/>
      <c r="Q114" s="933"/>
      <c r="R114" s="933"/>
      <c r="S114" s="933"/>
      <c r="T114" s="933"/>
      <c r="U114" s="933"/>
      <c r="V114" s="933"/>
      <c r="W114" s="933"/>
      <c r="X114" s="933"/>
      <c r="Y114" s="933"/>
      <c r="Z114" s="933"/>
      <c r="AA114" s="933"/>
      <c r="AB114" s="933"/>
      <c r="AC114" s="933"/>
      <c r="AD114" s="933"/>
    </row>
    <row r="115" spans="1:30" ht="12.75">
      <c r="A115" s="933"/>
      <c r="B115" s="933"/>
      <c r="C115" s="933"/>
      <c r="D115" s="933"/>
      <c r="E115" s="933"/>
      <c r="F115" s="933"/>
      <c r="G115" s="933"/>
      <c r="H115" s="933"/>
      <c r="I115" s="933"/>
      <c r="J115" s="933"/>
      <c r="K115" s="935"/>
      <c r="L115" s="933"/>
      <c r="M115" s="933"/>
      <c r="N115" s="945"/>
      <c r="O115" s="933"/>
      <c r="P115" s="933"/>
      <c r="Q115" s="933"/>
      <c r="R115" s="933"/>
      <c r="S115" s="933"/>
      <c r="T115" s="933"/>
      <c r="U115" s="933"/>
      <c r="V115" s="933"/>
      <c r="W115" s="933"/>
      <c r="X115" s="933"/>
      <c r="Y115" s="933"/>
      <c r="Z115" s="933"/>
      <c r="AA115" s="933"/>
      <c r="AB115" s="933"/>
      <c r="AC115" s="933"/>
      <c r="AD115" s="933"/>
    </row>
    <row r="116" spans="1:30" ht="12.75">
      <c r="A116" s="933"/>
      <c r="B116" s="933"/>
      <c r="C116" s="933"/>
      <c r="D116" s="933"/>
      <c r="E116" s="933"/>
      <c r="F116" s="933"/>
      <c r="G116" s="933"/>
      <c r="H116" s="933"/>
      <c r="I116" s="933"/>
      <c r="J116" s="933"/>
      <c r="K116" s="935"/>
      <c r="L116" s="933"/>
      <c r="M116" s="933"/>
      <c r="N116" s="945"/>
      <c r="O116" s="933"/>
      <c r="P116" s="933"/>
      <c r="Q116" s="933"/>
      <c r="R116" s="933"/>
      <c r="S116" s="933"/>
      <c r="T116" s="933"/>
      <c r="U116" s="933"/>
      <c r="V116" s="933"/>
      <c r="W116" s="933"/>
      <c r="X116" s="933"/>
      <c r="Y116" s="933"/>
      <c r="Z116" s="933"/>
      <c r="AA116" s="933"/>
      <c r="AB116" s="933"/>
      <c r="AC116" s="933"/>
      <c r="AD116" s="933"/>
    </row>
    <row r="117" spans="1:30" ht="12.75">
      <c r="A117" s="933"/>
      <c r="B117" s="933"/>
      <c r="C117" s="933"/>
      <c r="D117" s="933"/>
      <c r="E117" s="933"/>
      <c r="F117" s="933"/>
      <c r="G117" s="933"/>
      <c r="H117" s="933"/>
      <c r="I117" s="933"/>
      <c r="J117" s="933"/>
      <c r="K117" s="935"/>
      <c r="L117" s="933"/>
      <c r="M117" s="933"/>
      <c r="N117" s="945"/>
      <c r="O117" s="933"/>
      <c r="P117" s="933"/>
      <c r="Q117" s="933"/>
      <c r="R117" s="933"/>
      <c r="S117" s="933"/>
      <c r="T117" s="933"/>
      <c r="U117" s="933"/>
      <c r="V117" s="933"/>
      <c r="W117" s="933"/>
      <c r="X117" s="933"/>
      <c r="Y117" s="933"/>
      <c r="Z117" s="933"/>
      <c r="AA117" s="933"/>
      <c r="AB117" s="933"/>
      <c r="AC117" s="933"/>
      <c r="AD117" s="933"/>
    </row>
    <row r="118" spans="1:30" ht="12.75">
      <c r="A118" s="933"/>
      <c r="B118" s="933"/>
      <c r="C118" s="933"/>
      <c r="D118" s="933"/>
      <c r="E118" s="933"/>
      <c r="F118" s="933"/>
      <c r="G118" s="933"/>
      <c r="H118" s="933"/>
      <c r="I118" s="933"/>
      <c r="J118" s="933"/>
      <c r="K118" s="935"/>
      <c r="L118" s="933"/>
      <c r="M118" s="933"/>
      <c r="N118" s="945"/>
      <c r="O118" s="933"/>
      <c r="P118" s="933"/>
      <c r="Q118" s="933"/>
      <c r="R118" s="933"/>
      <c r="S118" s="933"/>
      <c r="T118" s="933"/>
      <c r="U118" s="933"/>
      <c r="V118" s="933"/>
      <c r="W118" s="933"/>
      <c r="X118" s="933"/>
      <c r="Y118" s="933"/>
      <c r="Z118" s="933"/>
      <c r="AA118" s="933"/>
      <c r="AB118" s="933"/>
      <c r="AC118" s="933"/>
      <c r="AD118" s="933"/>
    </row>
    <row r="119" spans="1:30" ht="12.75">
      <c r="A119" s="933"/>
      <c r="B119" s="933"/>
      <c r="C119" s="933"/>
      <c r="D119" s="933"/>
      <c r="E119" s="933"/>
      <c r="F119" s="933"/>
      <c r="G119" s="933"/>
      <c r="H119" s="933"/>
      <c r="I119" s="933"/>
      <c r="J119" s="933"/>
      <c r="K119" s="935"/>
      <c r="L119" s="933"/>
      <c r="M119" s="933"/>
      <c r="N119" s="945"/>
      <c r="O119" s="933"/>
      <c r="P119" s="933"/>
      <c r="Q119" s="933"/>
      <c r="R119" s="933"/>
      <c r="S119" s="933"/>
      <c r="T119" s="933"/>
      <c r="U119" s="933"/>
      <c r="V119" s="933"/>
      <c r="W119" s="933"/>
      <c r="X119" s="933"/>
      <c r="Y119" s="933"/>
      <c r="Z119" s="933"/>
      <c r="AA119" s="933"/>
      <c r="AB119" s="933"/>
      <c r="AC119" s="933"/>
      <c r="AD119" s="933"/>
    </row>
    <row r="120" spans="1:30" ht="12.75">
      <c r="A120" s="933"/>
      <c r="B120" s="933"/>
      <c r="C120" s="933"/>
      <c r="D120" s="933"/>
      <c r="E120" s="933"/>
      <c r="F120" s="933"/>
      <c r="G120" s="933"/>
      <c r="H120" s="933"/>
      <c r="I120" s="933"/>
      <c r="J120" s="933"/>
      <c r="K120" s="935"/>
      <c r="L120" s="933"/>
      <c r="M120" s="933"/>
      <c r="N120" s="945"/>
      <c r="O120" s="933"/>
      <c r="P120" s="933"/>
      <c r="Q120" s="933"/>
      <c r="R120" s="933"/>
      <c r="S120" s="933"/>
      <c r="T120" s="933"/>
      <c r="U120" s="933"/>
      <c r="V120" s="933"/>
      <c r="W120" s="933"/>
      <c r="X120" s="933"/>
      <c r="Y120" s="933"/>
      <c r="Z120" s="933"/>
      <c r="AA120" s="933"/>
      <c r="AB120" s="933"/>
      <c r="AC120" s="933"/>
      <c r="AD120" s="933"/>
    </row>
    <row r="121" spans="1:30" ht="12.75">
      <c r="A121" s="933"/>
      <c r="B121" s="933"/>
      <c r="C121" s="933"/>
      <c r="D121" s="933"/>
      <c r="E121" s="933"/>
      <c r="F121" s="933"/>
      <c r="G121" s="933"/>
      <c r="H121" s="933"/>
      <c r="I121" s="933"/>
      <c r="J121" s="933"/>
      <c r="K121" s="935"/>
      <c r="L121" s="933"/>
      <c r="M121" s="933"/>
      <c r="N121" s="945"/>
      <c r="O121" s="933"/>
      <c r="P121" s="933"/>
      <c r="Q121" s="933"/>
      <c r="R121" s="933"/>
      <c r="S121" s="933"/>
      <c r="T121" s="933"/>
      <c r="U121" s="933"/>
      <c r="V121" s="933"/>
      <c r="W121" s="933"/>
      <c r="X121" s="933"/>
      <c r="Y121" s="933"/>
      <c r="Z121" s="933"/>
      <c r="AA121" s="933"/>
      <c r="AB121" s="933"/>
      <c r="AC121" s="933"/>
      <c r="AD121" s="933"/>
    </row>
    <row r="122" spans="1:30" ht="12.75">
      <c r="A122" s="933"/>
      <c r="B122" s="933"/>
      <c r="C122" s="933"/>
      <c r="D122" s="933"/>
      <c r="E122" s="933"/>
      <c r="F122" s="933"/>
      <c r="G122" s="933"/>
      <c r="H122" s="933"/>
      <c r="I122" s="933"/>
      <c r="J122" s="933"/>
      <c r="K122" s="935"/>
      <c r="L122" s="933"/>
      <c r="M122" s="933"/>
      <c r="N122" s="945"/>
      <c r="O122" s="933"/>
      <c r="P122" s="933"/>
      <c r="Q122" s="933"/>
      <c r="R122" s="933"/>
      <c r="S122" s="933"/>
      <c r="T122" s="933"/>
      <c r="U122" s="933"/>
      <c r="V122" s="933"/>
      <c r="W122" s="933"/>
      <c r="X122" s="933"/>
      <c r="Y122" s="933"/>
      <c r="Z122" s="933"/>
      <c r="AA122" s="933"/>
      <c r="AB122" s="933"/>
      <c r="AC122" s="933"/>
      <c r="AD122" s="933"/>
    </row>
    <row r="123" spans="1:30" ht="12.75">
      <c r="A123" s="933"/>
      <c r="B123" s="933"/>
      <c r="C123" s="933"/>
      <c r="D123" s="933"/>
      <c r="E123" s="933"/>
      <c r="F123" s="933"/>
      <c r="G123" s="933"/>
      <c r="H123" s="933"/>
      <c r="I123" s="933"/>
      <c r="J123" s="933"/>
      <c r="K123" s="935"/>
      <c r="L123" s="933"/>
      <c r="M123" s="933"/>
      <c r="N123" s="945"/>
      <c r="O123" s="933"/>
      <c r="P123" s="933"/>
      <c r="Q123" s="933"/>
      <c r="R123" s="933"/>
      <c r="S123" s="933"/>
      <c r="T123" s="933"/>
      <c r="U123" s="933"/>
      <c r="V123" s="933"/>
      <c r="W123" s="933"/>
      <c r="X123" s="933"/>
      <c r="Y123" s="933"/>
      <c r="Z123" s="933"/>
      <c r="AA123" s="933"/>
      <c r="AB123" s="933"/>
      <c r="AC123" s="933"/>
      <c r="AD123" s="933"/>
    </row>
    <row r="124" spans="1:30" ht="12.75">
      <c r="A124" s="933"/>
      <c r="B124" s="933"/>
      <c r="C124" s="933"/>
      <c r="D124" s="933"/>
      <c r="E124" s="933"/>
      <c r="F124" s="933"/>
      <c r="G124" s="933"/>
      <c r="H124" s="933"/>
      <c r="I124" s="933"/>
      <c r="J124" s="933"/>
      <c r="K124" s="935"/>
      <c r="L124" s="933"/>
      <c r="M124" s="933"/>
      <c r="N124" s="945"/>
      <c r="O124" s="933"/>
      <c r="P124" s="933"/>
      <c r="Q124" s="933"/>
      <c r="R124" s="933"/>
      <c r="S124" s="933"/>
      <c r="T124" s="933"/>
      <c r="U124" s="933"/>
      <c r="V124" s="933"/>
      <c r="W124" s="933"/>
      <c r="X124" s="933"/>
      <c r="Y124" s="933"/>
      <c r="Z124" s="933"/>
      <c r="AA124" s="933"/>
      <c r="AB124" s="933"/>
      <c r="AC124" s="933"/>
      <c r="AD124" s="933"/>
    </row>
    <row r="125" spans="1:30" ht="12.75">
      <c r="A125" s="933"/>
      <c r="B125" s="933"/>
      <c r="C125" s="933"/>
      <c r="D125" s="933"/>
      <c r="E125" s="933"/>
      <c r="F125" s="933"/>
      <c r="G125" s="933"/>
      <c r="H125" s="933"/>
      <c r="I125" s="933"/>
      <c r="J125" s="933"/>
      <c r="K125" s="935"/>
      <c r="L125" s="933"/>
      <c r="M125" s="933"/>
      <c r="N125" s="945"/>
      <c r="O125" s="933"/>
      <c r="P125" s="933"/>
      <c r="Q125" s="933"/>
      <c r="R125" s="933"/>
      <c r="S125" s="933"/>
      <c r="T125" s="933"/>
      <c r="U125" s="933"/>
      <c r="V125" s="933"/>
      <c r="W125" s="933"/>
      <c r="X125" s="933"/>
      <c r="Y125" s="933"/>
      <c r="Z125" s="933"/>
      <c r="AA125" s="933"/>
      <c r="AB125" s="933"/>
      <c r="AC125" s="933"/>
      <c r="AD125" s="933"/>
    </row>
    <row r="126" spans="1:30" ht="12.75">
      <c r="A126" s="933"/>
      <c r="B126" s="933"/>
      <c r="C126" s="933"/>
      <c r="D126" s="933"/>
      <c r="E126" s="933"/>
      <c r="F126" s="933"/>
      <c r="G126" s="933"/>
      <c r="H126" s="933"/>
      <c r="I126" s="933"/>
      <c r="J126" s="933"/>
      <c r="K126" s="935"/>
      <c r="L126" s="933"/>
      <c r="M126" s="933"/>
      <c r="N126" s="945"/>
      <c r="O126" s="933"/>
      <c r="P126" s="933"/>
      <c r="Q126" s="933"/>
      <c r="R126" s="933"/>
      <c r="S126" s="933"/>
      <c r="T126" s="933"/>
      <c r="U126" s="933"/>
      <c r="V126" s="933"/>
      <c r="W126" s="933"/>
      <c r="X126" s="933"/>
      <c r="Y126" s="933"/>
      <c r="Z126" s="933"/>
      <c r="AA126" s="933"/>
      <c r="AB126" s="933"/>
      <c r="AC126" s="933"/>
      <c r="AD126" s="933"/>
    </row>
    <row r="127" spans="1:30" ht="12.75">
      <c r="A127" s="933"/>
      <c r="B127" s="933"/>
      <c r="C127" s="933"/>
      <c r="D127" s="933"/>
      <c r="E127" s="933"/>
      <c r="F127" s="933"/>
      <c r="G127" s="933"/>
      <c r="H127" s="933"/>
      <c r="I127" s="933"/>
      <c r="J127" s="933"/>
      <c r="K127" s="935"/>
      <c r="L127" s="933"/>
      <c r="M127" s="933"/>
      <c r="N127" s="945"/>
      <c r="O127" s="933"/>
      <c r="P127" s="933"/>
      <c r="Q127" s="933"/>
      <c r="R127" s="933"/>
      <c r="S127" s="933"/>
      <c r="T127" s="933"/>
      <c r="U127" s="933"/>
      <c r="V127" s="933"/>
      <c r="W127" s="933"/>
      <c r="X127" s="933"/>
      <c r="Y127" s="933"/>
      <c r="Z127" s="933"/>
      <c r="AA127" s="933"/>
      <c r="AB127" s="933"/>
      <c r="AC127" s="933"/>
      <c r="AD127" s="933"/>
    </row>
    <row r="128" spans="1:30" ht="12.75">
      <c r="A128" s="933"/>
      <c r="B128" s="933"/>
      <c r="C128" s="933"/>
      <c r="D128" s="933"/>
      <c r="E128" s="933"/>
      <c r="F128" s="933"/>
      <c r="G128" s="933"/>
      <c r="H128" s="933"/>
      <c r="I128" s="933"/>
      <c r="J128" s="933"/>
      <c r="K128" s="935"/>
      <c r="L128" s="933"/>
      <c r="M128" s="933"/>
      <c r="N128" s="945"/>
      <c r="O128" s="933"/>
      <c r="P128" s="933"/>
      <c r="Q128" s="933"/>
      <c r="R128" s="933"/>
      <c r="S128" s="933"/>
      <c r="T128" s="933"/>
      <c r="U128" s="933"/>
      <c r="V128" s="933"/>
      <c r="W128" s="933"/>
      <c r="X128" s="933"/>
      <c r="Y128" s="933"/>
      <c r="Z128" s="933"/>
      <c r="AA128" s="933"/>
      <c r="AB128" s="933"/>
      <c r="AC128" s="933"/>
      <c r="AD128" s="933"/>
    </row>
    <row r="129" spans="1:30" ht="12.75">
      <c r="A129" s="933"/>
      <c r="B129" s="933"/>
      <c r="C129" s="933"/>
      <c r="D129" s="933"/>
      <c r="E129" s="933"/>
      <c r="F129" s="933"/>
      <c r="G129" s="933"/>
      <c r="H129" s="933"/>
      <c r="I129" s="933"/>
      <c r="J129" s="933"/>
      <c r="K129" s="935"/>
      <c r="L129" s="933"/>
      <c r="M129" s="933"/>
      <c r="N129" s="945"/>
      <c r="O129" s="933"/>
      <c r="P129" s="933"/>
      <c r="Q129" s="933"/>
      <c r="R129" s="933"/>
      <c r="S129" s="933"/>
      <c r="T129" s="933"/>
      <c r="U129" s="933"/>
      <c r="V129" s="933"/>
      <c r="W129" s="933"/>
      <c r="X129" s="933"/>
      <c r="Y129" s="933"/>
      <c r="Z129" s="933"/>
      <c r="AA129" s="933"/>
      <c r="AB129" s="933"/>
      <c r="AC129" s="933"/>
      <c r="AD129" s="933"/>
    </row>
    <row r="130" spans="1:30" ht="12.75">
      <c r="A130" s="933"/>
      <c r="B130" s="933"/>
      <c r="C130" s="933"/>
      <c r="D130" s="933"/>
      <c r="E130" s="933"/>
      <c r="F130" s="933"/>
      <c r="G130" s="933"/>
      <c r="H130" s="933"/>
      <c r="I130" s="933"/>
      <c r="J130" s="933"/>
      <c r="K130" s="935"/>
      <c r="L130" s="933"/>
      <c r="M130" s="933"/>
      <c r="N130" s="945"/>
      <c r="O130" s="933"/>
      <c r="P130" s="933"/>
      <c r="Q130" s="933"/>
      <c r="R130" s="933"/>
      <c r="S130" s="933"/>
      <c r="T130" s="933"/>
      <c r="U130" s="933"/>
      <c r="V130" s="933"/>
      <c r="W130" s="933"/>
      <c r="X130" s="933"/>
      <c r="Y130" s="933"/>
      <c r="Z130" s="933"/>
      <c r="AA130" s="933"/>
      <c r="AB130" s="933"/>
      <c r="AC130" s="933"/>
      <c r="AD130" s="933"/>
    </row>
    <row r="131" spans="1:30" ht="12.75">
      <c r="A131" s="933"/>
      <c r="B131" s="933"/>
      <c r="C131" s="933"/>
      <c r="D131" s="933"/>
      <c r="E131" s="933"/>
      <c r="F131" s="933"/>
      <c r="G131" s="933"/>
      <c r="H131" s="933"/>
      <c r="I131" s="933"/>
      <c r="J131" s="933"/>
      <c r="K131" s="935"/>
      <c r="L131" s="933"/>
      <c r="M131" s="933"/>
      <c r="N131" s="945"/>
      <c r="O131" s="933"/>
      <c r="P131" s="933"/>
      <c r="Q131" s="933"/>
      <c r="R131" s="933"/>
      <c r="S131" s="933"/>
      <c r="T131" s="933"/>
      <c r="U131" s="933"/>
      <c r="V131" s="933"/>
      <c r="W131" s="933"/>
      <c r="X131" s="933"/>
      <c r="Y131" s="933"/>
      <c r="Z131" s="933"/>
      <c r="AA131" s="933"/>
      <c r="AB131" s="933"/>
      <c r="AC131" s="933"/>
      <c r="AD131" s="933"/>
    </row>
    <row r="132" spans="1:30" ht="12.75">
      <c r="A132" s="933"/>
      <c r="B132" s="933"/>
      <c r="C132" s="933"/>
      <c r="D132" s="933"/>
      <c r="E132" s="933"/>
      <c r="F132" s="933"/>
      <c r="G132" s="933"/>
      <c r="H132" s="933"/>
      <c r="I132" s="933"/>
      <c r="J132" s="933"/>
      <c r="K132" s="935"/>
      <c r="L132" s="933"/>
      <c r="M132" s="933"/>
      <c r="N132" s="945"/>
      <c r="O132" s="933"/>
      <c r="P132" s="933"/>
      <c r="Q132" s="933"/>
      <c r="R132" s="933"/>
      <c r="S132" s="933"/>
      <c r="T132" s="933"/>
      <c r="U132" s="933"/>
      <c r="V132" s="933"/>
      <c r="W132" s="933"/>
      <c r="X132" s="933"/>
      <c r="Y132" s="933"/>
      <c r="Z132" s="933"/>
      <c r="AA132" s="933"/>
      <c r="AB132" s="933"/>
      <c r="AC132" s="933"/>
      <c r="AD132" s="933"/>
    </row>
    <row r="133" spans="1:30" ht="12.75">
      <c r="A133" s="933"/>
      <c r="B133" s="933"/>
      <c r="C133" s="933"/>
      <c r="D133" s="933"/>
      <c r="E133" s="933"/>
      <c r="F133" s="933"/>
      <c r="G133" s="933"/>
      <c r="H133" s="933"/>
      <c r="I133" s="933"/>
      <c r="J133" s="933"/>
      <c r="K133" s="935"/>
      <c r="L133" s="933"/>
      <c r="M133" s="933"/>
      <c r="N133" s="945"/>
      <c r="O133" s="933"/>
      <c r="P133" s="933"/>
      <c r="Q133" s="933"/>
      <c r="R133" s="933"/>
      <c r="S133" s="933"/>
      <c r="T133" s="933"/>
      <c r="U133" s="933"/>
      <c r="V133" s="933"/>
      <c r="W133" s="933"/>
      <c r="X133" s="933"/>
      <c r="Y133" s="933"/>
      <c r="Z133" s="933"/>
      <c r="AA133" s="933"/>
      <c r="AB133" s="933"/>
      <c r="AC133" s="933"/>
      <c r="AD133" s="933"/>
    </row>
    <row r="134" spans="1:30" ht="12.75">
      <c r="A134" s="933"/>
      <c r="B134" s="933"/>
      <c r="C134" s="933"/>
      <c r="D134" s="933"/>
      <c r="E134" s="933"/>
      <c r="F134" s="933"/>
      <c r="G134" s="933"/>
      <c r="H134" s="933"/>
      <c r="I134" s="933"/>
      <c r="J134" s="933"/>
      <c r="K134" s="935"/>
      <c r="L134" s="933"/>
      <c r="M134" s="933"/>
      <c r="N134" s="945"/>
      <c r="O134" s="933"/>
      <c r="P134" s="933"/>
      <c r="Q134" s="933"/>
      <c r="R134" s="933"/>
      <c r="S134" s="933"/>
      <c r="T134" s="933"/>
      <c r="U134" s="933"/>
      <c r="V134" s="933"/>
      <c r="W134" s="933"/>
      <c r="X134" s="933"/>
      <c r="Y134" s="933"/>
      <c r="Z134" s="933"/>
      <c r="AA134" s="933"/>
      <c r="AB134" s="933"/>
      <c r="AC134" s="933"/>
      <c r="AD134" s="933"/>
    </row>
    <row r="135" spans="1:30" ht="12.75">
      <c r="A135" s="933"/>
      <c r="B135" s="933"/>
      <c r="C135" s="933"/>
      <c r="D135" s="933"/>
      <c r="E135" s="933"/>
      <c r="F135" s="933"/>
      <c r="G135" s="933"/>
      <c r="H135" s="933"/>
      <c r="I135" s="933"/>
      <c r="J135" s="933"/>
      <c r="K135" s="935"/>
      <c r="L135" s="933"/>
      <c r="M135" s="933"/>
      <c r="N135" s="945"/>
      <c r="O135" s="933"/>
      <c r="P135" s="933"/>
      <c r="Q135" s="933"/>
      <c r="R135" s="933"/>
      <c r="S135" s="933"/>
      <c r="T135" s="933"/>
      <c r="U135" s="933"/>
      <c r="V135" s="933"/>
      <c r="W135" s="933"/>
      <c r="X135" s="933"/>
      <c r="Y135" s="933"/>
      <c r="Z135" s="933"/>
      <c r="AA135" s="933"/>
      <c r="AB135" s="933"/>
      <c r="AC135" s="933"/>
      <c r="AD135" s="933"/>
    </row>
    <row r="136" spans="1:30" ht="12.75">
      <c r="A136" s="933"/>
      <c r="B136" s="933"/>
      <c r="C136" s="933"/>
      <c r="D136" s="933"/>
      <c r="E136" s="933"/>
      <c r="F136" s="933"/>
      <c r="G136" s="933"/>
      <c r="H136" s="933"/>
      <c r="I136" s="933"/>
      <c r="J136" s="933"/>
      <c r="K136" s="935"/>
      <c r="L136" s="933"/>
      <c r="M136" s="933"/>
      <c r="N136" s="945"/>
      <c r="O136" s="933"/>
      <c r="P136" s="933"/>
      <c r="Q136" s="933"/>
      <c r="R136" s="933"/>
      <c r="S136" s="933"/>
      <c r="T136" s="933"/>
      <c r="U136" s="933"/>
      <c r="V136" s="933"/>
      <c r="W136" s="933"/>
      <c r="X136" s="933"/>
      <c r="Y136" s="933"/>
      <c r="Z136" s="933"/>
      <c r="AA136" s="933"/>
      <c r="AB136" s="933"/>
      <c r="AC136" s="933"/>
      <c r="AD136" s="933"/>
    </row>
    <row r="137" spans="1:30" ht="12.75">
      <c r="A137" s="933"/>
      <c r="B137" s="933"/>
      <c r="C137" s="933"/>
      <c r="D137" s="933"/>
      <c r="E137" s="933"/>
      <c r="F137" s="933"/>
      <c r="G137" s="933"/>
      <c r="H137" s="933"/>
      <c r="I137" s="933"/>
      <c r="J137" s="933"/>
      <c r="K137" s="935"/>
      <c r="L137" s="933"/>
      <c r="M137" s="933"/>
      <c r="N137" s="945"/>
      <c r="O137" s="933"/>
      <c r="P137" s="933"/>
      <c r="Q137" s="933"/>
      <c r="R137" s="933"/>
      <c r="S137" s="933"/>
      <c r="T137" s="933"/>
      <c r="U137" s="933"/>
      <c r="V137" s="933"/>
      <c r="W137" s="933"/>
      <c r="X137" s="933"/>
      <c r="Y137" s="933"/>
      <c r="Z137" s="933"/>
      <c r="AA137" s="933"/>
      <c r="AB137" s="933"/>
      <c r="AC137" s="933"/>
      <c r="AD137" s="933"/>
    </row>
    <row r="138" spans="1:30" ht="12.75">
      <c r="A138" s="933"/>
      <c r="B138" s="933"/>
      <c r="C138" s="933"/>
      <c r="D138" s="933"/>
      <c r="E138" s="933"/>
      <c r="F138" s="933"/>
      <c r="G138" s="933"/>
      <c r="H138" s="933"/>
      <c r="I138" s="933"/>
      <c r="J138" s="933"/>
      <c r="K138" s="935"/>
      <c r="L138" s="933"/>
      <c r="M138" s="933"/>
      <c r="N138" s="945"/>
      <c r="O138" s="933"/>
      <c r="P138" s="933"/>
      <c r="Q138" s="933"/>
      <c r="R138" s="933"/>
      <c r="S138" s="933"/>
      <c r="T138" s="933"/>
      <c r="U138" s="933"/>
      <c r="V138" s="933"/>
      <c r="W138" s="933"/>
      <c r="X138" s="933"/>
      <c r="Y138" s="933"/>
      <c r="Z138" s="933"/>
      <c r="AA138" s="933"/>
      <c r="AB138" s="933"/>
      <c r="AC138" s="933"/>
      <c r="AD138" s="933"/>
    </row>
    <row r="139" spans="1:30" ht="12.75">
      <c r="A139" s="933"/>
      <c r="B139" s="933"/>
      <c r="C139" s="933"/>
      <c r="D139" s="933"/>
      <c r="E139" s="933"/>
      <c r="F139" s="933"/>
      <c r="G139" s="933"/>
      <c r="H139" s="933"/>
      <c r="I139" s="933"/>
      <c r="J139" s="933"/>
      <c r="K139" s="935"/>
      <c r="L139" s="933"/>
      <c r="M139" s="933"/>
      <c r="N139" s="945"/>
      <c r="O139" s="933"/>
      <c r="P139" s="933"/>
      <c r="Q139" s="933"/>
      <c r="R139" s="933"/>
      <c r="S139" s="933"/>
      <c r="T139" s="933"/>
      <c r="U139" s="933"/>
      <c r="V139" s="933"/>
      <c r="W139" s="933"/>
      <c r="X139" s="933"/>
      <c r="Y139" s="933"/>
      <c r="Z139" s="933"/>
      <c r="AA139" s="933"/>
      <c r="AB139" s="933"/>
      <c r="AC139" s="933"/>
      <c r="AD139" s="933"/>
    </row>
    <row r="140" spans="1:30" ht="12.75">
      <c r="A140" s="933"/>
      <c r="B140" s="933"/>
      <c r="C140" s="933"/>
      <c r="D140" s="933"/>
      <c r="E140" s="933"/>
      <c r="F140" s="933"/>
      <c r="G140" s="933"/>
      <c r="H140" s="933"/>
      <c r="I140" s="933"/>
      <c r="J140" s="933"/>
      <c r="K140" s="935"/>
      <c r="L140" s="933"/>
      <c r="M140" s="933"/>
      <c r="N140" s="945"/>
      <c r="O140" s="933"/>
      <c r="P140" s="933"/>
      <c r="Q140" s="933"/>
      <c r="R140" s="933"/>
      <c r="S140" s="933"/>
      <c r="T140" s="933"/>
      <c r="U140" s="933"/>
      <c r="V140" s="933"/>
      <c r="W140" s="933"/>
      <c r="X140" s="933"/>
      <c r="Y140" s="933"/>
      <c r="Z140" s="933"/>
      <c r="AA140" s="933"/>
      <c r="AB140" s="933"/>
      <c r="AC140" s="933"/>
      <c r="AD140" s="933"/>
    </row>
    <row r="141" spans="1:30" ht="12.75">
      <c r="A141" s="933"/>
      <c r="B141" s="933"/>
      <c r="C141" s="933"/>
      <c r="D141" s="933"/>
      <c r="E141" s="933"/>
      <c r="F141" s="933"/>
      <c r="G141" s="933"/>
      <c r="H141" s="933"/>
      <c r="I141" s="933"/>
      <c r="J141" s="933"/>
      <c r="K141" s="935"/>
      <c r="L141" s="933"/>
      <c r="M141" s="933"/>
      <c r="N141" s="945"/>
      <c r="O141" s="933"/>
      <c r="P141" s="933"/>
      <c r="Q141" s="933"/>
      <c r="R141" s="933"/>
      <c r="S141" s="933"/>
      <c r="T141" s="933"/>
      <c r="U141" s="933"/>
      <c r="V141" s="933"/>
      <c r="W141" s="933"/>
      <c r="X141" s="933"/>
      <c r="Y141" s="933"/>
      <c r="Z141" s="933"/>
      <c r="AA141" s="933"/>
      <c r="AB141" s="933"/>
      <c r="AC141" s="933"/>
      <c r="AD141" s="933"/>
    </row>
    <row r="142" spans="1:30" ht="12.75">
      <c r="A142" s="933"/>
      <c r="B142" s="933"/>
      <c r="C142" s="933"/>
      <c r="D142" s="933"/>
      <c r="E142" s="933"/>
      <c r="F142" s="933"/>
      <c r="G142" s="933"/>
      <c r="H142" s="933"/>
      <c r="I142" s="933"/>
      <c r="J142" s="933"/>
      <c r="K142" s="935"/>
      <c r="L142" s="933"/>
      <c r="M142" s="933"/>
      <c r="N142" s="945"/>
      <c r="O142" s="933"/>
      <c r="P142" s="933"/>
      <c r="Q142" s="933"/>
      <c r="R142" s="933"/>
      <c r="S142" s="933"/>
      <c r="T142" s="933"/>
      <c r="U142" s="933"/>
      <c r="V142" s="933"/>
      <c r="W142" s="933"/>
      <c r="X142" s="933"/>
      <c r="Y142" s="933"/>
      <c r="Z142" s="933"/>
      <c r="AA142" s="933"/>
      <c r="AB142" s="933"/>
      <c r="AC142" s="933"/>
      <c r="AD142" s="933"/>
    </row>
    <row r="143" spans="1:30" ht="12.75">
      <c r="A143" s="933"/>
      <c r="B143" s="933"/>
      <c r="C143" s="933"/>
      <c r="D143" s="933"/>
      <c r="E143" s="933"/>
      <c r="F143" s="933"/>
      <c r="G143" s="933"/>
      <c r="H143" s="933"/>
      <c r="I143" s="933"/>
      <c r="J143" s="933"/>
      <c r="K143" s="935"/>
      <c r="L143" s="933"/>
      <c r="M143" s="933"/>
      <c r="N143" s="945"/>
      <c r="O143" s="933"/>
      <c r="P143" s="933"/>
      <c r="Q143" s="933"/>
      <c r="R143" s="933"/>
      <c r="S143" s="933"/>
      <c r="T143" s="933"/>
      <c r="U143" s="933"/>
      <c r="V143" s="933"/>
      <c r="W143" s="933"/>
      <c r="X143" s="933"/>
      <c r="Y143" s="933"/>
      <c r="Z143" s="933"/>
      <c r="AA143" s="933"/>
      <c r="AB143" s="933"/>
      <c r="AC143" s="933"/>
      <c r="AD143" s="933"/>
    </row>
    <row r="144" spans="1:30" ht="12.75">
      <c r="A144" s="933"/>
      <c r="B144" s="933"/>
      <c r="C144" s="933"/>
      <c r="D144" s="933"/>
      <c r="E144" s="933"/>
      <c r="F144" s="933"/>
      <c r="G144" s="933"/>
      <c r="H144" s="933"/>
      <c r="I144" s="933"/>
      <c r="J144" s="933"/>
      <c r="K144" s="935"/>
      <c r="L144" s="933"/>
      <c r="M144" s="933"/>
      <c r="N144" s="945"/>
      <c r="O144" s="933"/>
      <c r="P144" s="933"/>
      <c r="Q144" s="933"/>
      <c r="R144" s="933"/>
      <c r="S144" s="933"/>
      <c r="T144" s="933"/>
      <c r="U144" s="933"/>
      <c r="V144" s="933"/>
      <c r="W144" s="933"/>
      <c r="X144" s="933"/>
      <c r="Y144" s="933"/>
      <c r="Z144" s="933"/>
      <c r="AA144" s="933"/>
      <c r="AB144" s="933"/>
      <c r="AC144" s="933"/>
      <c r="AD144" s="933"/>
    </row>
    <row r="145" spans="1:30" ht="12.75">
      <c r="A145" s="933"/>
      <c r="B145" s="933"/>
      <c r="C145" s="933"/>
      <c r="D145" s="933"/>
      <c r="E145" s="933"/>
      <c r="F145" s="933"/>
      <c r="G145" s="933"/>
      <c r="H145" s="933"/>
      <c r="I145" s="933"/>
      <c r="J145" s="933"/>
      <c r="K145" s="935"/>
      <c r="L145" s="933"/>
      <c r="M145" s="933"/>
      <c r="N145" s="945"/>
      <c r="O145" s="933"/>
      <c r="P145" s="933"/>
      <c r="Q145" s="933"/>
      <c r="R145" s="933"/>
      <c r="S145" s="933"/>
      <c r="T145" s="933"/>
      <c r="U145" s="933"/>
      <c r="V145" s="933"/>
      <c r="W145" s="933"/>
      <c r="X145" s="933"/>
      <c r="Y145" s="933"/>
      <c r="Z145" s="933"/>
      <c r="AA145" s="933"/>
      <c r="AB145" s="933"/>
      <c r="AC145" s="933"/>
      <c r="AD145" s="933"/>
    </row>
    <row r="146" spans="1:30" ht="12.75">
      <c r="A146" s="933"/>
      <c r="B146" s="933"/>
      <c r="C146" s="933"/>
      <c r="D146" s="933"/>
      <c r="E146" s="933"/>
      <c r="F146" s="933"/>
      <c r="G146" s="933"/>
      <c r="H146" s="933"/>
      <c r="I146" s="933"/>
      <c r="J146" s="933"/>
      <c r="K146" s="935"/>
      <c r="L146" s="933"/>
      <c r="M146" s="933"/>
      <c r="N146" s="945"/>
      <c r="O146" s="933"/>
      <c r="P146" s="933"/>
      <c r="Q146" s="933"/>
      <c r="R146" s="933"/>
      <c r="S146" s="933"/>
      <c r="T146" s="933"/>
      <c r="U146" s="933"/>
      <c r="V146" s="933"/>
      <c r="W146" s="933"/>
      <c r="X146" s="933"/>
      <c r="Y146" s="933"/>
      <c r="Z146" s="933"/>
      <c r="AA146" s="933"/>
      <c r="AB146" s="933"/>
      <c r="AC146" s="933"/>
      <c r="AD146" s="933"/>
    </row>
    <row r="147" spans="1:30" ht="12.75">
      <c r="A147" s="933"/>
      <c r="B147" s="933"/>
      <c r="C147" s="933"/>
      <c r="D147" s="933"/>
      <c r="E147" s="933"/>
      <c r="F147" s="933"/>
      <c r="G147" s="933"/>
      <c r="H147" s="933"/>
      <c r="I147" s="933"/>
      <c r="J147" s="933"/>
      <c r="K147" s="935"/>
      <c r="L147" s="933"/>
      <c r="M147" s="933"/>
      <c r="N147" s="945"/>
      <c r="O147" s="933"/>
      <c r="P147" s="933"/>
      <c r="Q147" s="933"/>
      <c r="R147" s="933"/>
      <c r="S147" s="933"/>
      <c r="T147" s="933"/>
      <c r="U147" s="933"/>
      <c r="V147" s="933"/>
      <c r="W147" s="933"/>
      <c r="X147" s="933"/>
      <c r="Y147" s="933"/>
      <c r="Z147" s="933"/>
      <c r="AA147" s="933"/>
      <c r="AB147" s="933"/>
      <c r="AC147" s="933"/>
      <c r="AD147" s="933"/>
    </row>
    <row r="148" spans="1:30" ht="12.75">
      <c r="A148" s="933"/>
      <c r="B148" s="933"/>
      <c r="C148" s="933"/>
      <c r="D148" s="933"/>
      <c r="E148" s="933"/>
      <c r="F148" s="933"/>
      <c r="G148" s="933"/>
      <c r="H148" s="933"/>
      <c r="I148" s="933"/>
      <c r="J148" s="933"/>
      <c r="K148" s="935"/>
      <c r="L148" s="933"/>
      <c r="M148" s="933"/>
      <c r="N148" s="945"/>
      <c r="O148" s="933"/>
      <c r="P148" s="933"/>
      <c r="Q148" s="933"/>
      <c r="R148" s="933"/>
      <c r="S148" s="933"/>
      <c r="T148" s="933"/>
      <c r="U148" s="933"/>
      <c r="V148" s="933"/>
      <c r="W148" s="933"/>
      <c r="X148" s="933"/>
      <c r="Y148" s="933"/>
      <c r="Z148" s="933"/>
      <c r="AA148" s="933"/>
      <c r="AB148" s="933"/>
      <c r="AC148" s="933"/>
      <c r="AD148" s="933"/>
    </row>
    <row r="149" spans="1:30" ht="12.75">
      <c r="A149" s="933"/>
      <c r="B149" s="933"/>
      <c r="C149" s="933"/>
      <c r="D149" s="933"/>
      <c r="E149" s="933"/>
      <c r="F149" s="933"/>
      <c r="G149" s="933"/>
      <c r="H149" s="933"/>
      <c r="I149" s="933"/>
      <c r="J149" s="933"/>
      <c r="K149" s="935"/>
      <c r="L149" s="933"/>
      <c r="M149" s="933"/>
      <c r="N149" s="945"/>
      <c r="O149" s="933"/>
      <c r="P149" s="933"/>
      <c r="Q149" s="933"/>
      <c r="R149" s="933"/>
      <c r="S149" s="933"/>
      <c r="T149" s="933"/>
      <c r="U149" s="933"/>
      <c r="V149" s="933"/>
      <c r="W149" s="933"/>
      <c r="X149" s="933"/>
      <c r="Y149" s="933"/>
      <c r="Z149" s="933"/>
      <c r="AA149" s="933"/>
      <c r="AB149" s="933"/>
      <c r="AC149" s="933"/>
      <c r="AD149" s="933"/>
    </row>
    <row r="150" spans="1:30" ht="12.75">
      <c r="A150" s="933"/>
      <c r="B150" s="933"/>
      <c r="C150" s="933"/>
      <c r="D150" s="933"/>
      <c r="E150" s="933"/>
      <c r="F150" s="933"/>
      <c r="G150" s="933"/>
      <c r="H150" s="933"/>
      <c r="I150" s="933"/>
      <c r="J150" s="933"/>
      <c r="K150" s="935"/>
      <c r="L150" s="933"/>
      <c r="M150" s="933"/>
      <c r="N150" s="945"/>
      <c r="O150" s="933"/>
      <c r="P150" s="933"/>
      <c r="Q150" s="933"/>
      <c r="R150" s="933"/>
      <c r="S150" s="933"/>
      <c r="T150" s="933"/>
      <c r="U150" s="933"/>
      <c r="V150" s="933"/>
      <c r="W150" s="933"/>
      <c r="X150" s="933"/>
      <c r="Y150" s="933"/>
      <c r="Z150" s="933"/>
      <c r="AA150" s="933"/>
      <c r="AB150" s="933"/>
      <c r="AC150" s="933"/>
      <c r="AD150" s="933"/>
    </row>
    <row r="151" spans="1:30" ht="12.75">
      <c r="A151" s="933"/>
      <c r="B151" s="933"/>
      <c r="C151" s="933"/>
      <c r="D151" s="933"/>
      <c r="E151" s="933"/>
      <c r="F151" s="933"/>
      <c r="G151" s="933"/>
      <c r="H151" s="933"/>
      <c r="I151" s="933"/>
      <c r="J151" s="933"/>
      <c r="K151" s="935"/>
      <c r="L151" s="933"/>
      <c r="M151" s="933"/>
      <c r="N151" s="945"/>
      <c r="O151" s="933"/>
      <c r="P151" s="933"/>
      <c r="Q151" s="933"/>
      <c r="R151" s="933"/>
      <c r="S151" s="933"/>
      <c r="T151" s="933"/>
      <c r="U151" s="933"/>
      <c r="V151" s="933"/>
      <c r="W151" s="933"/>
      <c r="X151" s="933"/>
      <c r="Y151" s="933"/>
      <c r="Z151" s="933"/>
      <c r="AA151" s="933"/>
      <c r="AB151" s="933"/>
      <c r="AC151" s="933"/>
      <c r="AD151" s="933"/>
    </row>
    <row r="152" spans="1:30" ht="12.75">
      <c r="A152" s="933"/>
      <c r="B152" s="933"/>
      <c r="C152" s="933"/>
      <c r="D152" s="933"/>
      <c r="E152" s="933"/>
      <c r="F152" s="933"/>
      <c r="G152" s="933"/>
      <c r="H152" s="933"/>
      <c r="I152" s="933"/>
      <c r="J152" s="933"/>
      <c r="K152" s="935"/>
      <c r="L152" s="933"/>
      <c r="M152" s="933"/>
      <c r="N152" s="945"/>
      <c r="O152" s="933"/>
      <c r="P152" s="933"/>
      <c r="Q152" s="933"/>
      <c r="R152" s="933"/>
      <c r="S152" s="933"/>
      <c r="T152" s="933"/>
      <c r="U152" s="933"/>
      <c r="V152" s="933"/>
      <c r="W152" s="933"/>
      <c r="X152" s="933"/>
      <c r="Y152" s="933"/>
      <c r="Z152" s="933"/>
      <c r="AA152" s="933"/>
      <c r="AB152" s="933"/>
      <c r="AC152" s="933"/>
      <c r="AD152" s="933"/>
    </row>
    <row r="153" spans="1:30" ht="12.75">
      <c r="A153" s="933"/>
      <c r="B153" s="933"/>
      <c r="C153" s="933"/>
      <c r="D153" s="933"/>
      <c r="E153" s="933"/>
      <c r="F153" s="933"/>
      <c r="G153" s="933"/>
      <c r="H153" s="933"/>
      <c r="I153" s="933"/>
      <c r="J153" s="933"/>
      <c r="K153" s="935"/>
      <c r="L153" s="933"/>
      <c r="M153" s="933"/>
      <c r="N153" s="945"/>
      <c r="O153" s="933"/>
      <c r="P153" s="933"/>
      <c r="Q153" s="933"/>
      <c r="R153" s="933"/>
      <c r="S153" s="933"/>
      <c r="T153" s="933"/>
      <c r="U153" s="933"/>
      <c r="V153" s="933"/>
      <c r="W153" s="933"/>
      <c r="X153" s="933"/>
      <c r="Y153" s="933"/>
      <c r="Z153" s="933"/>
      <c r="AA153" s="933"/>
      <c r="AB153" s="933"/>
      <c r="AC153" s="933"/>
      <c r="AD153" s="933"/>
    </row>
    <row r="154" spans="1:30" ht="12.75">
      <c r="A154" s="933"/>
      <c r="B154" s="933"/>
      <c r="C154" s="933"/>
      <c r="D154" s="933"/>
      <c r="E154" s="933"/>
      <c r="F154" s="933"/>
      <c r="G154" s="933"/>
      <c r="H154" s="933"/>
      <c r="I154" s="933"/>
      <c r="J154" s="933"/>
      <c r="K154" s="935"/>
      <c r="L154" s="933"/>
      <c r="M154" s="933"/>
      <c r="N154" s="945"/>
      <c r="O154" s="933"/>
      <c r="P154" s="933"/>
      <c r="Q154" s="933"/>
      <c r="R154" s="933"/>
      <c r="S154" s="933"/>
      <c r="T154" s="933"/>
      <c r="U154" s="933"/>
      <c r="V154" s="933"/>
      <c r="W154" s="933"/>
      <c r="X154" s="933"/>
      <c r="Y154" s="933"/>
      <c r="Z154" s="933"/>
      <c r="AA154" s="933"/>
      <c r="AB154" s="933"/>
      <c r="AC154" s="933"/>
      <c r="AD154" s="933"/>
    </row>
    <row r="155" spans="1:30" ht="12.75">
      <c r="A155" s="933"/>
      <c r="B155" s="933"/>
      <c r="C155" s="933"/>
      <c r="D155" s="933"/>
      <c r="E155" s="933"/>
      <c r="F155" s="933"/>
      <c r="G155" s="933"/>
      <c r="H155" s="933"/>
      <c r="I155" s="933"/>
      <c r="J155" s="933"/>
      <c r="K155" s="935"/>
      <c r="L155" s="933"/>
      <c r="M155" s="933"/>
      <c r="N155" s="945"/>
      <c r="O155" s="933"/>
      <c r="P155" s="933"/>
      <c r="Q155" s="933"/>
      <c r="R155" s="933"/>
      <c r="S155" s="933"/>
      <c r="T155" s="933"/>
      <c r="U155" s="933"/>
      <c r="V155" s="933"/>
      <c r="W155" s="933"/>
      <c r="X155" s="933"/>
      <c r="Y155" s="933"/>
      <c r="Z155" s="933"/>
      <c r="AA155" s="933"/>
      <c r="AB155" s="933"/>
      <c r="AC155" s="933"/>
      <c r="AD155" s="933"/>
    </row>
    <row r="156" spans="1:30" ht="12.75">
      <c r="A156" s="933"/>
      <c r="B156" s="933"/>
      <c r="C156" s="933"/>
      <c r="D156" s="933"/>
      <c r="E156" s="933"/>
      <c r="F156" s="933"/>
      <c r="G156" s="933"/>
      <c r="H156" s="933"/>
      <c r="I156" s="933"/>
      <c r="J156" s="933"/>
      <c r="K156" s="935"/>
      <c r="L156" s="933"/>
      <c r="M156" s="933"/>
      <c r="N156" s="945"/>
      <c r="O156" s="933"/>
      <c r="P156" s="933"/>
      <c r="Q156" s="933"/>
      <c r="R156" s="933"/>
      <c r="S156" s="933"/>
      <c r="T156" s="933"/>
      <c r="U156" s="933"/>
      <c r="V156" s="933"/>
      <c r="W156" s="933"/>
      <c r="X156" s="933"/>
      <c r="Y156" s="933"/>
      <c r="Z156" s="933"/>
      <c r="AA156" s="933"/>
      <c r="AB156" s="933"/>
      <c r="AC156" s="933"/>
      <c r="AD156" s="933"/>
    </row>
    <row r="157" spans="1:30" ht="12.75">
      <c r="A157" s="933"/>
      <c r="B157" s="933"/>
      <c r="C157" s="933"/>
      <c r="D157" s="933"/>
      <c r="E157" s="933"/>
      <c r="F157" s="933"/>
      <c r="G157" s="933"/>
      <c r="H157" s="933"/>
      <c r="I157" s="933"/>
      <c r="J157" s="933"/>
      <c r="K157" s="935"/>
      <c r="L157" s="933"/>
      <c r="M157" s="933"/>
      <c r="N157" s="945"/>
      <c r="O157" s="933"/>
      <c r="P157" s="933"/>
      <c r="Q157" s="933"/>
      <c r="R157" s="933"/>
      <c r="S157" s="933"/>
      <c r="T157" s="933"/>
      <c r="U157" s="933"/>
      <c r="V157" s="933"/>
      <c r="W157" s="933"/>
      <c r="X157" s="933"/>
      <c r="Y157" s="933"/>
      <c r="Z157" s="933"/>
      <c r="AA157" s="933"/>
      <c r="AB157" s="933"/>
      <c r="AC157" s="933"/>
      <c r="AD157" s="933"/>
    </row>
    <row r="158" spans="1:30" ht="12.75">
      <c r="A158" s="933"/>
      <c r="B158" s="933"/>
      <c r="C158" s="933"/>
      <c r="D158" s="933"/>
      <c r="E158" s="933"/>
      <c r="F158" s="933"/>
      <c r="G158" s="933"/>
      <c r="H158" s="933"/>
      <c r="I158" s="933"/>
      <c r="J158" s="933"/>
      <c r="K158" s="935"/>
      <c r="L158" s="933"/>
      <c r="M158" s="933"/>
      <c r="N158" s="945"/>
      <c r="O158" s="933"/>
      <c r="P158" s="933"/>
      <c r="Q158" s="933"/>
      <c r="R158" s="933"/>
      <c r="S158" s="933"/>
      <c r="T158" s="933"/>
      <c r="U158" s="933"/>
      <c r="V158" s="933"/>
      <c r="W158" s="933"/>
      <c r="X158" s="933"/>
      <c r="Y158" s="933"/>
      <c r="Z158" s="933"/>
      <c r="AA158" s="933"/>
      <c r="AB158" s="933"/>
      <c r="AC158" s="933"/>
      <c r="AD158" s="933"/>
    </row>
    <row r="159" spans="1:30" ht="12.75">
      <c r="A159" s="933"/>
      <c r="B159" s="933"/>
      <c r="C159" s="933"/>
      <c r="D159" s="933"/>
      <c r="E159" s="933"/>
      <c r="F159" s="933"/>
      <c r="G159" s="933"/>
      <c r="H159" s="933"/>
      <c r="I159" s="933"/>
      <c r="J159" s="933"/>
      <c r="K159" s="935"/>
      <c r="L159" s="933"/>
      <c r="M159" s="933"/>
      <c r="N159" s="945"/>
      <c r="O159" s="933"/>
      <c r="P159" s="933"/>
      <c r="Q159" s="933"/>
      <c r="R159" s="933"/>
      <c r="S159" s="933"/>
      <c r="T159" s="933"/>
      <c r="U159" s="933"/>
      <c r="V159" s="933"/>
      <c r="W159" s="933"/>
      <c r="X159" s="933"/>
      <c r="Y159" s="933"/>
      <c r="Z159" s="933"/>
      <c r="AA159" s="933"/>
      <c r="AB159" s="933"/>
      <c r="AC159" s="933"/>
      <c r="AD159" s="933"/>
    </row>
    <row r="160" spans="1:30" ht="12.75">
      <c r="A160" s="933"/>
      <c r="B160" s="933"/>
      <c r="C160" s="933"/>
      <c r="D160" s="933"/>
      <c r="E160" s="933"/>
      <c r="F160" s="933"/>
      <c r="G160" s="933"/>
      <c r="H160" s="933"/>
      <c r="I160" s="933"/>
      <c r="J160" s="933"/>
      <c r="K160" s="935"/>
      <c r="L160" s="933"/>
      <c r="M160" s="933"/>
      <c r="N160" s="945"/>
      <c r="O160" s="933"/>
      <c r="P160" s="933"/>
      <c r="Q160" s="933"/>
      <c r="R160" s="933"/>
      <c r="S160" s="933"/>
      <c r="T160" s="933"/>
      <c r="U160" s="933"/>
      <c r="V160" s="933"/>
      <c r="W160" s="933"/>
      <c r="X160" s="933"/>
      <c r="Y160" s="933"/>
      <c r="Z160" s="933"/>
      <c r="AA160" s="933"/>
      <c r="AB160" s="933"/>
      <c r="AC160" s="933"/>
      <c r="AD160" s="933"/>
    </row>
    <row r="161" spans="1:30" ht="12.75">
      <c r="A161" s="933"/>
      <c r="B161" s="933"/>
      <c r="C161" s="933"/>
      <c r="D161" s="933"/>
      <c r="E161" s="933"/>
      <c r="F161" s="933"/>
      <c r="G161" s="933"/>
      <c r="H161" s="933"/>
      <c r="I161" s="933"/>
      <c r="J161" s="933"/>
      <c r="K161" s="935"/>
      <c r="L161" s="933"/>
      <c r="M161" s="933"/>
      <c r="N161" s="945"/>
      <c r="O161" s="933"/>
      <c r="P161" s="933"/>
      <c r="Q161" s="933"/>
      <c r="R161" s="933"/>
      <c r="S161" s="933"/>
      <c r="T161" s="933"/>
      <c r="U161" s="933"/>
      <c r="V161" s="933"/>
      <c r="W161" s="933"/>
      <c r="X161" s="933"/>
      <c r="Y161" s="933"/>
      <c r="Z161" s="933"/>
      <c r="AA161" s="933"/>
      <c r="AB161" s="933"/>
      <c r="AC161" s="933"/>
      <c r="AD161" s="933"/>
    </row>
    <row r="162" spans="1:30" ht="12.75">
      <c r="A162" s="933"/>
      <c r="B162" s="933"/>
      <c r="C162" s="933"/>
      <c r="D162" s="933"/>
      <c r="E162" s="933"/>
      <c r="F162" s="933"/>
      <c r="G162" s="933"/>
      <c r="H162" s="933"/>
      <c r="I162" s="933"/>
      <c r="J162" s="933"/>
      <c r="K162" s="935"/>
      <c r="L162" s="933"/>
      <c r="M162" s="933"/>
      <c r="N162" s="945"/>
      <c r="O162" s="933"/>
      <c r="P162" s="933"/>
      <c r="Q162" s="933"/>
      <c r="R162" s="933"/>
      <c r="S162" s="933"/>
      <c r="T162" s="933"/>
      <c r="U162" s="933"/>
      <c r="V162" s="933"/>
      <c r="W162" s="933"/>
      <c r="X162" s="933"/>
      <c r="Y162" s="933"/>
      <c r="Z162" s="933"/>
      <c r="AA162" s="933"/>
      <c r="AB162" s="933"/>
      <c r="AC162" s="933"/>
      <c r="AD162" s="933"/>
    </row>
    <row r="163" spans="1:30" ht="12.75">
      <c r="A163" s="933"/>
      <c r="B163" s="933"/>
      <c r="C163" s="933"/>
      <c r="D163" s="933"/>
      <c r="E163" s="933"/>
      <c r="F163" s="933"/>
      <c r="G163" s="933"/>
      <c r="H163" s="933"/>
      <c r="I163" s="933"/>
      <c r="J163" s="933"/>
      <c r="K163" s="935"/>
      <c r="L163" s="933"/>
      <c r="M163" s="933"/>
      <c r="N163" s="945"/>
      <c r="O163" s="933"/>
      <c r="P163" s="933"/>
      <c r="Q163" s="933"/>
      <c r="R163" s="933"/>
      <c r="S163" s="933"/>
      <c r="T163" s="933"/>
      <c r="U163" s="933"/>
      <c r="V163" s="933"/>
      <c r="W163" s="933"/>
      <c r="X163" s="933"/>
      <c r="Y163" s="933"/>
      <c r="Z163" s="933"/>
      <c r="AA163" s="933"/>
      <c r="AB163" s="933"/>
      <c r="AC163" s="933"/>
      <c r="AD163" s="933"/>
    </row>
    <row r="164" spans="1:30" ht="12.75">
      <c r="A164" s="933"/>
      <c r="B164" s="933"/>
      <c r="C164" s="933"/>
      <c r="D164" s="933"/>
      <c r="E164" s="933"/>
      <c r="F164" s="933"/>
      <c r="G164" s="933"/>
      <c r="H164" s="933"/>
      <c r="I164" s="933"/>
      <c r="J164" s="933"/>
      <c r="K164" s="935"/>
      <c r="L164" s="933"/>
      <c r="M164" s="933"/>
      <c r="N164" s="945"/>
      <c r="O164" s="933"/>
      <c r="P164" s="933"/>
      <c r="Q164" s="933"/>
      <c r="R164" s="933"/>
      <c r="S164" s="933"/>
      <c r="T164" s="933"/>
      <c r="U164" s="933"/>
      <c r="V164" s="933"/>
      <c r="W164" s="933"/>
      <c r="X164" s="933"/>
      <c r="Y164" s="933"/>
      <c r="Z164" s="933"/>
      <c r="AA164" s="933"/>
      <c r="AB164" s="933"/>
      <c r="AC164" s="933"/>
      <c r="AD164" s="933"/>
    </row>
    <row r="165" spans="1:30" ht="12.75">
      <c r="A165" s="933"/>
      <c r="B165" s="933"/>
      <c r="C165" s="933"/>
      <c r="D165" s="933"/>
      <c r="E165" s="933"/>
      <c r="F165" s="933"/>
      <c r="G165" s="933"/>
      <c r="H165" s="933"/>
      <c r="I165" s="933"/>
      <c r="J165" s="933"/>
      <c r="K165" s="935"/>
      <c r="L165" s="933"/>
      <c r="M165" s="933"/>
      <c r="N165" s="945"/>
      <c r="O165" s="933"/>
      <c r="P165" s="933"/>
      <c r="Q165" s="933"/>
      <c r="R165" s="933"/>
      <c r="S165" s="933"/>
      <c r="T165" s="933"/>
      <c r="U165" s="933"/>
      <c r="V165" s="933"/>
      <c r="W165" s="933"/>
      <c r="X165" s="933"/>
      <c r="Y165" s="933"/>
      <c r="Z165" s="933"/>
      <c r="AA165" s="933"/>
      <c r="AB165" s="933"/>
      <c r="AC165" s="933"/>
      <c r="AD165" s="933"/>
    </row>
    <row r="166" spans="1:30" ht="12.75">
      <c r="A166" s="933"/>
      <c r="B166" s="933"/>
      <c r="C166" s="933"/>
      <c r="D166" s="933"/>
      <c r="E166" s="933"/>
      <c r="F166" s="933"/>
      <c r="G166" s="933"/>
      <c r="H166" s="933"/>
      <c r="I166" s="933"/>
      <c r="J166" s="933"/>
      <c r="K166" s="935"/>
      <c r="L166" s="933"/>
      <c r="M166" s="933"/>
      <c r="N166" s="945"/>
      <c r="O166" s="933"/>
      <c r="P166" s="933"/>
      <c r="Q166" s="933"/>
      <c r="R166" s="933"/>
      <c r="S166" s="933"/>
      <c r="T166" s="933"/>
      <c r="U166" s="933"/>
      <c r="V166" s="933"/>
      <c r="W166" s="933"/>
      <c r="X166" s="933"/>
      <c r="Y166" s="933"/>
      <c r="Z166" s="933"/>
      <c r="AA166" s="933"/>
      <c r="AB166" s="933"/>
      <c r="AC166" s="933"/>
      <c r="AD166" s="933"/>
    </row>
    <row r="167" spans="1:30" ht="12.75">
      <c r="A167" s="933"/>
      <c r="B167" s="933"/>
      <c r="C167" s="933"/>
      <c r="D167" s="933"/>
      <c r="E167" s="933"/>
      <c r="F167" s="933"/>
      <c r="G167" s="933"/>
      <c r="H167" s="933"/>
      <c r="I167" s="933"/>
      <c r="J167" s="933"/>
      <c r="K167" s="935"/>
      <c r="L167" s="933"/>
      <c r="M167" s="933"/>
      <c r="N167" s="945"/>
      <c r="O167" s="933"/>
      <c r="P167" s="933"/>
      <c r="Q167" s="933"/>
      <c r="R167" s="933"/>
      <c r="S167" s="933"/>
      <c r="T167" s="933"/>
      <c r="U167" s="933"/>
      <c r="V167" s="933"/>
      <c r="W167" s="933"/>
      <c r="X167" s="933"/>
      <c r="Y167" s="933"/>
      <c r="Z167" s="933"/>
      <c r="AA167" s="933"/>
      <c r="AB167" s="933"/>
      <c r="AC167" s="933"/>
      <c r="AD167" s="933"/>
    </row>
    <row r="168" spans="1:30" ht="12.75">
      <c r="A168" s="933"/>
      <c r="B168" s="933"/>
      <c r="C168" s="933"/>
      <c r="D168" s="933"/>
      <c r="E168" s="933"/>
      <c r="F168" s="933"/>
      <c r="G168" s="933"/>
      <c r="H168" s="933"/>
      <c r="I168" s="933"/>
      <c r="J168" s="933"/>
      <c r="K168" s="935"/>
      <c r="L168" s="933"/>
      <c r="M168" s="933"/>
      <c r="N168" s="945"/>
      <c r="O168" s="933"/>
      <c r="P168" s="933"/>
      <c r="Q168" s="933"/>
      <c r="R168" s="933"/>
      <c r="S168" s="933"/>
      <c r="T168" s="933"/>
      <c r="U168" s="933"/>
      <c r="V168" s="933"/>
      <c r="W168" s="933"/>
      <c r="X168" s="933"/>
      <c r="Y168" s="933"/>
      <c r="Z168" s="933"/>
      <c r="AA168" s="933"/>
      <c r="AB168" s="933"/>
      <c r="AC168" s="933"/>
      <c r="AD168" s="933"/>
    </row>
    <row r="169" spans="1:30" ht="12.75">
      <c r="A169" s="933"/>
      <c r="B169" s="933"/>
      <c r="C169" s="933"/>
      <c r="D169" s="933"/>
      <c r="E169" s="933"/>
      <c r="F169" s="933"/>
      <c r="G169" s="933"/>
      <c r="H169" s="933"/>
      <c r="I169" s="933"/>
      <c r="J169" s="933"/>
      <c r="K169" s="935"/>
      <c r="L169" s="933"/>
      <c r="M169" s="933"/>
      <c r="N169" s="945"/>
      <c r="O169" s="933"/>
      <c r="P169" s="933"/>
      <c r="Q169" s="933"/>
      <c r="R169" s="933"/>
      <c r="S169" s="933"/>
      <c r="T169" s="933"/>
      <c r="U169" s="933"/>
      <c r="V169" s="933"/>
      <c r="W169" s="933"/>
      <c r="X169" s="933"/>
      <c r="Y169" s="933"/>
      <c r="Z169" s="933"/>
      <c r="AA169" s="933"/>
      <c r="AB169" s="933"/>
      <c r="AC169" s="933"/>
      <c r="AD169" s="933"/>
    </row>
    <row r="170" spans="1:30" ht="12.75">
      <c r="A170" s="933"/>
      <c r="B170" s="933"/>
      <c r="C170" s="933"/>
      <c r="D170" s="933"/>
      <c r="E170" s="933"/>
      <c r="F170" s="933"/>
      <c r="G170" s="933"/>
      <c r="H170" s="933"/>
      <c r="I170" s="933"/>
      <c r="J170" s="933"/>
      <c r="K170" s="935"/>
      <c r="L170" s="933"/>
      <c r="M170" s="933"/>
      <c r="N170" s="945"/>
      <c r="O170" s="933"/>
      <c r="P170" s="933"/>
      <c r="Q170" s="933"/>
      <c r="R170" s="933"/>
      <c r="S170" s="933"/>
      <c r="T170" s="933"/>
      <c r="U170" s="933"/>
      <c r="V170" s="933"/>
      <c r="W170" s="933"/>
      <c r="X170" s="933"/>
      <c r="Y170" s="933"/>
      <c r="Z170" s="933"/>
      <c r="AA170" s="933"/>
      <c r="AB170" s="933"/>
      <c r="AC170" s="933"/>
      <c r="AD170" s="933"/>
    </row>
    <row r="171" spans="1:30" ht="12.75">
      <c r="A171" s="933"/>
      <c r="B171" s="933"/>
      <c r="C171" s="933"/>
      <c r="D171" s="933"/>
      <c r="E171" s="933"/>
      <c r="F171" s="933"/>
      <c r="G171" s="933"/>
      <c r="H171" s="933"/>
      <c r="I171" s="933"/>
      <c r="J171" s="933"/>
      <c r="K171" s="935"/>
      <c r="L171" s="933"/>
      <c r="M171" s="933"/>
      <c r="N171" s="945"/>
      <c r="O171" s="933"/>
      <c r="P171" s="933"/>
      <c r="Q171" s="933"/>
      <c r="R171" s="933"/>
      <c r="S171" s="933"/>
      <c r="T171" s="933"/>
      <c r="U171" s="933"/>
      <c r="V171" s="933"/>
      <c r="W171" s="933"/>
      <c r="X171" s="933"/>
      <c r="Y171" s="933"/>
      <c r="Z171" s="933"/>
      <c r="AA171" s="933"/>
      <c r="AB171" s="933"/>
      <c r="AC171" s="933"/>
      <c r="AD171" s="933"/>
    </row>
    <row r="172" spans="1:30" ht="12.75">
      <c r="A172" s="933"/>
      <c r="B172" s="933"/>
      <c r="C172" s="933"/>
      <c r="D172" s="933"/>
      <c r="E172" s="933"/>
      <c r="F172" s="933"/>
      <c r="G172" s="933"/>
      <c r="H172" s="933"/>
      <c r="I172" s="933"/>
      <c r="J172" s="933"/>
      <c r="K172" s="935"/>
      <c r="L172" s="933"/>
      <c r="M172" s="933"/>
      <c r="N172" s="945"/>
      <c r="O172" s="933"/>
      <c r="P172" s="933"/>
      <c r="Q172" s="933"/>
      <c r="R172" s="933"/>
      <c r="S172" s="933"/>
      <c r="T172" s="933"/>
      <c r="U172" s="933"/>
      <c r="V172" s="933"/>
      <c r="W172" s="933"/>
      <c r="X172" s="933"/>
      <c r="Y172" s="933"/>
      <c r="Z172" s="933"/>
      <c r="AA172" s="933"/>
      <c r="AB172" s="933"/>
      <c r="AC172" s="933"/>
      <c r="AD172" s="933"/>
    </row>
    <row r="173" spans="1:30" ht="12.75">
      <c r="A173" s="933"/>
      <c r="B173" s="933"/>
      <c r="C173" s="933"/>
      <c r="D173" s="933"/>
      <c r="E173" s="933"/>
      <c r="F173" s="933"/>
      <c r="G173" s="933"/>
      <c r="H173" s="933"/>
      <c r="I173" s="933"/>
      <c r="J173" s="933"/>
      <c r="K173" s="935"/>
      <c r="L173" s="933"/>
      <c r="M173" s="933"/>
      <c r="N173" s="945"/>
      <c r="O173" s="933"/>
      <c r="P173" s="933"/>
      <c r="Q173" s="933"/>
      <c r="R173" s="933"/>
      <c r="S173" s="933"/>
      <c r="T173" s="933"/>
      <c r="U173" s="933"/>
      <c r="V173" s="933"/>
      <c r="W173" s="933"/>
      <c r="X173" s="933"/>
      <c r="Y173" s="933"/>
      <c r="Z173" s="933"/>
      <c r="AA173" s="933"/>
      <c r="AB173" s="933"/>
      <c r="AC173" s="933"/>
      <c r="AD173" s="933"/>
    </row>
    <row r="174" spans="1:30" ht="12.75">
      <c r="A174" s="933"/>
      <c r="B174" s="933"/>
      <c r="C174" s="933"/>
      <c r="D174" s="933"/>
      <c r="E174" s="933"/>
      <c r="F174" s="933"/>
      <c r="G174" s="933"/>
      <c r="H174" s="933"/>
      <c r="I174" s="933"/>
      <c r="J174" s="933"/>
      <c r="K174" s="935"/>
      <c r="L174" s="933"/>
      <c r="M174" s="933"/>
      <c r="N174" s="945"/>
      <c r="O174" s="933"/>
      <c r="P174" s="933"/>
      <c r="Q174" s="933"/>
      <c r="R174" s="933"/>
      <c r="S174" s="933"/>
      <c r="T174" s="933"/>
      <c r="U174" s="933"/>
      <c r="V174" s="933"/>
      <c r="W174" s="933"/>
      <c r="X174" s="933"/>
      <c r="Y174" s="933"/>
      <c r="Z174" s="933"/>
      <c r="AA174" s="933"/>
      <c r="AB174" s="933"/>
      <c r="AC174" s="933"/>
      <c r="AD174" s="933"/>
    </row>
    <row r="175" spans="1:30" ht="12.75">
      <c r="A175" s="933"/>
      <c r="B175" s="933"/>
      <c r="C175" s="933"/>
      <c r="D175" s="933"/>
      <c r="E175" s="933"/>
      <c r="F175" s="933"/>
      <c r="G175" s="933"/>
      <c r="H175" s="933"/>
      <c r="I175" s="933"/>
      <c r="J175" s="933"/>
      <c r="K175" s="935"/>
      <c r="L175" s="933"/>
      <c r="M175" s="933"/>
      <c r="N175" s="945"/>
      <c r="O175" s="933"/>
      <c r="P175" s="933"/>
      <c r="Q175" s="933"/>
      <c r="R175" s="933"/>
      <c r="S175" s="933"/>
      <c r="T175" s="933"/>
      <c r="U175" s="933"/>
      <c r="V175" s="933"/>
      <c r="W175" s="933"/>
      <c r="X175" s="933"/>
      <c r="Y175" s="933"/>
      <c r="Z175" s="933"/>
      <c r="AA175" s="933"/>
      <c r="AB175" s="933"/>
      <c r="AC175" s="933"/>
      <c r="AD175" s="933"/>
    </row>
    <row r="176" spans="1:30" ht="12.75">
      <c r="A176" s="933"/>
      <c r="B176" s="933"/>
      <c r="C176" s="933"/>
      <c r="D176" s="933"/>
      <c r="E176" s="933"/>
      <c r="F176" s="933"/>
      <c r="G176" s="933"/>
      <c r="H176" s="933"/>
      <c r="I176" s="933"/>
      <c r="J176" s="933"/>
      <c r="K176" s="935"/>
      <c r="L176" s="933"/>
      <c r="M176" s="933"/>
      <c r="N176" s="945"/>
      <c r="O176" s="933"/>
      <c r="P176" s="933"/>
      <c r="Q176" s="933"/>
      <c r="R176" s="933"/>
      <c r="S176" s="933"/>
      <c r="T176" s="933"/>
      <c r="U176" s="933"/>
      <c r="V176" s="933"/>
      <c r="W176" s="933"/>
      <c r="X176" s="933"/>
      <c r="Y176" s="933"/>
      <c r="Z176" s="933"/>
      <c r="AA176" s="933"/>
      <c r="AB176" s="933"/>
      <c r="AC176" s="933"/>
      <c r="AD176" s="933"/>
    </row>
    <row r="177" spans="1:30" ht="12.75">
      <c r="A177" s="933"/>
      <c r="B177" s="933"/>
      <c r="C177" s="933"/>
      <c r="D177" s="933"/>
      <c r="E177" s="933"/>
      <c r="F177" s="933"/>
      <c r="G177" s="933"/>
      <c r="H177" s="933"/>
      <c r="I177" s="933"/>
      <c r="J177" s="933"/>
      <c r="K177" s="935"/>
      <c r="L177" s="933"/>
      <c r="M177" s="933"/>
      <c r="N177" s="945"/>
      <c r="O177" s="933"/>
      <c r="P177" s="933"/>
      <c r="Q177" s="933"/>
      <c r="R177" s="933"/>
      <c r="S177" s="933"/>
      <c r="T177" s="933"/>
      <c r="U177" s="933"/>
      <c r="V177" s="933"/>
      <c r="W177" s="933"/>
      <c r="X177" s="933"/>
      <c r="Y177" s="933"/>
      <c r="Z177" s="933"/>
      <c r="AA177" s="933"/>
      <c r="AB177" s="933"/>
      <c r="AC177" s="933"/>
      <c r="AD177" s="933"/>
    </row>
    <row r="178" spans="1:30" ht="12.75">
      <c r="A178" s="933"/>
      <c r="B178" s="933"/>
      <c r="C178" s="933"/>
      <c r="D178" s="933"/>
      <c r="E178" s="933"/>
      <c r="F178" s="933"/>
      <c r="G178" s="933"/>
      <c r="H178" s="933"/>
      <c r="I178" s="933"/>
      <c r="J178" s="933"/>
      <c r="K178" s="935"/>
      <c r="L178" s="933"/>
      <c r="M178" s="933"/>
      <c r="N178" s="945"/>
      <c r="O178" s="933"/>
      <c r="P178" s="933"/>
      <c r="Q178" s="933"/>
      <c r="R178" s="933"/>
      <c r="S178" s="933"/>
      <c r="T178" s="933"/>
      <c r="U178" s="933"/>
      <c r="V178" s="933"/>
      <c r="W178" s="933"/>
      <c r="X178" s="933"/>
      <c r="Y178" s="933"/>
      <c r="Z178" s="933"/>
      <c r="AA178" s="933"/>
      <c r="AB178" s="933"/>
      <c r="AC178" s="933"/>
      <c r="AD178" s="933"/>
    </row>
    <row r="179" spans="1:30" ht="12.75">
      <c r="A179" s="933"/>
      <c r="B179" s="933"/>
      <c r="C179" s="933"/>
      <c r="D179" s="933"/>
      <c r="E179" s="933"/>
      <c r="F179" s="933"/>
      <c r="G179" s="933"/>
      <c r="H179" s="933"/>
      <c r="I179" s="933"/>
      <c r="J179" s="933"/>
      <c r="K179" s="935"/>
      <c r="L179" s="933"/>
      <c r="M179" s="933"/>
      <c r="N179" s="945"/>
      <c r="O179" s="933"/>
      <c r="P179" s="933"/>
      <c r="Q179" s="933"/>
      <c r="R179" s="933"/>
      <c r="S179" s="933"/>
      <c r="T179" s="933"/>
      <c r="U179" s="933"/>
      <c r="V179" s="933"/>
      <c r="W179" s="933"/>
      <c r="X179" s="933"/>
      <c r="Y179" s="933"/>
      <c r="Z179" s="933"/>
      <c r="AA179" s="933"/>
      <c r="AB179" s="933"/>
      <c r="AC179" s="933"/>
      <c r="AD179" s="933"/>
    </row>
    <row r="180" spans="1:30" ht="12.75">
      <c r="A180" s="933"/>
      <c r="B180" s="933"/>
      <c r="C180" s="933"/>
      <c r="D180" s="933"/>
      <c r="E180" s="933"/>
      <c r="F180" s="933"/>
      <c r="G180" s="933"/>
      <c r="H180" s="933"/>
      <c r="I180" s="933"/>
      <c r="J180" s="933"/>
      <c r="K180" s="935"/>
      <c r="L180" s="933"/>
      <c r="M180" s="933"/>
      <c r="N180" s="945"/>
      <c r="O180" s="933"/>
      <c r="P180" s="933"/>
      <c r="Q180" s="933"/>
      <c r="R180" s="933"/>
      <c r="S180" s="933"/>
      <c r="T180" s="933"/>
      <c r="U180" s="933"/>
      <c r="V180" s="933"/>
      <c r="W180" s="933"/>
      <c r="X180" s="933"/>
      <c r="Y180" s="933"/>
      <c r="Z180" s="933"/>
      <c r="AA180" s="933"/>
      <c r="AB180" s="933"/>
      <c r="AC180" s="933"/>
      <c r="AD180" s="933"/>
    </row>
    <row r="181" spans="1:30" ht="12.75">
      <c r="A181" s="933"/>
      <c r="B181" s="933"/>
      <c r="C181" s="933"/>
      <c r="D181" s="933"/>
      <c r="E181" s="933"/>
      <c r="F181" s="933"/>
      <c r="G181" s="933"/>
      <c r="H181" s="933"/>
      <c r="I181" s="933"/>
      <c r="J181" s="933"/>
      <c r="K181" s="935"/>
      <c r="L181" s="933"/>
      <c r="M181" s="933"/>
      <c r="N181" s="945"/>
      <c r="O181" s="933"/>
      <c r="P181" s="933"/>
      <c r="Q181" s="933"/>
      <c r="R181" s="933"/>
      <c r="S181" s="933"/>
      <c r="T181" s="933"/>
      <c r="U181" s="933"/>
      <c r="V181" s="933"/>
      <c r="W181" s="933"/>
      <c r="X181" s="933"/>
      <c r="Y181" s="933"/>
      <c r="Z181" s="933"/>
      <c r="AA181" s="933"/>
      <c r="AB181" s="933"/>
      <c r="AC181" s="933"/>
      <c r="AD181" s="933"/>
    </row>
    <row r="182" spans="1:30" ht="12.75">
      <c r="A182" s="933"/>
      <c r="B182" s="933"/>
      <c r="C182" s="933"/>
      <c r="D182" s="933"/>
      <c r="E182" s="933"/>
      <c r="F182" s="933"/>
      <c r="G182" s="933"/>
      <c r="H182" s="933"/>
      <c r="I182" s="933"/>
      <c r="J182" s="933"/>
      <c r="K182" s="935"/>
      <c r="L182" s="933"/>
      <c r="M182" s="933"/>
      <c r="N182" s="945"/>
      <c r="O182" s="933"/>
      <c r="P182" s="933"/>
      <c r="Q182" s="933"/>
      <c r="R182" s="933"/>
      <c r="S182" s="933"/>
      <c r="T182" s="933"/>
      <c r="U182" s="933"/>
      <c r="V182" s="933"/>
      <c r="W182" s="933"/>
      <c r="X182" s="933"/>
      <c r="Y182" s="933"/>
      <c r="Z182" s="933"/>
      <c r="AA182" s="933"/>
      <c r="AB182" s="933"/>
      <c r="AC182" s="933"/>
      <c r="AD182" s="933"/>
    </row>
    <row r="183" spans="1:30" ht="12.75">
      <c r="A183" s="933"/>
      <c r="B183" s="933"/>
      <c r="C183" s="933"/>
      <c r="D183" s="933"/>
      <c r="E183" s="933"/>
      <c r="F183" s="933"/>
      <c r="G183" s="933"/>
      <c r="H183" s="933"/>
      <c r="I183" s="933"/>
      <c r="J183" s="933"/>
      <c r="K183" s="935"/>
      <c r="L183" s="933"/>
      <c r="M183" s="933"/>
      <c r="N183" s="945"/>
      <c r="O183" s="933"/>
      <c r="P183" s="933"/>
      <c r="Q183" s="933"/>
      <c r="R183" s="933"/>
      <c r="S183" s="933"/>
      <c r="T183" s="933"/>
      <c r="U183" s="933"/>
      <c r="V183" s="933"/>
      <c r="W183" s="933"/>
      <c r="X183" s="933"/>
      <c r="Y183" s="933"/>
      <c r="Z183" s="933"/>
      <c r="AA183" s="933"/>
      <c r="AB183" s="933"/>
      <c r="AC183" s="933"/>
      <c r="AD183" s="933"/>
    </row>
    <row r="184" spans="1:30" ht="12.75">
      <c r="A184" s="933"/>
      <c r="B184" s="933"/>
      <c r="C184" s="933"/>
      <c r="D184" s="933"/>
      <c r="E184" s="933"/>
      <c r="F184" s="933"/>
      <c r="G184" s="933"/>
      <c r="H184" s="933"/>
      <c r="I184" s="933"/>
      <c r="J184" s="933"/>
      <c r="K184" s="935"/>
      <c r="L184" s="933"/>
      <c r="M184" s="933"/>
      <c r="N184" s="945"/>
      <c r="O184" s="933"/>
      <c r="P184" s="933"/>
      <c r="Q184" s="933"/>
      <c r="R184" s="933"/>
      <c r="S184" s="933"/>
      <c r="T184" s="933"/>
      <c r="U184" s="933"/>
      <c r="V184" s="933"/>
      <c r="W184" s="933"/>
      <c r="X184" s="933"/>
      <c r="Y184" s="933"/>
      <c r="Z184" s="933"/>
      <c r="AA184" s="933"/>
      <c r="AB184" s="933"/>
      <c r="AC184" s="933"/>
      <c r="AD184" s="933"/>
    </row>
    <row r="185" spans="1:30" ht="12.75">
      <c r="A185" s="933"/>
      <c r="B185" s="933"/>
      <c r="C185" s="933"/>
      <c r="D185" s="933"/>
      <c r="E185" s="933"/>
      <c r="F185" s="933"/>
      <c r="G185" s="933"/>
      <c r="H185" s="933"/>
      <c r="I185" s="933"/>
      <c r="J185" s="933"/>
      <c r="K185" s="935"/>
      <c r="L185" s="933"/>
      <c r="M185" s="933"/>
      <c r="N185" s="945"/>
      <c r="O185" s="933"/>
      <c r="P185" s="933"/>
      <c r="Q185" s="933"/>
      <c r="R185" s="933"/>
      <c r="S185" s="933"/>
      <c r="T185" s="933"/>
      <c r="U185" s="933"/>
      <c r="V185" s="933"/>
      <c r="W185" s="933"/>
      <c r="X185" s="933"/>
      <c r="Y185" s="933"/>
      <c r="Z185" s="933"/>
      <c r="AA185" s="933"/>
      <c r="AB185" s="933"/>
      <c r="AC185" s="933"/>
      <c r="AD185" s="933"/>
    </row>
    <row r="186" spans="1:30" ht="12.75">
      <c r="A186" s="933"/>
      <c r="B186" s="933"/>
      <c r="C186" s="933"/>
      <c r="D186" s="933"/>
      <c r="E186" s="933"/>
      <c r="F186" s="933"/>
      <c r="G186" s="933"/>
      <c r="H186" s="933"/>
      <c r="I186" s="933"/>
      <c r="J186" s="933"/>
      <c r="K186" s="935"/>
      <c r="L186" s="933"/>
      <c r="M186" s="933"/>
      <c r="N186" s="945"/>
      <c r="O186" s="933"/>
      <c r="P186" s="933"/>
      <c r="Q186" s="933"/>
      <c r="R186" s="933"/>
      <c r="S186" s="933"/>
      <c r="T186" s="933"/>
      <c r="U186" s="933"/>
      <c r="V186" s="933"/>
      <c r="W186" s="933"/>
      <c r="X186" s="933"/>
      <c r="Y186" s="933"/>
      <c r="Z186" s="933"/>
      <c r="AA186" s="933"/>
      <c r="AB186" s="933"/>
      <c r="AC186" s="933"/>
      <c r="AD186" s="933"/>
    </row>
    <row r="187" spans="1:30" ht="12.75">
      <c r="A187" s="933"/>
      <c r="B187" s="933"/>
      <c r="C187" s="933"/>
      <c r="D187" s="933"/>
      <c r="E187" s="933"/>
      <c r="F187" s="933"/>
      <c r="G187" s="933"/>
      <c r="H187" s="933"/>
      <c r="I187" s="933"/>
      <c r="J187" s="933"/>
      <c r="K187" s="935"/>
      <c r="L187" s="933"/>
      <c r="M187" s="933"/>
      <c r="N187" s="945"/>
      <c r="O187" s="933"/>
      <c r="P187" s="933"/>
      <c r="Q187" s="933"/>
      <c r="R187" s="933"/>
      <c r="S187" s="933"/>
      <c r="T187" s="933"/>
      <c r="U187" s="933"/>
      <c r="V187" s="933"/>
      <c r="W187" s="933"/>
      <c r="X187" s="933"/>
      <c r="Y187" s="933"/>
      <c r="Z187" s="933"/>
      <c r="AA187" s="933"/>
      <c r="AB187" s="933"/>
      <c r="AC187" s="933"/>
      <c r="AD187" s="933"/>
    </row>
    <row r="188" spans="1:30" ht="12.75">
      <c r="A188" s="933"/>
      <c r="B188" s="933"/>
      <c r="C188" s="933"/>
      <c r="D188" s="933"/>
      <c r="E188" s="933"/>
      <c r="F188" s="933"/>
      <c r="G188" s="933"/>
      <c r="H188" s="933"/>
      <c r="I188" s="933"/>
      <c r="J188" s="933"/>
      <c r="K188" s="935"/>
      <c r="L188" s="933"/>
      <c r="M188" s="933"/>
      <c r="N188" s="945"/>
      <c r="O188" s="933"/>
      <c r="P188" s="933"/>
      <c r="Q188" s="933"/>
      <c r="R188" s="933"/>
      <c r="S188" s="933"/>
      <c r="T188" s="933"/>
      <c r="U188" s="933"/>
      <c r="V188" s="933"/>
      <c r="W188" s="933"/>
      <c r="X188" s="933"/>
      <c r="Y188" s="933"/>
      <c r="Z188" s="933"/>
      <c r="AA188" s="933"/>
      <c r="AB188" s="933"/>
      <c r="AC188" s="933"/>
      <c r="AD188" s="933"/>
    </row>
    <row r="189" spans="1:30" ht="12.75">
      <c r="A189" s="933"/>
      <c r="B189" s="933"/>
      <c r="C189" s="933"/>
      <c r="D189" s="933"/>
      <c r="E189" s="933"/>
      <c r="F189" s="933"/>
      <c r="G189" s="933"/>
      <c r="H189" s="933"/>
      <c r="I189" s="933"/>
      <c r="J189" s="933"/>
      <c r="K189" s="935"/>
      <c r="L189" s="933"/>
      <c r="M189" s="933"/>
      <c r="N189" s="945"/>
      <c r="O189" s="933"/>
      <c r="P189" s="933"/>
      <c r="Q189" s="933"/>
      <c r="R189" s="933"/>
      <c r="S189" s="933"/>
      <c r="T189" s="933"/>
      <c r="U189" s="933"/>
      <c r="V189" s="933"/>
      <c r="W189" s="933"/>
      <c r="X189" s="933"/>
      <c r="Y189" s="933"/>
      <c r="Z189" s="933"/>
      <c r="AA189" s="933"/>
      <c r="AB189" s="933"/>
      <c r="AC189" s="933"/>
      <c r="AD189" s="933"/>
    </row>
    <row r="190" spans="1:30" ht="12.75">
      <c r="A190" s="933"/>
      <c r="B190" s="933"/>
      <c r="C190" s="933"/>
      <c r="D190" s="933"/>
      <c r="E190" s="933"/>
      <c r="F190" s="933"/>
      <c r="G190" s="933"/>
      <c r="H190" s="933"/>
      <c r="I190" s="933"/>
      <c r="J190" s="933"/>
      <c r="K190" s="935"/>
      <c r="L190" s="933"/>
      <c r="M190" s="933"/>
      <c r="N190" s="945"/>
      <c r="O190" s="933"/>
      <c r="P190" s="933"/>
      <c r="Q190" s="933"/>
      <c r="R190" s="933"/>
      <c r="S190" s="933"/>
      <c r="T190" s="933"/>
      <c r="U190" s="933"/>
      <c r="V190" s="933"/>
      <c r="W190" s="933"/>
      <c r="X190" s="933"/>
      <c r="Y190" s="933"/>
      <c r="Z190" s="933"/>
      <c r="AA190" s="933"/>
      <c r="AB190" s="933"/>
      <c r="AC190" s="933"/>
      <c r="AD190" s="933"/>
    </row>
    <row r="191" spans="1:30" ht="12.75">
      <c r="A191" s="933"/>
      <c r="B191" s="933"/>
      <c r="C191" s="933"/>
      <c r="D191" s="933"/>
      <c r="E191" s="933"/>
      <c r="F191" s="933"/>
      <c r="G191" s="933"/>
      <c r="H191" s="933"/>
      <c r="I191" s="933"/>
      <c r="J191" s="933"/>
      <c r="K191" s="935"/>
      <c r="L191" s="933"/>
      <c r="M191" s="933"/>
      <c r="N191" s="945"/>
      <c r="O191" s="933"/>
      <c r="P191" s="933"/>
      <c r="Q191" s="933"/>
      <c r="R191" s="933"/>
      <c r="S191" s="933"/>
      <c r="T191" s="933"/>
      <c r="U191" s="933"/>
      <c r="V191" s="933"/>
      <c r="W191" s="933"/>
      <c r="X191" s="933"/>
      <c r="Y191" s="933"/>
      <c r="Z191" s="933"/>
      <c r="AA191" s="933"/>
      <c r="AB191" s="933"/>
      <c r="AC191" s="933"/>
      <c r="AD191" s="933"/>
    </row>
    <row r="192" spans="1:30" ht="12.75">
      <c r="A192" s="933"/>
      <c r="B192" s="933"/>
      <c r="C192" s="933"/>
      <c r="D192" s="933"/>
      <c r="E192" s="933"/>
      <c r="F192" s="933"/>
      <c r="G192" s="933"/>
      <c r="H192" s="933"/>
      <c r="I192" s="933"/>
      <c r="J192" s="933"/>
      <c r="K192" s="935"/>
      <c r="L192" s="933"/>
      <c r="M192" s="933"/>
      <c r="N192" s="945"/>
      <c r="O192" s="933"/>
      <c r="P192" s="933"/>
      <c r="Q192" s="933"/>
      <c r="R192" s="933"/>
      <c r="S192" s="933"/>
      <c r="T192" s="933"/>
      <c r="U192" s="933"/>
      <c r="V192" s="933"/>
      <c r="W192" s="933"/>
      <c r="X192" s="933"/>
      <c r="Y192" s="933"/>
      <c r="Z192" s="933"/>
      <c r="AA192" s="933"/>
      <c r="AB192" s="933"/>
      <c r="AC192" s="933"/>
      <c r="AD192" s="933"/>
    </row>
    <row r="193" spans="1:30" ht="12.75">
      <c r="A193" s="933"/>
      <c r="B193" s="933"/>
      <c r="C193" s="933"/>
      <c r="D193" s="933"/>
      <c r="E193" s="933"/>
      <c r="F193" s="933"/>
      <c r="G193" s="933"/>
      <c r="H193" s="933"/>
      <c r="I193" s="933"/>
      <c r="J193" s="933"/>
      <c r="K193" s="935"/>
      <c r="L193" s="933"/>
      <c r="M193" s="933"/>
      <c r="N193" s="945"/>
      <c r="O193" s="933"/>
      <c r="P193" s="933"/>
      <c r="Q193" s="933"/>
      <c r="R193" s="933"/>
      <c r="S193" s="933"/>
      <c r="T193" s="933"/>
      <c r="U193" s="933"/>
      <c r="V193" s="933"/>
      <c r="W193" s="933"/>
      <c r="X193" s="933"/>
      <c r="Y193" s="933"/>
      <c r="Z193" s="933"/>
      <c r="AA193" s="933"/>
      <c r="AB193" s="933"/>
      <c r="AC193" s="933"/>
      <c r="AD193" s="933"/>
    </row>
    <row r="194" spans="1:30" ht="12.75">
      <c r="A194" s="933"/>
      <c r="B194" s="933"/>
      <c r="C194" s="933"/>
      <c r="D194" s="933"/>
      <c r="E194" s="933"/>
      <c r="F194" s="933"/>
      <c r="G194" s="933"/>
      <c r="H194" s="933"/>
      <c r="I194" s="933"/>
      <c r="J194" s="933"/>
      <c r="K194" s="935"/>
      <c r="L194" s="933"/>
      <c r="M194" s="933"/>
      <c r="N194" s="945"/>
      <c r="O194" s="933"/>
      <c r="P194" s="933"/>
      <c r="Q194" s="933"/>
      <c r="R194" s="933"/>
      <c r="S194" s="933"/>
      <c r="T194" s="933"/>
      <c r="U194" s="933"/>
      <c r="V194" s="933"/>
      <c r="W194" s="933"/>
      <c r="X194" s="933"/>
      <c r="Y194" s="933"/>
      <c r="Z194" s="933"/>
      <c r="AA194" s="933"/>
      <c r="AB194" s="933"/>
      <c r="AC194" s="933"/>
      <c r="AD194" s="933"/>
    </row>
    <row r="195" spans="1:30" ht="12.75">
      <c r="A195" s="933"/>
      <c r="B195" s="933"/>
      <c r="C195" s="933"/>
      <c r="D195" s="933"/>
      <c r="E195" s="933"/>
      <c r="F195" s="933"/>
      <c r="G195" s="933"/>
      <c r="H195" s="933"/>
      <c r="I195" s="933"/>
      <c r="J195" s="933"/>
      <c r="K195" s="935"/>
      <c r="L195" s="933"/>
      <c r="M195" s="933"/>
      <c r="N195" s="945"/>
      <c r="O195" s="933"/>
      <c r="P195" s="933"/>
      <c r="Q195" s="933"/>
      <c r="R195" s="933"/>
      <c r="S195" s="933"/>
      <c r="T195" s="933"/>
      <c r="U195" s="933"/>
      <c r="V195" s="933"/>
      <c r="W195" s="933"/>
      <c r="X195" s="933"/>
      <c r="Y195" s="933"/>
      <c r="Z195" s="933"/>
      <c r="AA195" s="933"/>
      <c r="AB195" s="933"/>
      <c r="AC195" s="933"/>
      <c r="AD195" s="933"/>
    </row>
    <row r="196" spans="1:30" ht="12.75">
      <c r="A196" s="933"/>
      <c r="B196" s="933"/>
      <c r="C196" s="933"/>
      <c r="D196" s="933"/>
      <c r="E196" s="933"/>
      <c r="F196" s="933"/>
      <c r="G196" s="933"/>
      <c r="H196" s="933"/>
      <c r="I196" s="933"/>
      <c r="J196" s="933"/>
      <c r="K196" s="935"/>
      <c r="L196" s="933"/>
      <c r="M196" s="933"/>
      <c r="N196" s="945"/>
      <c r="O196" s="933"/>
      <c r="P196" s="933"/>
      <c r="Q196" s="933"/>
      <c r="R196" s="933"/>
      <c r="S196" s="933"/>
      <c r="T196" s="933"/>
      <c r="U196" s="933"/>
      <c r="V196" s="933"/>
      <c r="W196" s="933"/>
      <c r="X196" s="933"/>
      <c r="Y196" s="933"/>
      <c r="Z196" s="933"/>
      <c r="AA196" s="933"/>
      <c r="AB196" s="933"/>
      <c r="AC196" s="933"/>
      <c r="AD196" s="933"/>
    </row>
    <row r="197" spans="1:30" ht="12.75">
      <c r="A197" s="933"/>
      <c r="B197" s="933"/>
      <c r="C197" s="933"/>
      <c r="D197" s="933"/>
      <c r="E197" s="933"/>
      <c r="F197" s="933"/>
      <c r="G197" s="933"/>
      <c r="H197" s="933"/>
      <c r="I197" s="933"/>
      <c r="J197" s="933"/>
      <c r="K197" s="935"/>
      <c r="L197" s="933"/>
      <c r="M197" s="933"/>
      <c r="N197" s="945"/>
      <c r="O197" s="933"/>
      <c r="P197" s="933"/>
      <c r="Q197" s="933"/>
      <c r="R197" s="933"/>
      <c r="S197" s="933"/>
      <c r="T197" s="933"/>
      <c r="U197" s="933"/>
      <c r="V197" s="933"/>
      <c r="W197" s="933"/>
      <c r="X197" s="933"/>
      <c r="Y197" s="933"/>
      <c r="Z197" s="933"/>
      <c r="AA197" s="933"/>
      <c r="AB197" s="933"/>
      <c r="AC197" s="933"/>
      <c r="AD197" s="933"/>
    </row>
    <row r="198" spans="1:30" ht="12.75">
      <c r="A198" s="933"/>
      <c r="B198" s="933"/>
      <c r="C198" s="933"/>
      <c r="D198" s="933"/>
      <c r="E198" s="933"/>
      <c r="F198" s="933"/>
      <c r="G198" s="933"/>
      <c r="H198" s="933"/>
      <c r="I198" s="933"/>
      <c r="J198" s="933"/>
      <c r="K198" s="935"/>
      <c r="L198" s="933"/>
      <c r="M198" s="933"/>
      <c r="N198" s="945"/>
      <c r="O198" s="933"/>
      <c r="P198" s="933"/>
      <c r="Q198" s="933"/>
      <c r="R198" s="933"/>
      <c r="S198" s="933"/>
      <c r="T198" s="933"/>
      <c r="U198" s="933"/>
      <c r="V198" s="933"/>
      <c r="W198" s="933"/>
      <c r="X198" s="933"/>
      <c r="Y198" s="933"/>
      <c r="Z198" s="933"/>
      <c r="AA198" s="933"/>
      <c r="AB198" s="933"/>
      <c r="AC198" s="933"/>
      <c r="AD198" s="933"/>
    </row>
    <row r="199" spans="1:30" ht="12.75">
      <c r="A199" s="933"/>
      <c r="B199" s="933"/>
      <c r="C199" s="933"/>
      <c r="D199" s="933"/>
      <c r="E199" s="933"/>
      <c r="F199" s="933"/>
      <c r="G199" s="933"/>
      <c r="H199" s="933"/>
      <c r="I199" s="933"/>
      <c r="J199" s="933"/>
      <c r="K199" s="935"/>
      <c r="L199" s="933"/>
      <c r="M199" s="933"/>
      <c r="N199" s="945"/>
      <c r="O199" s="933"/>
      <c r="P199" s="933"/>
      <c r="Q199" s="933"/>
      <c r="R199" s="933"/>
      <c r="S199" s="933"/>
      <c r="T199" s="933"/>
      <c r="U199" s="933"/>
      <c r="V199" s="933"/>
      <c r="W199" s="933"/>
      <c r="X199" s="933"/>
      <c r="Y199" s="933"/>
      <c r="Z199" s="933"/>
      <c r="AA199" s="933"/>
      <c r="AB199" s="933"/>
      <c r="AC199" s="933"/>
      <c r="AD199" s="933"/>
    </row>
    <row r="200" spans="1:30" ht="12.75">
      <c r="A200" s="933"/>
      <c r="B200" s="933"/>
      <c r="C200" s="933"/>
      <c r="D200" s="933"/>
      <c r="E200" s="933"/>
      <c r="F200" s="933"/>
      <c r="G200" s="933"/>
      <c r="H200" s="933"/>
      <c r="I200" s="933"/>
      <c r="J200" s="933"/>
      <c r="K200" s="935"/>
      <c r="L200" s="933"/>
      <c r="M200" s="933"/>
      <c r="N200" s="945"/>
      <c r="O200" s="933"/>
      <c r="P200" s="933"/>
      <c r="Q200" s="933"/>
      <c r="R200" s="933"/>
      <c r="S200" s="933"/>
      <c r="T200" s="933"/>
      <c r="U200" s="933"/>
      <c r="V200" s="933"/>
      <c r="W200" s="933"/>
      <c r="X200" s="933"/>
      <c r="Y200" s="933"/>
      <c r="Z200" s="933"/>
      <c r="AA200" s="933"/>
      <c r="AB200" s="933"/>
      <c r="AC200" s="933"/>
      <c r="AD200" s="933"/>
    </row>
    <row r="201" spans="1:30" ht="12.75">
      <c r="A201" s="933"/>
      <c r="B201" s="933"/>
      <c r="C201" s="933"/>
      <c r="D201" s="933"/>
      <c r="E201" s="933"/>
      <c r="F201" s="933"/>
      <c r="G201" s="933"/>
      <c r="H201" s="933"/>
      <c r="I201" s="933"/>
      <c r="J201" s="933"/>
      <c r="K201" s="935"/>
      <c r="L201" s="933"/>
      <c r="M201" s="933"/>
      <c r="N201" s="945"/>
      <c r="O201" s="933"/>
      <c r="P201" s="933"/>
      <c r="Q201" s="933"/>
      <c r="R201" s="933"/>
      <c r="S201" s="933"/>
      <c r="T201" s="933"/>
      <c r="U201" s="933"/>
      <c r="V201" s="933"/>
      <c r="W201" s="933"/>
      <c r="X201" s="933"/>
      <c r="Y201" s="933"/>
      <c r="Z201" s="933"/>
      <c r="AA201" s="933"/>
      <c r="AB201" s="933"/>
      <c r="AC201" s="933"/>
      <c r="AD201" s="933"/>
    </row>
    <row r="202" spans="1:30" ht="12.75">
      <c r="A202" s="933"/>
      <c r="B202" s="933"/>
      <c r="C202" s="933"/>
      <c r="D202" s="933"/>
      <c r="E202" s="933"/>
      <c r="F202" s="933"/>
      <c r="G202" s="933"/>
      <c r="H202" s="933"/>
      <c r="I202" s="933"/>
      <c r="J202" s="933"/>
      <c r="K202" s="935"/>
      <c r="L202" s="933"/>
      <c r="M202" s="933"/>
      <c r="N202" s="945"/>
      <c r="O202" s="933"/>
      <c r="P202" s="933"/>
      <c r="Q202" s="933"/>
      <c r="R202" s="933"/>
      <c r="S202" s="933"/>
      <c r="T202" s="933"/>
      <c r="U202" s="933"/>
      <c r="V202" s="933"/>
      <c r="W202" s="933"/>
      <c r="X202" s="933"/>
      <c r="Y202" s="933"/>
      <c r="Z202" s="933"/>
      <c r="AA202" s="933"/>
      <c r="AB202" s="933"/>
      <c r="AC202" s="933"/>
      <c r="AD202" s="933"/>
    </row>
    <row r="203" spans="1:30" ht="12.75">
      <c r="A203" s="933"/>
      <c r="B203" s="933"/>
      <c r="C203" s="933"/>
      <c r="D203" s="933"/>
      <c r="E203" s="933"/>
      <c r="F203" s="933"/>
      <c r="G203" s="933"/>
      <c r="H203" s="933"/>
      <c r="I203" s="933"/>
      <c r="J203" s="933"/>
      <c r="K203" s="935"/>
      <c r="L203" s="933"/>
      <c r="M203" s="933"/>
      <c r="N203" s="945"/>
      <c r="O203" s="933"/>
      <c r="P203" s="933"/>
      <c r="Q203" s="933"/>
      <c r="R203" s="933"/>
      <c r="S203" s="933"/>
      <c r="T203" s="933"/>
      <c r="U203" s="933"/>
      <c r="V203" s="933"/>
      <c r="W203" s="933"/>
      <c r="X203" s="933"/>
      <c r="Y203" s="933"/>
      <c r="Z203" s="933"/>
      <c r="AA203" s="933"/>
      <c r="AB203" s="933"/>
      <c r="AC203" s="933"/>
      <c r="AD203" s="933"/>
    </row>
    <row r="204" spans="1:30" ht="12.75">
      <c r="A204" s="933"/>
      <c r="B204" s="933"/>
      <c r="C204" s="933"/>
      <c r="D204" s="933"/>
      <c r="E204" s="933"/>
      <c r="F204" s="933"/>
      <c r="G204" s="933"/>
      <c r="H204" s="933"/>
      <c r="I204" s="933"/>
      <c r="J204" s="933"/>
      <c r="K204" s="935"/>
      <c r="L204" s="933"/>
      <c r="M204" s="933"/>
      <c r="N204" s="945"/>
      <c r="O204" s="933"/>
      <c r="P204" s="933"/>
      <c r="Q204" s="933"/>
      <c r="R204" s="933"/>
      <c r="S204" s="933"/>
      <c r="T204" s="933"/>
      <c r="U204" s="933"/>
      <c r="V204" s="933"/>
      <c r="W204" s="933"/>
      <c r="X204" s="933"/>
      <c r="Y204" s="933"/>
      <c r="Z204" s="933"/>
      <c r="AA204" s="933"/>
      <c r="AB204" s="933"/>
      <c r="AC204" s="933"/>
      <c r="AD204" s="933"/>
    </row>
    <row r="205" spans="1:30" ht="12.75">
      <c r="A205" s="933"/>
      <c r="B205" s="933"/>
      <c r="C205" s="933"/>
      <c r="D205" s="933"/>
      <c r="E205" s="933"/>
      <c r="F205" s="933"/>
      <c r="G205" s="933"/>
      <c r="H205" s="933"/>
      <c r="I205" s="933"/>
      <c r="J205" s="933"/>
      <c r="K205" s="935"/>
      <c r="L205" s="933"/>
      <c r="M205" s="933"/>
      <c r="N205" s="945"/>
      <c r="O205" s="933"/>
      <c r="P205" s="933"/>
      <c r="Q205" s="933"/>
      <c r="R205" s="933"/>
      <c r="S205" s="933"/>
      <c r="T205" s="933"/>
      <c r="U205" s="933"/>
      <c r="V205" s="933"/>
      <c r="W205" s="933"/>
      <c r="X205" s="933"/>
      <c r="Y205" s="933"/>
      <c r="Z205" s="933"/>
      <c r="AA205" s="933"/>
      <c r="AB205" s="933"/>
      <c r="AC205" s="933"/>
      <c r="AD205" s="933"/>
    </row>
    <row r="206" spans="1:30" ht="12.75">
      <c r="A206" s="933"/>
      <c r="B206" s="933"/>
      <c r="C206" s="933"/>
      <c r="D206" s="933"/>
      <c r="E206" s="933"/>
      <c r="F206" s="933"/>
      <c r="G206" s="933"/>
      <c r="H206" s="933"/>
      <c r="I206" s="933"/>
      <c r="J206" s="933"/>
      <c r="K206" s="935"/>
      <c r="L206" s="933"/>
      <c r="M206" s="933"/>
      <c r="N206" s="945"/>
      <c r="O206" s="933"/>
      <c r="P206" s="933"/>
      <c r="Q206" s="933"/>
      <c r="R206" s="933"/>
      <c r="S206" s="933"/>
      <c r="T206" s="933"/>
      <c r="U206" s="933"/>
      <c r="V206" s="933"/>
      <c r="W206" s="933"/>
      <c r="X206" s="933"/>
      <c r="Y206" s="933"/>
      <c r="Z206" s="933"/>
      <c r="AA206" s="933"/>
      <c r="AB206" s="933"/>
      <c r="AC206" s="933"/>
      <c r="AD206" s="933"/>
    </row>
    <row r="207" spans="1:30" ht="12.75">
      <c r="A207" s="933"/>
      <c r="B207" s="933"/>
      <c r="C207" s="933"/>
      <c r="D207" s="933"/>
      <c r="E207" s="933"/>
      <c r="F207" s="933"/>
      <c r="G207" s="933"/>
      <c r="H207" s="933"/>
      <c r="I207" s="933"/>
      <c r="J207" s="933"/>
      <c r="K207" s="935"/>
      <c r="L207" s="933"/>
      <c r="M207" s="933"/>
      <c r="N207" s="945"/>
      <c r="O207" s="933"/>
      <c r="P207" s="933"/>
      <c r="Q207" s="933"/>
      <c r="R207" s="933"/>
      <c r="S207" s="933"/>
      <c r="T207" s="933"/>
      <c r="U207" s="933"/>
      <c r="V207" s="933"/>
      <c r="W207" s="933"/>
      <c r="X207" s="933"/>
      <c r="Y207" s="933"/>
      <c r="Z207" s="933"/>
      <c r="AA207" s="933"/>
      <c r="AB207" s="933"/>
      <c r="AC207" s="933"/>
      <c r="AD207" s="933"/>
    </row>
    <row r="208" spans="1:30" ht="12.75">
      <c r="A208" s="933"/>
      <c r="B208" s="933"/>
      <c r="C208" s="933"/>
      <c r="D208" s="933"/>
      <c r="E208" s="933"/>
      <c r="F208" s="933"/>
      <c r="G208" s="933"/>
      <c r="H208" s="933"/>
      <c r="I208" s="933"/>
      <c r="J208" s="933"/>
      <c r="K208" s="935"/>
      <c r="L208" s="933"/>
      <c r="M208" s="933"/>
      <c r="N208" s="945"/>
      <c r="O208" s="933"/>
      <c r="P208" s="933"/>
      <c r="Q208" s="933"/>
      <c r="R208" s="933"/>
      <c r="S208" s="933"/>
      <c r="T208" s="933"/>
      <c r="U208" s="933"/>
      <c r="V208" s="933"/>
      <c r="W208" s="933"/>
      <c r="X208" s="933"/>
      <c r="Y208" s="933"/>
      <c r="Z208" s="933"/>
      <c r="AA208" s="933"/>
      <c r="AB208" s="933"/>
      <c r="AC208" s="933"/>
      <c r="AD208" s="933"/>
    </row>
    <row r="209" spans="1:30" ht="12.75">
      <c r="A209" s="933"/>
      <c r="B209" s="933"/>
      <c r="C209" s="933"/>
      <c r="D209" s="933"/>
      <c r="E209" s="933"/>
      <c r="F209" s="933"/>
      <c r="G209" s="933"/>
      <c r="H209" s="933"/>
      <c r="I209" s="933"/>
      <c r="J209" s="933"/>
      <c r="K209" s="935"/>
      <c r="L209" s="933"/>
      <c r="M209" s="933"/>
      <c r="N209" s="945"/>
      <c r="O209" s="933"/>
      <c r="P209" s="933"/>
      <c r="Q209" s="933"/>
      <c r="R209" s="933"/>
      <c r="S209" s="933"/>
      <c r="T209" s="933"/>
      <c r="U209" s="933"/>
      <c r="V209" s="933"/>
      <c r="W209" s="933"/>
      <c r="X209" s="933"/>
      <c r="Y209" s="933"/>
      <c r="Z209" s="933"/>
      <c r="AA209" s="933"/>
      <c r="AB209" s="933"/>
      <c r="AC209" s="933"/>
      <c r="AD209" s="933"/>
    </row>
    <row r="210" spans="1:30" ht="12.75">
      <c r="A210" s="933"/>
      <c r="B210" s="933"/>
      <c r="C210" s="933"/>
      <c r="D210" s="933"/>
      <c r="E210" s="933"/>
      <c r="F210" s="933"/>
      <c r="G210" s="933"/>
      <c r="H210" s="933"/>
      <c r="I210" s="933"/>
      <c r="J210" s="933"/>
      <c r="K210" s="935"/>
      <c r="L210" s="933"/>
      <c r="M210" s="933"/>
      <c r="N210" s="945"/>
      <c r="O210" s="933"/>
      <c r="P210" s="933"/>
      <c r="Q210" s="933"/>
      <c r="R210" s="933"/>
      <c r="S210" s="933"/>
      <c r="T210" s="933"/>
      <c r="U210" s="933"/>
      <c r="V210" s="933"/>
      <c r="W210" s="933"/>
      <c r="X210" s="933"/>
      <c r="Y210" s="933"/>
      <c r="Z210" s="933"/>
      <c r="AA210" s="933"/>
      <c r="AB210" s="933"/>
      <c r="AC210" s="933"/>
      <c r="AD210" s="933"/>
    </row>
    <row r="211" spans="1:30" ht="12.75">
      <c r="A211" s="933"/>
      <c r="B211" s="933"/>
      <c r="C211" s="933"/>
      <c r="D211" s="933"/>
      <c r="E211" s="933"/>
      <c r="F211" s="933"/>
      <c r="G211" s="933"/>
      <c r="H211" s="933"/>
      <c r="I211" s="933"/>
      <c r="J211" s="933"/>
      <c r="K211" s="935"/>
      <c r="L211" s="933"/>
      <c r="M211" s="933"/>
      <c r="N211" s="945"/>
      <c r="O211" s="933"/>
      <c r="P211" s="933"/>
      <c r="Q211" s="933"/>
      <c r="R211" s="933"/>
      <c r="S211" s="933"/>
      <c r="T211" s="933"/>
      <c r="U211" s="933"/>
      <c r="V211" s="933"/>
      <c r="W211" s="933"/>
      <c r="X211" s="933"/>
      <c r="Y211" s="933"/>
      <c r="Z211" s="933"/>
      <c r="AA211" s="933"/>
      <c r="AB211" s="933"/>
      <c r="AC211" s="933"/>
      <c r="AD211" s="933"/>
    </row>
    <row r="212" spans="1:30" ht="12.75">
      <c r="A212" s="933"/>
      <c r="B212" s="933"/>
      <c r="C212" s="933"/>
      <c r="D212" s="933"/>
      <c r="E212" s="933"/>
      <c r="F212" s="933"/>
      <c r="G212" s="933"/>
      <c r="H212" s="933"/>
      <c r="I212" s="933"/>
      <c r="J212" s="933"/>
      <c r="K212" s="935"/>
      <c r="L212" s="933"/>
      <c r="M212" s="933"/>
      <c r="N212" s="945"/>
      <c r="O212" s="933"/>
      <c r="P212" s="933"/>
      <c r="Q212" s="933"/>
      <c r="R212" s="933"/>
      <c r="S212" s="933"/>
      <c r="T212" s="933"/>
      <c r="U212" s="933"/>
      <c r="V212" s="933"/>
      <c r="W212" s="933"/>
      <c r="X212" s="933"/>
      <c r="Y212" s="933"/>
      <c r="Z212" s="933"/>
      <c r="AA212" s="933"/>
      <c r="AB212" s="933"/>
      <c r="AC212" s="933"/>
      <c r="AD212" s="933"/>
    </row>
    <row r="213" spans="1:30" ht="12.75">
      <c r="A213" s="933"/>
      <c r="B213" s="933"/>
      <c r="C213" s="933"/>
      <c r="D213" s="933"/>
      <c r="E213" s="933"/>
      <c r="F213" s="933"/>
      <c r="G213" s="933"/>
      <c r="H213" s="933"/>
      <c r="I213" s="933"/>
      <c r="J213" s="933"/>
      <c r="K213" s="935"/>
      <c r="L213" s="933"/>
      <c r="M213" s="933"/>
      <c r="N213" s="945"/>
      <c r="O213" s="933"/>
      <c r="P213" s="933"/>
      <c r="Q213" s="933"/>
      <c r="R213" s="933"/>
      <c r="S213" s="933"/>
      <c r="T213" s="933"/>
      <c r="U213" s="933"/>
      <c r="V213" s="933"/>
      <c r="W213" s="933"/>
      <c r="X213" s="933"/>
      <c r="Y213" s="933"/>
      <c r="Z213" s="933"/>
      <c r="AA213" s="933"/>
      <c r="AB213" s="933"/>
      <c r="AC213" s="933"/>
      <c r="AD213" s="933"/>
    </row>
    <row r="214" spans="1:30" ht="12.75">
      <c r="A214" s="933"/>
      <c r="B214" s="933"/>
      <c r="C214" s="933"/>
      <c r="D214" s="933"/>
      <c r="E214" s="933"/>
      <c r="F214" s="933"/>
      <c r="G214" s="933"/>
      <c r="H214" s="933"/>
      <c r="I214" s="933"/>
      <c r="J214" s="933"/>
      <c r="K214" s="935"/>
      <c r="L214" s="933"/>
      <c r="M214" s="933"/>
      <c r="N214" s="945"/>
      <c r="O214" s="933"/>
      <c r="P214" s="933"/>
      <c r="Q214" s="933"/>
      <c r="R214" s="933"/>
      <c r="S214" s="933"/>
      <c r="T214" s="933"/>
      <c r="U214" s="933"/>
      <c r="V214" s="933"/>
      <c r="W214" s="933"/>
      <c r="X214" s="933"/>
      <c r="Y214" s="933"/>
      <c r="Z214" s="933"/>
      <c r="AA214" s="933"/>
      <c r="AB214" s="933"/>
      <c r="AC214" s="933"/>
      <c r="AD214" s="933"/>
    </row>
    <row r="215" spans="1:30" ht="12.75">
      <c r="A215" s="933"/>
      <c r="B215" s="933"/>
      <c r="C215" s="933"/>
      <c r="D215" s="933"/>
      <c r="E215" s="933"/>
      <c r="F215" s="933"/>
      <c r="G215" s="933"/>
      <c r="H215" s="933"/>
      <c r="I215" s="933"/>
      <c r="J215" s="933"/>
      <c r="K215" s="935"/>
      <c r="L215" s="933"/>
      <c r="M215" s="933"/>
      <c r="N215" s="945"/>
      <c r="O215" s="933"/>
      <c r="P215" s="933"/>
      <c r="Q215" s="933"/>
      <c r="R215" s="933"/>
      <c r="S215" s="933"/>
      <c r="T215" s="933"/>
      <c r="U215" s="933"/>
      <c r="V215" s="933"/>
      <c r="W215" s="933"/>
      <c r="X215" s="933"/>
      <c r="Y215" s="933"/>
      <c r="Z215" s="933"/>
      <c r="AA215" s="933"/>
      <c r="AB215" s="933"/>
      <c r="AC215" s="933"/>
      <c r="AD215" s="933"/>
    </row>
    <row r="216" spans="1:30" ht="12.75">
      <c r="A216" s="933"/>
      <c r="B216" s="933"/>
      <c r="C216" s="933"/>
      <c r="D216" s="933"/>
      <c r="E216" s="933"/>
      <c r="F216" s="933"/>
      <c r="G216" s="933"/>
      <c r="H216" s="933"/>
      <c r="I216" s="933"/>
      <c r="J216" s="933"/>
      <c r="K216" s="935"/>
      <c r="L216" s="933"/>
      <c r="M216" s="933"/>
      <c r="N216" s="945"/>
      <c r="O216" s="933"/>
      <c r="P216" s="933"/>
      <c r="Q216" s="933"/>
      <c r="R216" s="933"/>
      <c r="S216" s="933"/>
      <c r="T216" s="933"/>
      <c r="U216" s="933"/>
      <c r="V216" s="933"/>
      <c r="W216" s="933"/>
      <c r="X216" s="933"/>
      <c r="Y216" s="933"/>
      <c r="Z216" s="933"/>
      <c r="AA216" s="933"/>
      <c r="AB216" s="933"/>
      <c r="AC216" s="933"/>
      <c r="AD216" s="933"/>
    </row>
    <row r="217" spans="1:30" ht="12.75">
      <c r="A217" s="933"/>
      <c r="B217" s="933"/>
      <c r="C217" s="933"/>
      <c r="D217" s="933"/>
      <c r="E217" s="933"/>
      <c r="F217" s="933"/>
      <c r="G217" s="933"/>
      <c r="H217" s="933"/>
      <c r="I217" s="933"/>
      <c r="J217" s="933"/>
      <c r="K217" s="935"/>
      <c r="L217" s="933"/>
      <c r="M217" s="933"/>
      <c r="N217" s="945"/>
      <c r="O217" s="933"/>
      <c r="P217" s="933"/>
      <c r="Q217" s="933"/>
      <c r="R217" s="933"/>
      <c r="S217" s="933"/>
      <c r="T217" s="933"/>
      <c r="U217" s="933"/>
      <c r="V217" s="933"/>
      <c r="W217" s="933"/>
      <c r="X217" s="933"/>
      <c r="Y217" s="933"/>
      <c r="Z217" s="933"/>
      <c r="AA217" s="933"/>
      <c r="AB217" s="933"/>
      <c r="AC217" s="933"/>
      <c r="AD217" s="933"/>
    </row>
    <row r="218" spans="1:30" ht="12.75">
      <c r="A218" s="933"/>
      <c r="B218" s="933"/>
      <c r="C218" s="933"/>
      <c r="D218" s="933"/>
      <c r="E218" s="933"/>
      <c r="F218" s="933"/>
      <c r="G218" s="933"/>
      <c r="H218" s="933"/>
      <c r="I218" s="933"/>
      <c r="J218" s="933"/>
      <c r="K218" s="935"/>
      <c r="L218" s="933"/>
      <c r="M218" s="933"/>
      <c r="N218" s="945"/>
      <c r="O218" s="933"/>
      <c r="P218" s="933"/>
      <c r="Q218" s="933"/>
      <c r="R218" s="933"/>
      <c r="S218" s="933"/>
      <c r="T218" s="933"/>
      <c r="U218" s="933"/>
      <c r="V218" s="933"/>
      <c r="W218" s="933"/>
      <c r="X218" s="933"/>
      <c r="Y218" s="933"/>
      <c r="Z218" s="933"/>
      <c r="AA218" s="933"/>
      <c r="AB218" s="933"/>
      <c r="AC218" s="933"/>
      <c r="AD218" s="933"/>
    </row>
    <row r="219" spans="1:30" ht="12.75">
      <c r="A219" s="933"/>
      <c r="B219" s="933"/>
      <c r="C219" s="933"/>
      <c r="D219" s="933"/>
      <c r="E219" s="933"/>
      <c r="F219" s="933"/>
      <c r="G219" s="933"/>
      <c r="H219" s="933"/>
      <c r="I219" s="933"/>
      <c r="J219" s="933"/>
      <c r="K219" s="935"/>
      <c r="L219" s="933"/>
      <c r="M219" s="933"/>
      <c r="N219" s="945"/>
      <c r="O219" s="933"/>
      <c r="P219" s="933"/>
      <c r="Q219" s="933"/>
      <c r="R219" s="933"/>
      <c r="S219" s="933"/>
      <c r="T219" s="933"/>
      <c r="U219" s="933"/>
      <c r="V219" s="933"/>
      <c r="W219" s="933"/>
      <c r="X219" s="933"/>
      <c r="Y219" s="933"/>
      <c r="Z219" s="933"/>
      <c r="AA219" s="933"/>
      <c r="AB219" s="933"/>
      <c r="AC219" s="933"/>
      <c r="AD219" s="933"/>
    </row>
    <row r="220" spans="1:30" ht="12.75">
      <c r="A220" s="933"/>
      <c r="B220" s="933"/>
      <c r="C220" s="933"/>
      <c r="D220" s="933"/>
      <c r="E220" s="933"/>
      <c r="F220" s="933"/>
      <c r="G220" s="933"/>
      <c r="H220" s="933"/>
      <c r="I220" s="933"/>
      <c r="J220" s="933"/>
      <c r="K220" s="935"/>
      <c r="L220" s="933"/>
      <c r="M220" s="933"/>
      <c r="N220" s="945"/>
      <c r="O220" s="933"/>
      <c r="P220" s="933"/>
      <c r="Q220" s="933"/>
      <c r="R220" s="933"/>
      <c r="S220" s="933"/>
      <c r="T220" s="933"/>
      <c r="U220" s="933"/>
      <c r="V220" s="933"/>
      <c r="W220" s="933"/>
      <c r="X220" s="933"/>
      <c r="Y220" s="933"/>
      <c r="Z220" s="933"/>
      <c r="AA220" s="933"/>
      <c r="AB220" s="933"/>
      <c r="AC220" s="933"/>
      <c r="AD220" s="933"/>
    </row>
    <row r="221" spans="1:30" ht="12.75">
      <c r="A221" s="933"/>
      <c r="B221" s="933"/>
      <c r="C221" s="933"/>
      <c r="D221" s="933"/>
      <c r="E221" s="933"/>
      <c r="F221" s="933"/>
      <c r="G221" s="933"/>
      <c r="H221" s="933"/>
      <c r="I221" s="933"/>
      <c r="J221" s="933"/>
      <c r="K221" s="935"/>
      <c r="L221" s="933"/>
      <c r="M221" s="933"/>
      <c r="N221" s="945"/>
      <c r="O221" s="933"/>
      <c r="P221" s="933"/>
      <c r="Q221" s="933"/>
      <c r="R221" s="933"/>
      <c r="S221" s="933"/>
      <c r="T221" s="933"/>
      <c r="U221" s="933"/>
      <c r="V221" s="933"/>
      <c r="W221" s="933"/>
      <c r="X221" s="933"/>
      <c r="Y221" s="933"/>
      <c r="Z221" s="933"/>
      <c r="AA221" s="933"/>
      <c r="AB221" s="933"/>
      <c r="AC221" s="933"/>
      <c r="AD221" s="933"/>
    </row>
    <row r="222" spans="1:30" ht="12.75">
      <c r="A222" s="933"/>
      <c r="B222" s="933"/>
      <c r="C222" s="933"/>
      <c r="D222" s="933"/>
      <c r="E222" s="933"/>
      <c r="F222" s="933"/>
      <c r="G222" s="933"/>
      <c r="H222" s="933"/>
      <c r="I222" s="933"/>
      <c r="J222" s="933"/>
      <c r="K222" s="935"/>
      <c r="L222" s="933"/>
      <c r="M222" s="933"/>
      <c r="N222" s="945"/>
      <c r="O222" s="933"/>
      <c r="P222" s="933"/>
      <c r="Q222" s="933"/>
      <c r="R222" s="933"/>
      <c r="S222" s="933"/>
      <c r="T222" s="933"/>
      <c r="U222" s="933"/>
      <c r="V222" s="933"/>
      <c r="W222" s="933"/>
      <c r="X222" s="933"/>
      <c r="Y222" s="933"/>
      <c r="Z222" s="933"/>
      <c r="AA222" s="933"/>
      <c r="AB222" s="933"/>
      <c r="AC222" s="933"/>
      <c r="AD222" s="933"/>
    </row>
    <row r="223" spans="1:30" ht="12.75">
      <c r="A223" s="933"/>
      <c r="B223" s="933"/>
      <c r="C223" s="933"/>
      <c r="D223" s="933"/>
      <c r="E223" s="933"/>
      <c r="F223" s="933"/>
      <c r="G223" s="933"/>
      <c r="H223" s="933"/>
      <c r="I223" s="933"/>
      <c r="J223" s="933"/>
      <c r="K223" s="935"/>
      <c r="L223" s="933"/>
      <c r="M223" s="933"/>
      <c r="N223" s="945"/>
      <c r="O223" s="933"/>
      <c r="P223" s="933"/>
      <c r="Q223" s="933"/>
      <c r="R223" s="933"/>
      <c r="S223" s="933"/>
      <c r="T223" s="933"/>
      <c r="U223" s="933"/>
      <c r="V223" s="933"/>
      <c r="W223" s="933"/>
      <c r="X223" s="933"/>
      <c r="Y223" s="933"/>
      <c r="Z223" s="933"/>
      <c r="AA223" s="933"/>
      <c r="AB223" s="933"/>
      <c r="AC223" s="933"/>
      <c r="AD223" s="933"/>
    </row>
    <row r="224" spans="1:30" ht="12.75">
      <c r="A224" s="933"/>
      <c r="B224" s="933"/>
      <c r="C224" s="933"/>
      <c r="D224" s="933"/>
      <c r="E224" s="933"/>
      <c r="F224" s="933"/>
      <c r="G224" s="933"/>
      <c r="H224" s="933"/>
      <c r="I224" s="933"/>
      <c r="J224" s="933"/>
      <c r="K224" s="935"/>
      <c r="L224" s="933"/>
      <c r="M224" s="933"/>
      <c r="N224" s="945"/>
      <c r="O224" s="933"/>
      <c r="P224" s="933"/>
      <c r="Q224" s="933"/>
      <c r="R224" s="933"/>
      <c r="S224" s="933"/>
      <c r="T224" s="933"/>
      <c r="U224" s="933"/>
      <c r="V224" s="933"/>
      <c r="W224" s="933"/>
      <c r="X224" s="933"/>
      <c r="Y224" s="933"/>
      <c r="Z224" s="933"/>
      <c r="AA224" s="933"/>
      <c r="AB224" s="933"/>
      <c r="AC224" s="933"/>
      <c r="AD224" s="933"/>
    </row>
    <row r="225" spans="1:30" ht="12.75">
      <c r="A225" s="933"/>
      <c r="B225" s="933"/>
      <c r="C225" s="933"/>
      <c r="D225" s="933"/>
      <c r="E225" s="933"/>
      <c r="F225" s="933"/>
      <c r="G225" s="933"/>
      <c r="H225" s="933"/>
      <c r="I225" s="933"/>
      <c r="J225" s="933"/>
      <c r="K225" s="935"/>
      <c r="L225" s="933"/>
      <c r="M225" s="933"/>
      <c r="N225" s="945"/>
      <c r="O225" s="933"/>
      <c r="P225" s="933"/>
      <c r="Q225" s="933"/>
      <c r="R225" s="933"/>
      <c r="S225" s="933"/>
      <c r="T225" s="933"/>
      <c r="U225" s="933"/>
      <c r="V225" s="933"/>
      <c r="W225" s="933"/>
      <c r="X225" s="933"/>
      <c r="Y225" s="933"/>
      <c r="Z225" s="933"/>
      <c r="AA225" s="933"/>
      <c r="AB225" s="933"/>
      <c r="AC225" s="933"/>
      <c r="AD225" s="933"/>
    </row>
    <row r="226" spans="1:30" ht="12.75">
      <c r="A226" s="933"/>
      <c r="B226" s="933"/>
      <c r="C226" s="933"/>
      <c r="D226" s="933"/>
      <c r="E226" s="933"/>
      <c r="F226" s="933"/>
      <c r="G226" s="933"/>
      <c r="H226" s="933"/>
      <c r="I226" s="933"/>
      <c r="J226" s="933"/>
      <c r="K226" s="935"/>
      <c r="L226" s="933"/>
      <c r="M226" s="933"/>
      <c r="N226" s="945"/>
      <c r="O226" s="933"/>
      <c r="P226" s="933"/>
      <c r="Q226" s="933"/>
      <c r="R226" s="933"/>
      <c r="S226" s="933"/>
      <c r="T226" s="933"/>
      <c r="U226" s="933"/>
      <c r="V226" s="933"/>
      <c r="W226" s="933"/>
      <c r="X226" s="933"/>
      <c r="Y226" s="933"/>
      <c r="Z226" s="933"/>
      <c r="AA226" s="933"/>
      <c r="AB226" s="933"/>
      <c r="AC226" s="933"/>
      <c r="AD226" s="933"/>
    </row>
    <row r="227" spans="1:30" ht="12.75">
      <c r="A227" s="933"/>
      <c r="B227" s="933"/>
      <c r="C227" s="933"/>
      <c r="D227" s="933"/>
      <c r="E227" s="933"/>
      <c r="F227" s="933"/>
      <c r="G227" s="933"/>
      <c r="H227" s="933"/>
      <c r="I227" s="933"/>
      <c r="J227" s="933"/>
      <c r="K227" s="935"/>
      <c r="L227" s="933"/>
      <c r="M227" s="933"/>
      <c r="N227" s="945"/>
      <c r="O227" s="933"/>
      <c r="P227" s="933"/>
      <c r="Q227" s="933"/>
      <c r="R227" s="933"/>
      <c r="S227" s="933"/>
      <c r="T227" s="933"/>
      <c r="U227" s="933"/>
      <c r="V227" s="933"/>
      <c r="W227" s="933"/>
      <c r="X227" s="933"/>
      <c r="Y227" s="933"/>
      <c r="Z227" s="933"/>
      <c r="AA227" s="933"/>
      <c r="AB227" s="933"/>
      <c r="AC227" s="933"/>
      <c r="AD227" s="933"/>
    </row>
    <row r="228" spans="1:30" ht="12.75">
      <c r="A228" s="933"/>
      <c r="B228" s="933"/>
      <c r="C228" s="933"/>
      <c r="D228" s="933"/>
      <c r="E228" s="933"/>
      <c r="F228" s="933"/>
      <c r="G228" s="933"/>
      <c r="H228" s="933"/>
      <c r="I228" s="933"/>
      <c r="J228" s="933"/>
      <c r="K228" s="935"/>
      <c r="L228" s="933"/>
      <c r="M228" s="933"/>
      <c r="N228" s="945"/>
      <c r="O228" s="933"/>
      <c r="P228" s="933"/>
      <c r="Q228" s="933"/>
      <c r="R228" s="933"/>
      <c r="S228" s="933"/>
      <c r="T228" s="933"/>
      <c r="U228" s="933"/>
      <c r="V228" s="933"/>
      <c r="W228" s="933"/>
      <c r="X228" s="933"/>
      <c r="Y228" s="933"/>
      <c r="Z228" s="933"/>
      <c r="AA228" s="933"/>
      <c r="AB228" s="933"/>
      <c r="AC228" s="933"/>
      <c r="AD228" s="933"/>
    </row>
    <row r="229" spans="1:30" ht="12.75">
      <c r="A229" s="933"/>
      <c r="B229" s="933"/>
      <c r="C229" s="933"/>
      <c r="D229" s="933"/>
      <c r="E229" s="933"/>
      <c r="F229" s="933"/>
      <c r="G229" s="933"/>
      <c r="H229" s="933"/>
      <c r="I229" s="933"/>
      <c r="J229" s="933"/>
      <c r="K229" s="935"/>
      <c r="L229" s="933"/>
      <c r="M229" s="933"/>
      <c r="N229" s="945"/>
      <c r="O229" s="933"/>
      <c r="P229" s="933"/>
      <c r="Q229" s="933"/>
      <c r="R229" s="933"/>
      <c r="S229" s="933"/>
      <c r="T229" s="933"/>
      <c r="U229" s="933"/>
      <c r="V229" s="933"/>
      <c r="W229" s="933"/>
      <c r="X229" s="933"/>
      <c r="Y229" s="933"/>
      <c r="Z229" s="933"/>
      <c r="AA229" s="933"/>
      <c r="AB229" s="933"/>
      <c r="AC229" s="933"/>
      <c r="AD229" s="933"/>
    </row>
    <row r="230" spans="1:30" ht="12.75">
      <c r="A230" s="933"/>
      <c r="B230" s="933"/>
      <c r="C230" s="933"/>
      <c r="D230" s="933"/>
      <c r="E230" s="933"/>
      <c r="F230" s="933"/>
      <c r="G230" s="933"/>
      <c r="H230" s="933"/>
      <c r="I230" s="933"/>
      <c r="J230" s="933"/>
      <c r="K230" s="935"/>
      <c r="L230" s="933"/>
      <c r="M230" s="933"/>
      <c r="N230" s="945"/>
      <c r="O230" s="933"/>
      <c r="P230" s="933"/>
      <c r="Q230" s="933"/>
      <c r="R230" s="933"/>
      <c r="S230" s="933"/>
      <c r="T230" s="933"/>
      <c r="U230" s="933"/>
      <c r="V230" s="933"/>
      <c r="W230" s="933"/>
      <c r="X230" s="933"/>
      <c r="Y230" s="933"/>
      <c r="Z230" s="933"/>
      <c r="AA230" s="933"/>
      <c r="AB230" s="933"/>
      <c r="AC230" s="933"/>
      <c r="AD230" s="933"/>
    </row>
    <row r="231" spans="1:30" ht="12.75">
      <c r="A231" s="933"/>
      <c r="B231" s="933"/>
      <c r="C231" s="933"/>
      <c r="D231" s="933"/>
      <c r="E231" s="933"/>
      <c r="F231" s="933"/>
      <c r="G231" s="933"/>
      <c r="H231" s="933"/>
      <c r="I231" s="933"/>
      <c r="J231" s="933"/>
      <c r="K231" s="935"/>
      <c r="L231" s="933"/>
      <c r="M231" s="933"/>
      <c r="N231" s="945"/>
      <c r="O231" s="933"/>
      <c r="P231" s="933"/>
      <c r="Q231" s="933"/>
      <c r="R231" s="933"/>
      <c r="S231" s="933"/>
      <c r="T231" s="933"/>
      <c r="U231" s="933"/>
      <c r="V231" s="933"/>
      <c r="W231" s="933"/>
      <c r="X231" s="933"/>
      <c r="Y231" s="933"/>
      <c r="Z231" s="933"/>
      <c r="AA231" s="933"/>
      <c r="AB231" s="933"/>
      <c r="AC231" s="933"/>
      <c r="AD231" s="933"/>
    </row>
    <row r="232" spans="1:30" ht="12.75">
      <c r="A232" s="933"/>
      <c r="B232" s="933"/>
      <c r="C232" s="933"/>
      <c r="D232" s="933"/>
      <c r="E232" s="933"/>
      <c r="F232" s="933"/>
      <c r="G232" s="933"/>
      <c r="H232" s="933"/>
      <c r="I232" s="933"/>
      <c r="J232" s="933"/>
      <c r="K232" s="935"/>
      <c r="L232" s="933"/>
      <c r="M232" s="933"/>
      <c r="N232" s="945"/>
      <c r="O232" s="933"/>
      <c r="P232" s="933"/>
      <c r="Q232" s="933"/>
      <c r="R232" s="933"/>
      <c r="S232" s="933"/>
      <c r="T232" s="933"/>
      <c r="U232" s="933"/>
      <c r="V232" s="933"/>
      <c r="W232" s="933"/>
      <c r="X232" s="933"/>
      <c r="Y232" s="933"/>
      <c r="Z232" s="933"/>
      <c r="AA232" s="933"/>
      <c r="AB232" s="933"/>
      <c r="AC232" s="933"/>
      <c r="AD232" s="933"/>
    </row>
    <row r="233" spans="1:30" ht="12.75">
      <c r="A233" s="933"/>
      <c r="B233" s="933"/>
      <c r="C233" s="933"/>
      <c r="D233" s="933"/>
      <c r="E233" s="933"/>
      <c r="F233" s="933"/>
      <c r="G233" s="933"/>
      <c r="H233" s="933"/>
      <c r="I233" s="933"/>
      <c r="J233" s="933"/>
      <c r="K233" s="935"/>
      <c r="L233" s="933"/>
      <c r="M233" s="933"/>
      <c r="N233" s="945"/>
      <c r="O233" s="933"/>
      <c r="P233" s="933"/>
      <c r="Q233" s="933"/>
      <c r="R233" s="933"/>
      <c r="S233" s="933"/>
      <c r="T233" s="933"/>
      <c r="U233" s="933"/>
      <c r="V233" s="933"/>
      <c r="W233" s="933"/>
      <c r="X233" s="933"/>
      <c r="Y233" s="933"/>
      <c r="Z233" s="933"/>
      <c r="AA233" s="933"/>
      <c r="AB233" s="933"/>
      <c r="AC233" s="933"/>
      <c r="AD233" s="933"/>
    </row>
    <row r="234" spans="1:30" ht="12.75">
      <c r="A234" s="933"/>
      <c r="B234" s="933"/>
      <c r="C234" s="933"/>
      <c r="D234" s="933"/>
      <c r="E234" s="933"/>
      <c r="F234" s="933"/>
      <c r="G234" s="933"/>
      <c r="H234" s="933"/>
      <c r="I234" s="933"/>
      <c r="J234" s="933"/>
      <c r="K234" s="935"/>
      <c r="L234" s="933"/>
      <c r="M234" s="933"/>
      <c r="N234" s="945"/>
      <c r="O234" s="933"/>
      <c r="P234" s="933"/>
      <c r="Q234" s="933"/>
      <c r="R234" s="933"/>
      <c r="S234" s="933"/>
      <c r="T234" s="933"/>
      <c r="U234" s="933"/>
      <c r="V234" s="933"/>
      <c r="W234" s="933"/>
      <c r="X234" s="933"/>
      <c r="Y234" s="933"/>
      <c r="Z234" s="933"/>
      <c r="AA234" s="933"/>
      <c r="AB234" s="933"/>
      <c r="AC234" s="933"/>
      <c r="AD234" s="933"/>
    </row>
    <row r="235" spans="1:30" ht="12.75">
      <c r="A235" s="933"/>
      <c r="B235" s="933"/>
      <c r="C235" s="933"/>
      <c r="D235" s="933"/>
      <c r="E235" s="933"/>
      <c r="F235" s="933"/>
      <c r="G235" s="933"/>
      <c r="H235" s="933"/>
      <c r="I235" s="933"/>
      <c r="J235" s="933"/>
      <c r="K235" s="935"/>
      <c r="L235" s="933"/>
      <c r="M235" s="933"/>
      <c r="N235" s="945"/>
      <c r="O235" s="933"/>
      <c r="P235" s="933"/>
      <c r="Q235" s="933"/>
      <c r="R235" s="933"/>
      <c r="S235" s="933"/>
      <c r="T235" s="933"/>
      <c r="U235" s="933"/>
      <c r="V235" s="933"/>
      <c r="W235" s="933"/>
      <c r="X235" s="933"/>
      <c r="Y235" s="933"/>
      <c r="Z235" s="933"/>
      <c r="AA235" s="933"/>
      <c r="AB235" s="933"/>
      <c r="AC235" s="933"/>
      <c r="AD235" s="933"/>
    </row>
    <row r="236" spans="1:30" ht="12.75">
      <c r="A236" s="933"/>
      <c r="B236" s="933"/>
      <c r="C236" s="933"/>
      <c r="D236" s="933"/>
      <c r="E236" s="933"/>
      <c r="F236" s="933"/>
      <c r="G236" s="933"/>
      <c r="H236" s="933"/>
      <c r="I236" s="933"/>
      <c r="J236" s="933"/>
      <c r="K236" s="935"/>
      <c r="L236" s="933"/>
      <c r="M236" s="933"/>
      <c r="N236" s="945"/>
      <c r="O236" s="933"/>
      <c r="P236" s="933"/>
      <c r="Q236" s="933"/>
      <c r="R236" s="933"/>
      <c r="S236" s="933"/>
      <c r="T236" s="933"/>
      <c r="U236" s="933"/>
      <c r="V236" s="933"/>
      <c r="W236" s="933"/>
      <c r="X236" s="933"/>
      <c r="Y236" s="933"/>
      <c r="Z236" s="933"/>
      <c r="AA236" s="933"/>
      <c r="AB236" s="933"/>
      <c r="AC236" s="933"/>
      <c r="AD236" s="933"/>
    </row>
    <row r="237" spans="1:30" ht="12.75">
      <c r="A237" s="933"/>
      <c r="B237" s="933"/>
      <c r="C237" s="933"/>
      <c r="D237" s="933"/>
      <c r="E237" s="933"/>
      <c r="F237" s="933"/>
      <c r="G237" s="933"/>
      <c r="H237" s="933"/>
      <c r="I237" s="933"/>
      <c r="J237" s="933"/>
      <c r="K237" s="935"/>
      <c r="L237" s="933"/>
      <c r="M237" s="933"/>
      <c r="N237" s="945"/>
      <c r="O237" s="933"/>
      <c r="P237" s="933"/>
      <c r="Q237" s="933"/>
      <c r="R237" s="933"/>
      <c r="S237" s="933"/>
      <c r="T237" s="933"/>
      <c r="U237" s="933"/>
      <c r="V237" s="933"/>
      <c r="W237" s="933"/>
      <c r="X237" s="933"/>
      <c r="Y237" s="933"/>
      <c r="Z237" s="933"/>
      <c r="AA237" s="933"/>
      <c r="AB237" s="933"/>
      <c r="AC237" s="933"/>
      <c r="AD237" s="933"/>
    </row>
    <row r="238" spans="1:30" ht="12.75">
      <c r="A238" s="933"/>
      <c r="B238" s="933"/>
      <c r="C238" s="933"/>
      <c r="D238" s="933"/>
      <c r="E238" s="933"/>
      <c r="F238" s="933"/>
      <c r="G238" s="933"/>
      <c r="H238" s="933"/>
      <c r="I238" s="933"/>
      <c r="J238" s="933"/>
      <c r="K238" s="935"/>
      <c r="L238" s="933"/>
      <c r="M238" s="933"/>
      <c r="N238" s="945"/>
      <c r="O238" s="933"/>
      <c r="P238" s="933"/>
      <c r="Q238" s="933"/>
      <c r="R238" s="933"/>
      <c r="S238" s="933"/>
      <c r="T238" s="933"/>
      <c r="U238" s="933"/>
      <c r="V238" s="933"/>
      <c r="W238" s="933"/>
      <c r="X238" s="933"/>
      <c r="Y238" s="933"/>
      <c r="Z238" s="933"/>
      <c r="AA238" s="933"/>
      <c r="AB238" s="933"/>
      <c r="AC238" s="933"/>
      <c r="AD238" s="933"/>
    </row>
    <row r="239" spans="1:30" ht="12.75">
      <c r="A239" s="933"/>
      <c r="B239" s="933"/>
      <c r="C239" s="933"/>
      <c r="D239" s="933"/>
      <c r="E239" s="933"/>
      <c r="F239" s="933"/>
      <c r="G239" s="933"/>
      <c r="H239" s="933"/>
      <c r="I239" s="933"/>
      <c r="J239" s="933"/>
      <c r="K239" s="935"/>
      <c r="L239" s="933"/>
      <c r="M239" s="933"/>
      <c r="N239" s="945"/>
      <c r="O239" s="933"/>
      <c r="P239" s="933"/>
      <c r="Q239" s="933"/>
      <c r="R239" s="933"/>
      <c r="S239" s="933"/>
      <c r="T239" s="933"/>
      <c r="U239" s="933"/>
      <c r="V239" s="933"/>
      <c r="W239" s="933"/>
      <c r="X239" s="933"/>
      <c r="Y239" s="933"/>
      <c r="Z239" s="933"/>
      <c r="AA239" s="933"/>
      <c r="AB239" s="933"/>
      <c r="AC239" s="933"/>
      <c r="AD239" s="933"/>
    </row>
    <row r="240" spans="1:30" ht="12.75">
      <c r="A240" s="933"/>
      <c r="B240" s="933"/>
      <c r="C240" s="933"/>
      <c r="D240" s="933"/>
      <c r="E240" s="933"/>
      <c r="F240" s="933"/>
      <c r="G240" s="933"/>
      <c r="H240" s="933"/>
      <c r="I240" s="933"/>
      <c r="J240" s="933"/>
      <c r="K240" s="935"/>
      <c r="L240" s="933"/>
      <c r="M240" s="933"/>
      <c r="N240" s="945"/>
      <c r="O240" s="933"/>
      <c r="P240" s="933"/>
      <c r="Q240" s="933"/>
      <c r="R240" s="933"/>
      <c r="S240" s="933"/>
      <c r="T240" s="933"/>
      <c r="U240" s="933"/>
      <c r="V240" s="933"/>
      <c r="W240" s="933"/>
      <c r="X240" s="933"/>
      <c r="Y240" s="933"/>
      <c r="Z240" s="933"/>
      <c r="AA240" s="933"/>
      <c r="AB240" s="933"/>
      <c r="AC240" s="933"/>
      <c r="AD240" s="933"/>
    </row>
    <row r="241" spans="1:30" ht="12.75">
      <c r="A241" s="933"/>
      <c r="B241" s="933"/>
      <c r="C241" s="933"/>
      <c r="D241" s="933"/>
      <c r="E241" s="933"/>
      <c r="F241" s="933"/>
      <c r="G241" s="933"/>
      <c r="H241" s="933"/>
      <c r="I241" s="933"/>
      <c r="J241" s="933"/>
      <c r="K241" s="935"/>
      <c r="L241" s="933"/>
      <c r="M241" s="933"/>
      <c r="N241" s="945"/>
      <c r="O241" s="933"/>
      <c r="P241" s="933"/>
      <c r="Q241" s="933"/>
      <c r="R241" s="933"/>
      <c r="S241" s="933"/>
      <c r="T241" s="933"/>
      <c r="U241" s="933"/>
      <c r="V241" s="933"/>
      <c r="W241" s="933"/>
      <c r="X241" s="933"/>
      <c r="Y241" s="933"/>
      <c r="Z241" s="933"/>
      <c r="AA241" s="933"/>
      <c r="AB241" s="933"/>
      <c r="AC241" s="933"/>
      <c r="AD241" s="933"/>
    </row>
    <row r="242" spans="1:30" ht="12.75">
      <c r="A242" s="933"/>
      <c r="B242" s="933"/>
      <c r="C242" s="933"/>
      <c r="D242" s="933"/>
      <c r="E242" s="933"/>
      <c r="F242" s="933"/>
      <c r="G242" s="933"/>
      <c r="H242" s="933"/>
      <c r="I242" s="933"/>
      <c r="J242" s="933"/>
      <c r="K242" s="935"/>
      <c r="L242" s="933"/>
      <c r="M242" s="933"/>
      <c r="N242" s="945"/>
      <c r="O242" s="933"/>
      <c r="P242" s="933"/>
      <c r="Q242" s="933"/>
      <c r="R242" s="933"/>
      <c r="S242" s="933"/>
      <c r="T242" s="933"/>
      <c r="U242" s="933"/>
      <c r="V242" s="933"/>
      <c r="W242" s="933"/>
      <c r="X242" s="933"/>
      <c r="Y242" s="933"/>
      <c r="Z242" s="933"/>
      <c r="AA242" s="933"/>
      <c r="AB242" s="933"/>
      <c r="AC242" s="933"/>
      <c r="AD242" s="933"/>
    </row>
    <row r="243" spans="1:30" ht="12.75">
      <c r="A243" s="933"/>
      <c r="B243" s="933"/>
      <c r="C243" s="933"/>
      <c r="D243" s="933"/>
      <c r="E243" s="933"/>
      <c r="F243" s="933"/>
      <c r="G243" s="933"/>
      <c r="H243" s="933"/>
      <c r="I243" s="933"/>
      <c r="J243" s="933"/>
      <c r="K243" s="935"/>
      <c r="L243" s="933"/>
      <c r="M243" s="933"/>
      <c r="N243" s="945"/>
      <c r="O243" s="933"/>
      <c r="P243" s="933"/>
      <c r="Q243" s="933"/>
      <c r="R243" s="933"/>
      <c r="S243" s="933"/>
      <c r="T243" s="933"/>
      <c r="U243" s="933"/>
      <c r="V243" s="933"/>
      <c r="W243" s="933"/>
      <c r="X243" s="933"/>
      <c r="Y243" s="933"/>
      <c r="Z243" s="933"/>
      <c r="AA243" s="933"/>
      <c r="AB243" s="933"/>
      <c r="AC243" s="933"/>
      <c r="AD243" s="933"/>
    </row>
    <row r="244" spans="1:30" ht="12.75">
      <c r="A244" s="933"/>
      <c r="B244" s="933"/>
      <c r="C244" s="933"/>
      <c r="D244" s="933"/>
      <c r="E244" s="933"/>
      <c r="F244" s="933"/>
      <c r="G244" s="933"/>
      <c r="H244" s="933"/>
      <c r="I244" s="933"/>
      <c r="J244" s="933"/>
      <c r="K244" s="935"/>
      <c r="L244" s="933"/>
      <c r="M244" s="933"/>
      <c r="N244" s="945"/>
      <c r="O244" s="933"/>
      <c r="P244" s="933"/>
      <c r="Q244" s="933"/>
      <c r="R244" s="933"/>
      <c r="S244" s="933"/>
      <c r="T244" s="933"/>
      <c r="U244" s="933"/>
      <c r="V244" s="933"/>
      <c r="W244" s="933"/>
      <c r="X244" s="933"/>
      <c r="Y244" s="933"/>
      <c r="Z244" s="933"/>
      <c r="AA244" s="933"/>
      <c r="AB244" s="933"/>
      <c r="AC244" s="933"/>
      <c r="AD244" s="933"/>
    </row>
    <row r="245" spans="1:30" ht="12.75">
      <c r="A245" s="933"/>
      <c r="B245" s="933"/>
      <c r="C245" s="933"/>
      <c r="D245" s="933"/>
      <c r="E245" s="933"/>
      <c r="F245" s="933"/>
      <c r="G245" s="933"/>
      <c r="H245" s="933"/>
      <c r="I245" s="933"/>
      <c r="J245" s="933"/>
      <c r="K245" s="935"/>
      <c r="L245" s="933"/>
      <c r="M245" s="933"/>
      <c r="N245" s="945"/>
      <c r="O245" s="933"/>
      <c r="P245" s="933"/>
      <c r="Q245" s="933"/>
      <c r="R245" s="933"/>
      <c r="S245" s="933"/>
      <c r="T245" s="933"/>
      <c r="U245" s="933"/>
      <c r="V245" s="933"/>
      <c r="W245" s="933"/>
      <c r="X245" s="933"/>
      <c r="Y245" s="933"/>
      <c r="Z245" s="933"/>
      <c r="AA245" s="933"/>
      <c r="AB245" s="933"/>
      <c r="AC245" s="933"/>
      <c r="AD245" s="933"/>
    </row>
    <row r="246" spans="1:30" ht="12.75">
      <c r="A246" s="933"/>
      <c r="B246" s="933"/>
      <c r="C246" s="933"/>
      <c r="D246" s="933"/>
      <c r="E246" s="933"/>
      <c r="F246" s="933"/>
      <c r="G246" s="933"/>
      <c r="H246" s="933"/>
      <c r="I246" s="933"/>
      <c r="J246" s="933"/>
      <c r="K246" s="935"/>
      <c r="L246" s="933"/>
      <c r="M246" s="933"/>
      <c r="N246" s="945"/>
      <c r="O246" s="933"/>
      <c r="P246" s="933"/>
      <c r="Q246" s="933"/>
      <c r="R246" s="933"/>
      <c r="S246" s="933"/>
      <c r="T246" s="933"/>
      <c r="U246" s="933"/>
      <c r="V246" s="933"/>
      <c r="W246" s="933"/>
      <c r="X246" s="933"/>
      <c r="Y246" s="933"/>
      <c r="Z246" s="933"/>
      <c r="AA246" s="933"/>
      <c r="AB246" s="933"/>
      <c r="AC246" s="933"/>
      <c r="AD246" s="933"/>
    </row>
    <row r="247" spans="1:30" ht="12.75">
      <c r="A247" s="933"/>
      <c r="B247" s="933"/>
      <c r="C247" s="933"/>
      <c r="D247" s="933"/>
      <c r="E247" s="933"/>
      <c r="F247" s="933"/>
      <c r="G247" s="933"/>
      <c r="H247" s="933"/>
      <c r="I247" s="933"/>
      <c r="J247" s="933"/>
      <c r="K247" s="935"/>
      <c r="L247" s="933"/>
      <c r="M247" s="933"/>
      <c r="N247" s="945"/>
      <c r="O247" s="933"/>
      <c r="P247" s="933"/>
      <c r="Q247" s="933"/>
      <c r="R247" s="933"/>
      <c r="S247" s="933"/>
      <c r="T247" s="933"/>
      <c r="U247" s="933"/>
      <c r="V247" s="933"/>
      <c r="W247" s="933"/>
      <c r="X247" s="933"/>
      <c r="Y247" s="933"/>
      <c r="Z247" s="933"/>
      <c r="AA247" s="933"/>
      <c r="AB247" s="933"/>
      <c r="AC247" s="933"/>
      <c r="AD247" s="933"/>
    </row>
    <row r="248" spans="1:30" ht="12.75">
      <c r="A248" s="933"/>
      <c r="B248" s="933"/>
      <c r="C248" s="933"/>
      <c r="D248" s="933"/>
      <c r="E248" s="933"/>
      <c r="F248" s="933"/>
      <c r="G248" s="933"/>
      <c r="H248" s="933"/>
      <c r="I248" s="933"/>
      <c r="J248" s="933"/>
      <c r="K248" s="935"/>
      <c r="L248" s="933"/>
      <c r="M248" s="933"/>
      <c r="N248" s="945"/>
      <c r="O248" s="933"/>
      <c r="P248" s="933"/>
      <c r="Q248" s="933"/>
      <c r="R248" s="933"/>
      <c r="S248" s="933"/>
      <c r="T248" s="933"/>
      <c r="U248" s="933"/>
      <c r="V248" s="933"/>
      <c r="W248" s="933"/>
      <c r="X248" s="933"/>
      <c r="Y248" s="933"/>
      <c r="Z248" s="933"/>
      <c r="AA248" s="933"/>
      <c r="AB248" s="933"/>
      <c r="AC248" s="933"/>
      <c r="AD248" s="933"/>
    </row>
    <row r="249" spans="1:30" ht="12.75">
      <c r="A249" s="933"/>
      <c r="B249" s="933"/>
      <c r="C249" s="933"/>
      <c r="D249" s="933"/>
      <c r="E249" s="933"/>
      <c r="F249" s="933"/>
      <c r="G249" s="933"/>
      <c r="H249" s="933"/>
      <c r="I249" s="933"/>
      <c r="J249" s="933"/>
      <c r="K249" s="935"/>
      <c r="L249" s="933"/>
      <c r="M249" s="933"/>
      <c r="N249" s="945"/>
      <c r="O249" s="933"/>
      <c r="P249" s="933"/>
      <c r="Q249" s="933"/>
      <c r="R249" s="933"/>
      <c r="S249" s="933"/>
      <c r="T249" s="933"/>
      <c r="U249" s="933"/>
      <c r="V249" s="933"/>
      <c r="W249" s="933"/>
      <c r="X249" s="933"/>
      <c r="Y249" s="933"/>
      <c r="Z249" s="933"/>
      <c r="AA249" s="933"/>
      <c r="AB249" s="933"/>
      <c r="AC249" s="933"/>
      <c r="AD249" s="933"/>
    </row>
    <row r="250" spans="1:30" ht="12.75">
      <c r="A250" s="933"/>
      <c r="B250" s="933"/>
      <c r="C250" s="933"/>
      <c r="D250" s="933"/>
      <c r="E250" s="933"/>
      <c r="F250" s="933"/>
      <c r="G250" s="933"/>
      <c r="H250" s="933"/>
      <c r="I250" s="933"/>
      <c r="J250" s="933"/>
      <c r="K250" s="935"/>
      <c r="L250" s="933"/>
      <c r="M250" s="933"/>
      <c r="N250" s="945"/>
      <c r="O250" s="933"/>
      <c r="P250" s="933"/>
      <c r="Q250" s="933"/>
      <c r="R250" s="933"/>
      <c r="S250" s="933"/>
      <c r="T250" s="933"/>
      <c r="U250" s="933"/>
      <c r="V250" s="933"/>
      <c r="W250" s="933"/>
      <c r="X250" s="933"/>
      <c r="Y250" s="933"/>
      <c r="Z250" s="933"/>
      <c r="AA250" s="933"/>
      <c r="AB250" s="933"/>
      <c r="AC250" s="933"/>
      <c r="AD250" s="933"/>
    </row>
    <row r="251" spans="1:30" ht="12.75">
      <c r="A251" s="933"/>
      <c r="B251" s="933"/>
      <c r="C251" s="933"/>
      <c r="D251" s="933"/>
      <c r="E251" s="933"/>
      <c r="F251" s="933"/>
      <c r="G251" s="933"/>
      <c r="H251" s="933"/>
      <c r="I251" s="933"/>
      <c r="J251" s="933"/>
      <c r="K251" s="935"/>
      <c r="L251" s="933"/>
      <c r="M251" s="933"/>
      <c r="N251" s="945"/>
      <c r="O251" s="933"/>
      <c r="P251" s="933"/>
      <c r="Q251" s="933"/>
      <c r="R251" s="933"/>
      <c r="S251" s="933"/>
      <c r="T251" s="933"/>
      <c r="U251" s="933"/>
      <c r="V251" s="933"/>
      <c r="W251" s="933"/>
      <c r="X251" s="933"/>
      <c r="Y251" s="933"/>
      <c r="Z251" s="933"/>
      <c r="AA251" s="933"/>
      <c r="AB251" s="933"/>
      <c r="AC251" s="933"/>
      <c r="AD251" s="933"/>
    </row>
    <row r="252" spans="1:30" ht="12.75">
      <c r="A252" s="933"/>
      <c r="B252" s="933"/>
      <c r="C252" s="933"/>
      <c r="D252" s="933"/>
      <c r="E252" s="933"/>
      <c r="F252" s="933"/>
      <c r="G252" s="933"/>
      <c r="H252" s="933"/>
      <c r="I252" s="933"/>
      <c r="J252" s="933"/>
      <c r="K252" s="935"/>
      <c r="L252" s="933"/>
      <c r="M252" s="933"/>
      <c r="N252" s="945"/>
      <c r="O252" s="933"/>
      <c r="P252" s="933"/>
      <c r="Q252" s="933"/>
      <c r="R252" s="933"/>
      <c r="S252" s="933"/>
      <c r="T252" s="933"/>
      <c r="U252" s="933"/>
      <c r="V252" s="933"/>
      <c r="W252" s="933"/>
      <c r="X252" s="933"/>
      <c r="Y252" s="933"/>
      <c r="Z252" s="933"/>
      <c r="AA252" s="933"/>
      <c r="AB252" s="933"/>
      <c r="AC252" s="933"/>
      <c r="AD252" s="933"/>
    </row>
    <row r="253" spans="1:30" ht="12.75">
      <c r="A253" s="933"/>
      <c r="B253" s="933"/>
      <c r="C253" s="933"/>
      <c r="D253" s="933"/>
      <c r="E253" s="933"/>
      <c r="F253" s="933"/>
      <c r="G253" s="933"/>
      <c r="H253" s="933"/>
      <c r="I253" s="933"/>
      <c r="J253" s="933"/>
      <c r="K253" s="935"/>
      <c r="L253" s="933"/>
      <c r="M253" s="933"/>
      <c r="N253" s="945"/>
      <c r="O253" s="933"/>
      <c r="P253" s="933"/>
      <c r="Q253" s="933"/>
      <c r="R253" s="933"/>
      <c r="S253" s="933"/>
      <c r="T253" s="933"/>
      <c r="U253" s="933"/>
      <c r="V253" s="933"/>
      <c r="W253" s="933"/>
      <c r="X253" s="933"/>
      <c r="Y253" s="933"/>
      <c r="Z253" s="933"/>
      <c r="AA253" s="933"/>
      <c r="AB253" s="933"/>
      <c r="AC253" s="933"/>
      <c r="AD253" s="933"/>
    </row>
    <row r="254" spans="1:30" ht="12.75">
      <c r="A254" s="933"/>
      <c r="B254" s="933"/>
      <c r="C254" s="933"/>
      <c r="D254" s="933"/>
      <c r="E254" s="933"/>
      <c r="F254" s="933"/>
      <c r="G254" s="933"/>
      <c r="H254" s="933"/>
      <c r="I254" s="933"/>
      <c r="J254" s="933"/>
      <c r="K254" s="935"/>
      <c r="L254" s="933"/>
      <c r="M254" s="933"/>
      <c r="N254" s="945"/>
      <c r="O254" s="933"/>
      <c r="P254" s="933"/>
      <c r="Q254" s="933"/>
      <c r="R254" s="933"/>
      <c r="S254" s="933"/>
      <c r="T254" s="933"/>
      <c r="U254" s="933"/>
      <c r="V254" s="933"/>
      <c r="W254" s="933"/>
      <c r="X254" s="933"/>
      <c r="Y254" s="933"/>
      <c r="Z254" s="933"/>
      <c r="AA254" s="933"/>
      <c r="AB254" s="933"/>
      <c r="AC254" s="933"/>
      <c r="AD254" s="933"/>
    </row>
    <row r="255" spans="1:30" ht="12.75">
      <c r="A255" s="933"/>
      <c r="B255" s="933"/>
      <c r="C255" s="933"/>
      <c r="D255" s="933"/>
      <c r="E255" s="933"/>
      <c r="F255" s="933"/>
      <c r="G255" s="933"/>
      <c r="H255" s="933"/>
      <c r="I255" s="933"/>
      <c r="J255" s="933"/>
      <c r="K255" s="935"/>
      <c r="L255" s="933"/>
      <c r="M255" s="933"/>
      <c r="N255" s="945"/>
      <c r="O255" s="933"/>
      <c r="P255" s="933"/>
      <c r="Q255" s="933"/>
      <c r="R255" s="933"/>
      <c r="S255" s="933"/>
      <c r="T255" s="933"/>
      <c r="U255" s="933"/>
      <c r="V255" s="933"/>
      <c r="W255" s="933"/>
      <c r="X255" s="933"/>
      <c r="Y255" s="933"/>
      <c r="Z255" s="933"/>
      <c r="AA255" s="933"/>
      <c r="AB255" s="933"/>
      <c r="AC255" s="933"/>
      <c r="AD255" s="933"/>
    </row>
    <row r="256" spans="1:30" ht="12.75">
      <c r="A256" s="933"/>
      <c r="B256" s="933"/>
      <c r="C256" s="933"/>
      <c r="D256" s="933"/>
      <c r="E256" s="933"/>
      <c r="F256" s="933"/>
      <c r="G256" s="933"/>
      <c r="H256" s="933"/>
      <c r="I256" s="933"/>
      <c r="J256" s="933"/>
      <c r="K256" s="935"/>
      <c r="L256" s="933"/>
      <c r="M256" s="933"/>
      <c r="N256" s="945"/>
      <c r="O256" s="933"/>
      <c r="P256" s="933"/>
      <c r="Q256" s="933"/>
      <c r="R256" s="933"/>
      <c r="S256" s="933"/>
      <c r="T256" s="933"/>
      <c r="U256" s="933"/>
      <c r="V256" s="933"/>
      <c r="W256" s="933"/>
      <c r="X256" s="933"/>
      <c r="Y256" s="933"/>
      <c r="Z256" s="933"/>
      <c r="AA256" s="933"/>
      <c r="AB256" s="933"/>
      <c r="AC256" s="933"/>
      <c r="AD256" s="933"/>
    </row>
    <row r="257" spans="1:30" ht="12.75">
      <c r="A257" s="933"/>
      <c r="B257" s="933"/>
      <c r="C257" s="933"/>
      <c r="D257" s="933"/>
      <c r="E257" s="933"/>
      <c r="F257" s="933"/>
      <c r="G257" s="933"/>
      <c r="H257" s="933"/>
      <c r="I257" s="933"/>
      <c r="J257" s="933"/>
      <c r="K257" s="935"/>
      <c r="L257" s="933"/>
      <c r="M257" s="933"/>
      <c r="N257" s="945"/>
      <c r="O257" s="933"/>
      <c r="P257" s="933"/>
      <c r="Q257" s="933"/>
      <c r="R257" s="933"/>
      <c r="S257" s="933"/>
      <c r="T257" s="933"/>
      <c r="U257" s="933"/>
      <c r="V257" s="933"/>
      <c r="W257" s="933"/>
      <c r="X257" s="933"/>
      <c r="Y257" s="933"/>
      <c r="Z257" s="933"/>
      <c r="AA257" s="933"/>
      <c r="AB257" s="933"/>
      <c r="AC257" s="933"/>
      <c r="AD257" s="933"/>
    </row>
    <row r="258" spans="1:30" ht="12.75">
      <c r="A258" s="933"/>
      <c r="B258" s="933"/>
      <c r="C258" s="933"/>
      <c r="D258" s="933"/>
      <c r="E258" s="933"/>
      <c r="F258" s="933"/>
      <c r="G258" s="933"/>
      <c r="H258" s="933"/>
      <c r="I258" s="933"/>
      <c r="J258" s="933"/>
      <c r="K258" s="935"/>
      <c r="L258" s="933"/>
      <c r="M258" s="933"/>
      <c r="N258" s="945"/>
      <c r="O258" s="933"/>
      <c r="P258" s="933"/>
      <c r="Q258" s="933"/>
      <c r="R258" s="933"/>
      <c r="S258" s="933"/>
      <c r="T258" s="933"/>
      <c r="U258" s="933"/>
      <c r="V258" s="933"/>
      <c r="W258" s="933"/>
      <c r="X258" s="933"/>
      <c r="Y258" s="933"/>
      <c r="Z258" s="933"/>
      <c r="AA258" s="933"/>
      <c r="AB258" s="933"/>
      <c r="AC258" s="933"/>
      <c r="AD258" s="933"/>
    </row>
    <row r="259" spans="1:30" ht="12.75">
      <c r="A259" s="933"/>
      <c r="B259" s="933"/>
      <c r="C259" s="933"/>
      <c r="D259" s="933"/>
      <c r="E259" s="933"/>
      <c r="F259" s="933"/>
      <c r="G259" s="933"/>
      <c r="H259" s="933"/>
      <c r="I259" s="933"/>
      <c r="J259" s="933"/>
      <c r="K259" s="935"/>
      <c r="L259" s="933"/>
      <c r="M259" s="933"/>
      <c r="N259" s="945"/>
      <c r="O259" s="933"/>
      <c r="P259" s="933"/>
      <c r="Q259" s="933"/>
      <c r="R259" s="933"/>
      <c r="S259" s="933"/>
      <c r="T259" s="933"/>
      <c r="U259" s="933"/>
      <c r="V259" s="933"/>
      <c r="W259" s="933"/>
      <c r="X259" s="933"/>
      <c r="Y259" s="933"/>
      <c r="Z259" s="933"/>
      <c r="AA259" s="933"/>
      <c r="AB259" s="933"/>
      <c r="AC259" s="933"/>
      <c r="AD259" s="933"/>
    </row>
    <row r="260" spans="1:30" ht="12.75">
      <c r="A260" s="933"/>
      <c r="B260" s="933"/>
      <c r="C260" s="933"/>
      <c r="D260" s="933"/>
      <c r="E260" s="933"/>
      <c r="F260" s="933"/>
      <c r="G260" s="933"/>
      <c r="H260" s="933"/>
      <c r="I260" s="933"/>
      <c r="J260" s="933"/>
      <c r="K260" s="935"/>
      <c r="L260" s="933"/>
      <c r="M260" s="933"/>
      <c r="N260" s="945"/>
      <c r="O260" s="933"/>
      <c r="P260" s="933"/>
      <c r="Q260" s="933"/>
      <c r="R260" s="933"/>
      <c r="S260" s="933"/>
      <c r="T260" s="933"/>
      <c r="U260" s="933"/>
      <c r="V260" s="933"/>
      <c r="W260" s="933"/>
      <c r="X260" s="933"/>
      <c r="Y260" s="933"/>
      <c r="Z260" s="933"/>
      <c r="AA260" s="933"/>
      <c r="AB260" s="933"/>
      <c r="AC260" s="933"/>
      <c r="AD260" s="933"/>
    </row>
    <row r="261" spans="1:30" ht="12.75">
      <c r="A261" s="933"/>
      <c r="B261" s="933"/>
      <c r="C261" s="933"/>
      <c r="D261" s="933"/>
      <c r="E261" s="933"/>
      <c r="F261" s="933"/>
      <c r="G261" s="933"/>
      <c r="H261" s="933"/>
      <c r="I261" s="933"/>
      <c r="J261" s="933"/>
      <c r="K261" s="935"/>
      <c r="L261" s="933"/>
      <c r="M261" s="933"/>
      <c r="N261" s="945"/>
      <c r="O261" s="933"/>
      <c r="P261" s="933"/>
      <c r="Q261" s="933"/>
      <c r="R261" s="933"/>
      <c r="S261" s="933"/>
      <c r="T261" s="933"/>
      <c r="U261" s="933"/>
      <c r="V261" s="933"/>
      <c r="W261" s="933"/>
      <c r="X261" s="933"/>
      <c r="Y261" s="933"/>
      <c r="Z261" s="933"/>
      <c r="AA261" s="933"/>
      <c r="AB261" s="933"/>
      <c r="AC261" s="933"/>
      <c r="AD261" s="933"/>
    </row>
    <row r="262" spans="1:30" ht="12.75">
      <c r="A262" s="933"/>
      <c r="B262" s="933"/>
      <c r="C262" s="933"/>
      <c r="D262" s="933"/>
      <c r="E262" s="933"/>
      <c r="F262" s="933"/>
      <c r="G262" s="933"/>
      <c r="H262" s="933"/>
      <c r="I262" s="933"/>
      <c r="J262" s="933"/>
      <c r="K262" s="935"/>
      <c r="L262" s="933"/>
      <c r="M262" s="933"/>
      <c r="N262" s="945"/>
      <c r="O262" s="933"/>
      <c r="P262" s="933"/>
      <c r="Q262" s="933"/>
      <c r="R262" s="933"/>
      <c r="S262" s="933"/>
      <c r="T262" s="933"/>
      <c r="U262" s="933"/>
      <c r="V262" s="933"/>
      <c r="W262" s="933"/>
      <c r="X262" s="933"/>
      <c r="Y262" s="933"/>
      <c r="Z262" s="933"/>
      <c r="AA262" s="933"/>
      <c r="AB262" s="933"/>
      <c r="AC262" s="933"/>
      <c r="AD262" s="933"/>
    </row>
    <row r="263" spans="1:30" ht="12.75">
      <c r="A263" s="933"/>
      <c r="B263" s="933"/>
      <c r="C263" s="933"/>
      <c r="D263" s="933"/>
      <c r="E263" s="933"/>
      <c r="F263" s="933"/>
      <c r="G263" s="933"/>
      <c r="H263" s="933"/>
      <c r="I263" s="933"/>
      <c r="J263" s="933"/>
      <c r="K263" s="935"/>
      <c r="L263" s="933"/>
      <c r="M263" s="933"/>
      <c r="N263" s="945"/>
      <c r="O263" s="933"/>
      <c r="P263" s="933"/>
      <c r="Q263" s="933"/>
      <c r="R263" s="933"/>
      <c r="S263" s="933"/>
      <c r="T263" s="933"/>
      <c r="U263" s="933"/>
      <c r="V263" s="933"/>
      <c r="W263" s="933"/>
      <c r="X263" s="933"/>
      <c r="Y263" s="933"/>
      <c r="Z263" s="933"/>
      <c r="AA263" s="933"/>
      <c r="AB263" s="933"/>
      <c r="AC263" s="933"/>
      <c r="AD263" s="933"/>
    </row>
    <row r="264" spans="1:30" ht="12.75">
      <c r="A264" s="933"/>
      <c r="B264" s="933"/>
      <c r="C264" s="933"/>
      <c r="D264" s="933"/>
      <c r="E264" s="933"/>
      <c r="F264" s="933"/>
      <c r="G264" s="933"/>
      <c r="H264" s="933"/>
      <c r="I264" s="933"/>
      <c r="J264" s="933"/>
      <c r="K264" s="935"/>
      <c r="L264" s="933"/>
      <c r="M264" s="933"/>
      <c r="N264" s="945"/>
      <c r="O264" s="933"/>
      <c r="P264" s="933"/>
      <c r="Q264" s="933"/>
      <c r="R264" s="933"/>
      <c r="S264" s="933"/>
      <c r="T264" s="933"/>
      <c r="U264" s="933"/>
      <c r="V264" s="933"/>
      <c r="W264" s="933"/>
      <c r="X264" s="933"/>
      <c r="Y264" s="933"/>
      <c r="Z264" s="933"/>
      <c r="AA264" s="933"/>
      <c r="AB264" s="933"/>
      <c r="AC264" s="933"/>
      <c r="AD264" s="933"/>
    </row>
    <row r="265" spans="1:30" ht="12.75">
      <c r="A265" s="933"/>
      <c r="B265" s="933"/>
      <c r="C265" s="933"/>
      <c r="D265" s="933"/>
      <c r="E265" s="933"/>
      <c r="F265" s="933"/>
      <c r="G265" s="933"/>
      <c r="H265" s="933"/>
      <c r="I265" s="933"/>
      <c r="J265" s="933"/>
      <c r="K265" s="935"/>
      <c r="L265" s="933"/>
      <c r="M265" s="933"/>
      <c r="N265" s="945"/>
      <c r="O265" s="933"/>
      <c r="P265" s="933"/>
      <c r="Q265" s="933"/>
      <c r="R265" s="933"/>
      <c r="S265" s="933"/>
      <c r="T265" s="933"/>
      <c r="U265" s="933"/>
      <c r="V265" s="933"/>
      <c r="W265" s="933"/>
      <c r="X265" s="933"/>
      <c r="Y265" s="933"/>
      <c r="Z265" s="933"/>
      <c r="AA265" s="933"/>
      <c r="AB265" s="933"/>
      <c r="AC265" s="933"/>
      <c r="AD265" s="933"/>
    </row>
    <row r="266" spans="1:30" ht="12.75">
      <c r="A266" s="933"/>
      <c r="B266" s="933"/>
      <c r="C266" s="933"/>
      <c r="D266" s="933"/>
      <c r="E266" s="933"/>
      <c r="F266" s="933"/>
      <c r="G266" s="933"/>
      <c r="H266" s="933"/>
      <c r="I266" s="933"/>
      <c r="J266" s="933"/>
      <c r="K266" s="935"/>
      <c r="L266" s="933"/>
      <c r="M266" s="933"/>
      <c r="N266" s="945"/>
      <c r="O266" s="933"/>
      <c r="P266" s="933"/>
      <c r="Q266" s="933"/>
      <c r="R266" s="933"/>
      <c r="S266" s="933"/>
      <c r="T266" s="933"/>
      <c r="U266" s="933"/>
      <c r="V266" s="933"/>
      <c r="W266" s="933"/>
      <c r="X266" s="933"/>
      <c r="Y266" s="933"/>
      <c r="Z266" s="933"/>
      <c r="AA266" s="933"/>
      <c r="AB266" s="933"/>
      <c r="AC266" s="933"/>
      <c r="AD266" s="933"/>
    </row>
    <row r="267" spans="1:30" ht="12.75">
      <c r="A267" s="933"/>
      <c r="B267" s="933"/>
      <c r="C267" s="933"/>
      <c r="D267" s="933"/>
      <c r="E267" s="933"/>
      <c r="F267" s="933"/>
      <c r="G267" s="933"/>
      <c r="H267" s="933"/>
      <c r="I267" s="933"/>
      <c r="J267" s="933"/>
      <c r="K267" s="935"/>
      <c r="L267" s="933"/>
      <c r="M267" s="933"/>
      <c r="N267" s="945"/>
      <c r="O267" s="933"/>
      <c r="P267" s="933"/>
      <c r="Q267" s="933"/>
      <c r="R267" s="933"/>
      <c r="S267" s="933"/>
      <c r="T267" s="933"/>
      <c r="U267" s="933"/>
      <c r="V267" s="933"/>
      <c r="W267" s="933"/>
      <c r="X267" s="933"/>
      <c r="Y267" s="933"/>
      <c r="Z267" s="933"/>
      <c r="AA267" s="933"/>
      <c r="AB267" s="933"/>
      <c r="AC267" s="933"/>
      <c r="AD267" s="933"/>
    </row>
    <row r="268" spans="1:30" ht="12.75">
      <c r="A268" s="933"/>
      <c r="B268" s="933"/>
      <c r="C268" s="933"/>
      <c r="D268" s="933"/>
      <c r="E268" s="933"/>
      <c r="F268" s="933"/>
      <c r="G268" s="933"/>
      <c r="H268" s="933"/>
      <c r="I268" s="933"/>
      <c r="J268" s="933"/>
      <c r="K268" s="935"/>
      <c r="L268" s="933"/>
      <c r="M268" s="933"/>
      <c r="N268" s="945"/>
      <c r="O268" s="933"/>
      <c r="P268" s="933"/>
      <c r="Q268" s="933"/>
      <c r="R268" s="933"/>
      <c r="S268" s="933"/>
      <c r="T268" s="933"/>
      <c r="U268" s="933"/>
      <c r="V268" s="933"/>
      <c r="W268" s="933"/>
      <c r="X268" s="933"/>
      <c r="Y268" s="933"/>
      <c r="Z268" s="933"/>
      <c r="AA268" s="933"/>
      <c r="AB268" s="933"/>
      <c r="AC268" s="933"/>
      <c r="AD268" s="933"/>
    </row>
    <row r="269" spans="1:30" ht="12.75">
      <c r="A269" s="933"/>
      <c r="B269" s="933"/>
      <c r="C269" s="933"/>
      <c r="D269" s="933"/>
      <c r="E269" s="933"/>
      <c r="F269" s="933"/>
      <c r="G269" s="933"/>
      <c r="H269" s="933"/>
      <c r="I269" s="933"/>
      <c r="J269" s="933"/>
      <c r="K269" s="935"/>
      <c r="L269" s="933"/>
      <c r="M269" s="933"/>
      <c r="N269" s="945"/>
      <c r="O269" s="933"/>
      <c r="P269" s="933"/>
      <c r="Q269" s="933"/>
      <c r="R269" s="933"/>
      <c r="S269" s="933"/>
      <c r="T269" s="933"/>
      <c r="U269" s="933"/>
      <c r="V269" s="933"/>
      <c r="W269" s="933"/>
      <c r="X269" s="933"/>
      <c r="Y269" s="933"/>
      <c r="Z269" s="933"/>
      <c r="AA269" s="933"/>
      <c r="AB269" s="933"/>
      <c r="AC269" s="933"/>
      <c r="AD269" s="933"/>
    </row>
    <row r="270" spans="1:30" ht="12.75">
      <c r="A270" s="933"/>
      <c r="B270" s="933"/>
      <c r="C270" s="933"/>
      <c r="D270" s="933"/>
      <c r="E270" s="933"/>
      <c r="F270" s="933"/>
      <c r="G270" s="933"/>
      <c r="H270" s="933"/>
      <c r="I270" s="933"/>
      <c r="J270" s="933"/>
      <c r="K270" s="935"/>
      <c r="L270" s="933"/>
      <c r="M270" s="933"/>
      <c r="N270" s="945"/>
      <c r="O270" s="933"/>
      <c r="P270" s="933"/>
      <c r="Q270" s="933"/>
      <c r="R270" s="933"/>
      <c r="S270" s="933"/>
      <c r="T270" s="933"/>
      <c r="U270" s="933"/>
      <c r="V270" s="933"/>
      <c r="W270" s="933"/>
      <c r="X270" s="933"/>
      <c r="Y270" s="933"/>
      <c r="Z270" s="933"/>
      <c r="AA270" s="933"/>
      <c r="AB270" s="933"/>
      <c r="AC270" s="933"/>
      <c r="AD270" s="933"/>
    </row>
    <row r="271" spans="1:30" ht="12.75">
      <c r="A271" s="933"/>
      <c r="B271" s="933"/>
      <c r="C271" s="933"/>
      <c r="D271" s="933"/>
      <c r="E271" s="933"/>
      <c r="F271" s="933"/>
      <c r="G271" s="933"/>
      <c r="H271" s="933"/>
      <c r="I271" s="933"/>
      <c r="J271" s="933"/>
      <c r="K271" s="935"/>
      <c r="L271" s="933"/>
      <c r="M271" s="933"/>
      <c r="N271" s="945"/>
      <c r="O271" s="933"/>
      <c r="P271" s="933"/>
      <c r="Q271" s="933"/>
      <c r="R271" s="933"/>
      <c r="S271" s="933"/>
      <c r="T271" s="933"/>
      <c r="U271" s="933"/>
      <c r="V271" s="933"/>
      <c r="W271" s="933"/>
      <c r="X271" s="933"/>
      <c r="Y271" s="933"/>
      <c r="Z271" s="933"/>
      <c r="AA271" s="933"/>
      <c r="AB271" s="933"/>
      <c r="AC271" s="933"/>
      <c r="AD271" s="933"/>
    </row>
    <row r="272" spans="1:30" ht="12.75">
      <c r="A272" s="933"/>
      <c r="B272" s="933"/>
      <c r="C272" s="933"/>
      <c r="D272" s="933"/>
      <c r="E272" s="933"/>
      <c r="F272" s="933"/>
      <c r="G272" s="933"/>
      <c r="H272" s="933"/>
      <c r="I272" s="933"/>
      <c r="J272" s="933"/>
      <c r="K272" s="935"/>
      <c r="L272" s="933"/>
      <c r="M272" s="933"/>
      <c r="N272" s="945"/>
      <c r="O272" s="933"/>
      <c r="P272" s="933"/>
      <c r="Q272" s="933"/>
      <c r="R272" s="933"/>
      <c r="S272" s="933"/>
      <c r="T272" s="933"/>
      <c r="U272" s="933"/>
      <c r="V272" s="933"/>
      <c r="W272" s="933"/>
      <c r="X272" s="933"/>
      <c r="Y272" s="933"/>
      <c r="Z272" s="933"/>
      <c r="AA272" s="933"/>
      <c r="AB272" s="933"/>
      <c r="AC272" s="933"/>
      <c r="AD272" s="933"/>
    </row>
    <row r="273" spans="1:30" ht="12.75">
      <c r="A273" s="933"/>
      <c r="B273" s="933"/>
      <c r="C273" s="933"/>
      <c r="D273" s="933"/>
      <c r="E273" s="933"/>
      <c r="F273" s="933"/>
      <c r="G273" s="933"/>
      <c r="H273" s="933"/>
      <c r="I273" s="933"/>
      <c r="J273" s="933"/>
      <c r="K273" s="935"/>
      <c r="L273" s="933"/>
      <c r="M273" s="933"/>
      <c r="N273" s="945"/>
      <c r="O273" s="933"/>
      <c r="P273" s="933"/>
      <c r="Q273" s="933"/>
      <c r="R273" s="933"/>
      <c r="S273" s="933"/>
      <c r="T273" s="933"/>
      <c r="U273" s="933"/>
      <c r="V273" s="933"/>
      <c r="W273" s="933"/>
      <c r="X273" s="933"/>
      <c r="Y273" s="933"/>
      <c r="Z273" s="933"/>
      <c r="AA273" s="933"/>
      <c r="AB273" s="933"/>
      <c r="AC273" s="933"/>
      <c r="AD273" s="933"/>
    </row>
    <row r="274" spans="1:30" ht="12.75">
      <c r="A274" s="933"/>
      <c r="B274" s="933"/>
      <c r="C274" s="933"/>
      <c r="D274" s="933"/>
      <c r="E274" s="933"/>
      <c r="F274" s="933"/>
      <c r="G274" s="933"/>
      <c r="H274" s="933"/>
      <c r="I274" s="933"/>
      <c r="J274" s="933"/>
      <c r="K274" s="935"/>
      <c r="L274" s="933"/>
      <c r="M274" s="933"/>
      <c r="N274" s="945"/>
      <c r="O274" s="933"/>
      <c r="P274" s="933"/>
      <c r="Q274" s="933"/>
      <c r="R274" s="933"/>
      <c r="S274" s="933"/>
      <c r="T274" s="933"/>
      <c r="U274" s="933"/>
      <c r="V274" s="933"/>
      <c r="W274" s="933"/>
      <c r="X274" s="933"/>
      <c r="Y274" s="933"/>
      <c r="Z274" s="933"/>
      <c r="AA274" s="933"/>
      <c r="AB274" s="933"/>
      <c r="AC274" s="933"/>
      <c r="AD274" s="933"/>
    </row>
    <row r="275" spans="1:30" ht="12.75">
      <c r="A275" s="933"/>
      <c r="B275" s="933"/>
      <c r="C275" s="933"/>
      <c r="D275" s="933"/>
      <c r="E275" s="933"/>
      <c r="F275" s="933"/>
      <c r="G275" s="933"/>
      <c r="H275" s="933"/>
      <c r="I275" s="933"/>
      <c r="J275" s="933"/>
      <c r="K275" s="935"/>
      <c r="L275" s="933"/>
      <c r="M275" s="933"/>
      <c r="N275" s="945"/>
      <c r="O275" s="933"/>
      <c r="P275" s="933"/>
      <c r="Q275" s="933"/>
      <c r="R275" s="933"/>
      <c r="S275" s="933"/>
      <c r="T275" s="933"/>
      <c r="U275" s="933"/>
      <c r="V275" s="933"/>
      <c r="W275" s="933"/>
      <c r="X275" s="933"/>
      <c r="Y275" s="933"/>
      <c r="Z275" s="933"/>
      <c r="AA275" s="933"/>
      <c r="AB275" s="933"/>
      <c r="AC275" s="933"/>
      <c r="AD275" s="933"/>
    </row>
    <row r="276" spans="1:30" ht="12.75">
      <c r="A276" s="933"/>
      <c r="B276" s="933"/>
      <c r="C276" s="933"/>
      <c r="D276" s="933"/>
      <c r="E276" s="933"/>
      <c r="F276" s="933"/>
      <c r="G276" s="933"/>
      <c r="H276" s="933"/>
      <c r="I276" s="933"/>
      <c r="J276" s="933"/>
      <c r="K276" s="935"/>
      <c r="L276" s="933"/>
      <c r="M276" s="933"/>
      <c r="N276" s="945"/>
      <c r="O276" s="933"/>
      <c r="P276" s="933"/>
      <c r="Q276" s="933"/>
      <c r="R276" s="933"/>
      <c r="S276" s="933"/>
      <c r="T276" s="933"/>
      <c r="U276" s="933"/>
      <c r="V276" s="933"/>
      <c r="W276" s="933"/>
      <c r="X276" s="933"/>
      <c r="Y276" s="933"/>
      <c r="Z276" s="933"/>
      <c r="AA276" s="933"/>
      <c r="AB276" s="933"/>
      <c r="AC276" s="933"/>
      <c r="AD276" s="933"/>
    </row>
    <row r="277" spans="1:30" ht="12.75">
      <c r="A277" s="933"/>
      <c r="B277" s="933"/>
      <c r="C277" s="933"/>
      <c r="D277" s="933"/>
      <c r="E277" s="933"/>
      <c r="F277" s="933"/>
      <c r="G277" s="933"/>
      <c r="H277" s="933"/>
      <c r="I277" s="933"/>
      <c r="J277" s="933"/>
      <c r="K277" s="935"/>
      <c r="L277" s="933"/>
      <c r="M277" s="933"/>
      <c r="N277" s="945"/>
      <c r="O277" s="933"/>
      <c r="P277" s="933"/>
      <c r="Q277" s="933"/>
      <c r="R277" s="933"/>
      <c r="S277" s="933"/>
      <c r="T277" s="933"/>
      <c r="U277" s="933"/>
      <c r="V277" s="933"/>
      <c r="W277" s="933"/>
      <c r="X277" s="933"/>
      <c r="Y277" s="933"/>
      <c r="Z277" s="933"/>
      <c r="AA277" s="933"/>
      <c r="AB277" s="933"/>
      <c r="AC277" s="933"/>
      <c r="AD277" s="933"/>
    </row>
    <row r="278" spans="1:30" ht="12.75">
      <c r="A278" s="933"/>
      <c r="B278" s="933"/>
      <c r="C278" s="933"/>
      <c r="D278" s="933"/>
      <c r="E278" s="933"/>
      <c r="F278" s="933"/>
      <c r="G278" s="933"/>
      <c r="H278" s="933"/>
      <c r="I278" s="933"/>
      <c r="J278" s="933"/>
      <c r="K278" s="935"/>
      <c r="L278" s="933"/>
      <c r="M278" s="933"/>
      <c r="N278" s="945"/>
      <c r="O278" s="933"/>
      <c r="P278" s="933"/>
      <c r="Q278" s="933"/>
      <c r="R278" s="933"/>
      <c r="S278" s="933"/>
      <c r="T278" s="933"/>
      <c r="U278" s="933"/>
      <c r="V278" s="933"/>
      <c r="W278" s="933"/>
      <c r="X278" s="933"/>
      <c r="Y278" s="933"/>
      <c r="Z278" s="933"/>
      <c r="AA278" s="933"/>
      <c r="AB278" s="933"/>
      <c r="AC278" s="933"/>
      <c r="AD278" s="933"/>
    </row>
    <row r="279" spans="1:30" ht="12.75">
      <c r="A279" s="933"/>
      <c r="B279" s="933"/>
      <c r="C279" s="933"/>
      <c r="D279" s="933"/>
      <c r="E279" s="933"/>
      <c r="F279" s="933"/>
      <c r="G279" s="933"/>
      <c r="H279" s="933"/>
      <c r="I279" s="933"/>
      <c r="J279" s="933"/>
      <c r="K279" s="935"/>
      <c r="L279" s="933"/>
      <c r="M279" s="933"/>
      <c r="N279" s="945"/>
      <c r="O279" s="933"/>
      <c r="P279" s="933"/>
      <c r="Q279" s="933"/>
      <c r="R279" s="933"/>
      <c r="S279" s="933"/>
      <c r="T279" s="933"/>
      <c r="U279" s="933"/>
      <c r="V279" s="933"/>
      <c r="W279" s="933"/>
      <c r="X279" s="933"/>
      <c r="Y279" s="933"/>
      <c r="Z279" s="933"/>
      <c r="AA279" s="933"/>
      <c r="AB279" s="933"/>
      <c r="AC279" s="933"/>
      <c r="AD279" s="933"/>
    </row>
    <row r="280" spans="1:30" ht="12.75">
      <c r="A280" s="933"/>
      <c r="B280" s="933"/>
      <c r="C280" s="933"/>
      <c r="D280" s="933"/>
      <c r="E280" s="933"/>
      <c r="F280" s="933"/>
      <c r="G280" s="933"/>
      <c r="H280" s="933"/>
      <c r="I280" s="933"/>
      <c r="J280" s="933"/>
      <c r="K280" s="935"/>
      <c r="L280" s="933"/>
      <c r="M280" s="933"/>
      <c r="N280" s="945"/>
      <c r="O280" s="933"/>
      <c r="P280" s="933"/>
      <c r="Q280" s="933"/>
      <c r="R280" s="933"/>
      <c r="S280" s="933"/>
      <c r="T280" s="933"/>
      <c r="U280" s="933"/>
      <c r="V280" s="933"/>
      <c r="W280" s="933"/>
      <c r="X280" s="933"/>
      <c r="Y280" s="933"/>
      <c r="Z280" s="933"/>
      <c r="AA280" s="933"/>
      <c r="AB280" s="933"/>
      <c r="AC280" s="933"/>
      <c r="AD280" s="933"/>
    </row>
    <row r="281" spans="1:30" ht="12.75">
      <c r="A281" s="933"/>
      <c r="B281" s="933"/>
      <c r="C281" s="933"/>
      <c r="D281" s="933"/>
      <c r="E281" s="933"/>
      <c r="F281" s="933"/>
      <c r="G281" s="933"/>
      <c r="H281" s="933"/>
      <c r="I281" s="933"/>
      <c r="J281" s="933"/>
      <c r="K281" s="935"/>
      <c r="L281" s="933"/>
      <c r="M281" s="933"/>
      <c r="N281" s="945"/>
      <c r="O281" s="933"/>
      <c r="P281" s="933"/>
      <c r="Q281" s="933"/>
      <c r="R281" s="933"/>
      <c r="S281" s="933"/>
      <c r="T281" s="933"/>
      <c r="U281" s="933"/>
      <c r="V281" s="933"/>
      <c r="W281" s="933"/>
      <c r="X281" s="933"/>
      <c r="Y281" s="933"/>
      <c r="Z281" s="933"/>
      <c r="AA281" s="933"/>
      <c r="AB281" s="933"/>
      <c r="AC281" s="933"/>
      <c r="AD281" s="933"/>
    </row>
    <row r="282" spans="1:30" ht="12.75">
      <c r="A282" s="933"/>
      <c r="B282" s="933"/>
      <c r="C282" s="933"/>
      <c r="D282" s="933"/>
      <c r="E282" s="933"/>
      <c r="F282" s="933"/>
      <c r="G282" s="933"/>
      <c r="H282" s="933"/>
      <c r="I282" s="933"/>
      <c r="J282" s="933"/>
      <c r="K282" s="935"/>
      <c r="L282" s="933"/>
      <c r="M282" s="933"/>
      <c r="N282" s="945"/>
      <c r="O282" s="933"/>
      <c r="P282" s="933"/>
      <c r="Q282" s="933"/>
      <c r="R282" s="933"/>
      <c r="S282" s="933"/>
      <c r="T282" s="933"/>
      <c r="U282" s="933"/>
      <c r="V282" s="933"/>
      <c r="W282" s="933"/>
      <c r="X282" s="933"/>
      <c r="Y282" s="933"/>
      <c r="Z282" s="933"/>
      <c r="AA282" s="933"/>
      <c r="AB282" s="933"/>
      <c r="AC282" s="933"/>
      <c r="AD282" s="933"/>
    </row>
    <row r="283" spans="1:30" ht="12.75">
      <c r="A283" s="933"/>
      <c r="B283" s="933"/>
      <c r="C283" s="933"/>
      <c r="D283" s="933"/>
      <c r="E283" s="933"/>
      <c r="F283" s="933"/>
      <c r="G283" s="933"/>
      <c r="H283" s="933"/>
      <c r="I283" s="933"/>
      <c r="J283" s="933"/>
      <c r="K283" s="935"/>
      <c r="L283" s="933"/>
      <c r="M283" s="933"/>
      <c r="N283" s="945"/>
      <c r="O283" s="933"/>
      <c r="P283" s="933"/>
      <c r="Q283" s="933"/>
      <c r="R283" s="933"/>
      <c r="S283" s="933"/>
      <c r="T283" s="933"/>
      <c r="U283" s="933"/>
      <c r="V283" s="933"/>
      <c r="W283" s="933"/>
      <c r="X283" s="933"/>
      <c r="Y283" s="933"/>
      <c r="Z283" s="933"/>
      <c r="AA283" s="933"/>
      <c r="AB283" s="933"/>
      <c r="AC283" s="933"/>
      <c r="AD283" s="933"/>
    </row>
    <row r="284" spans="1:30" ht="12.75">
      <c r="A284" s="933"/>
      <c r="B284" s="933"/>
      <c r="C284" s="933"/>
      <c r="D284" s="933"/>
      <c r="E284" s="933"/>
      <c r="F284" s="933"/>
      <c r="G284" s="933"/>
      <c r="H284" s="933"/>
      <c r="I284" s="933"/>
      <c r="J284" s="933"/>
      <c r="K284" s="935"/>
      <c r="L284" s="933"/>
      <c r="M284" s="933"/>
      <c r="N284" s="945"/>
      <c r="O284" s="933"/>
      <c r="P284" s="933"/>
      <c r="Q284" s="933"/>
      <c r="R284" s="933"/>
      <c r="S284" s="933"/>
      <c r="T284" s="933"/>
      <c r="U284" s="933"/>
      <c r="V284" s="933"/>
      <c r="W284" s="933"/>
      <c r="X284" s="933"/>
      <c r="Y284" s="933"/>
      <c r="Z284" s="933"/>
      <c r="AA284" s="933"/>
      <c r="AB284" s="933"/>
      <c r="AC284" s="933"/>
      <c r="AD284" s="933"/>
    </row>
    <row r="285" spans="1:30" ht="12.75">
      <c r="A285" s="933"/>
      <c r="B285" s="933"/>
      <c r="C285" s="933"/>
      <c r="D285" s="933"/>
      <c r="E285" s="933"/>
      <c r="F285" s="933"/>
      <c r="G285" s="933"/>
      <c r="H285" s="933"/>
      <c r="I285" s="933"/>
      <c r="J285" s="933"/>
      <c r="K285" s="935"/>
      <c r="L285" s="933"/>
      <c r="M285" s="933"/>
      <c r="N285" s="945"/>
      <c r="O285" s="933"/>
      <c r="P285" s="933"/>
      <c r="Q285" s="933"/>
      <c r="R285" s="933"/>
      <c r="S285" s="933"/>
      <c r="T285" s="933"/>
      <c r="U285" s="933"/>
      <c r="V285" s="933"/>
      <c r="W285" s="933"/>
      <c r="X285" s="933"/>
      <c r="Y285" s="933"/>
      <c r="Z285" s="933"/>
      <c r="AA285" s="933"/>
      <c r="AB285" s="933"/>
      <c r="AC285" s="933"/>
      <c r="AD285" s="933"/>
    </row>
    <row r="286" spans="1:30" ht="12.75">
      <c r="A286" s="933"/>
      <c r="B286" s="933"/>
      <c r="C286" s="933"/>
      <c r="D286" s="933"/>
      <c r="E286" s="933"/>
      <c r="F286" s="933"/>
      <c r="G286" s="933"/>
      <c r="H286" s="933"/>
      <c r="I286" s="933"/>
      <c r="J286" s="933"/>
      <c r="K286" s="935"/>
      <c r="L286" s="933"/>
      <c r="M286" s="933"/>
      <c r="N286" s="945"/>
      <c r="O286" s="933"/>
      <c r="P286" s="933"/>
      <c r="Q286" s="933"/>
      <c r="R286" s="933"/>
      <c r="S286" s="933"/>
      <c r="T286" s="933"/>
      <c r="U286" s="933"/>
      <c r="V286" s="933"/>
      <c r="W286" s="933"/>
      <c r="X286" s="933"/>
      <c r="Y286" s="933"/>
      <c r="Z286" s="933"/>
      <c r="AA286" s="933"/>
      <c r="AB286" s="933"/>
      <c r="AC286" s="933"/>
      <c r="AD286" s="933"/>
    </row>
    <row r="287" spans="1:30" ht="12.75">
      <c r="A287" s="933"/>
      <c r="B287" s="933"/>
      <c r="C287" s="933"/>
      <c r="D287" s="933"/>
      <c r="E287" s="933"/>
      <c r="F287" s="933"/>
      <c r="G287" s="933"/>
      <c r="H287" s="933"/>
      <c r="I287" s="933"/>
      <c r="J287" s="933"/>
      <c r="K287" s="935"/>
      <c r="L287" s="933"/>
      <c r="M287" s="933"/>
      <c r="N287" s="945"/>
      <c r="O287" s="933"/>
      <c r="P287" s="933"/>
      <c r="Q287" s="933"/>
      <c r="R287" s="933"/>
      <c r="S287" s="933"/>
      <c r="T287" s="933"/>
      <c r="U287" s="933"/>
      <c r="V287" s="933"/>
      <c r="W287" s="933"/>
      <c r="X287" s="933"/>
      <c r="Y287" s="933"/>
      <c r="Z287" s="933"/>
      <c r="AA287" s="933"/>
      <c r="AB287" s="933"/>
      <c r="AC287" s="933"/>
      <c r="AD287" s="933"/>
    </row>
    <row r="288" spans="1:30" ht="12.75">
      <c r="A288" s="933"/>
      <c r="B288" s="933"/>
      <c r="C288" s="933"/>
      <c r="D288" s="933"/>
      <c r="E288" s="933"/>
      <c r="F288" s="933"/>
      <c r="G288" s="933"/>
      <c r="H288" s="933"/>
      <c r="I288" s="933"/>
      <c r="J288" s="933"/>
      <c r="K288" s="935"/>
      <c r="L288" s="933"/>
      <c r="M288" s="933"/>
      <c r="N288" s="945"/>
      <c r="O288" s="933"/>
      <c r="P288" s="933"/>
      <c r="Q288" s="933"/>
      <c r="R288" s="933"/>
      <c r="S288" s="933"/>
      <c r="T288" s="933"/>
      <c r="U288" s="933"/>
      <c r="V288" s="933"/>
      <c r="W288" s="933"/>
      <c r="X288" s="933"/>
      <c r="Y288" s="933"/>
      <c r="Z288" s="933"/>
      <c r="AA288" s="933"/>
      <c r="AB288" s="933"/>
      <c r="AC288" s="933"/>
      <c r="AD288" s="933"/>
    </row>
    <row r="289" spans="1:30" ht="12.75">
      <c r="A289" s="933"/>
      <c r="B289" s="933"/>
      <c r="C289" s="933"/>
      <c r="D289" s="933"/>
      <c r="E289" s="933"/>
      <c r="F289" s="933"/>
      <c r="G289" s="933"/>
      <c r="H289" s="933"/>
      <c r="I289" s="933"/>
      <c r="J289" s="933"/>
      <c r="K289" s="935"/>
      <c r="L289" s="933"/>
      <c r="M289" s="933"/>
      <c r="N289" s="945"/>
      <c r="O289" s="933"/>
      <c r="P289" s="933"/>
      <c r="Q289" s="933"/>
      <c r="R289" s="933"/>
      <c r="S289" s="933"/>
      <c r="T289" s="933"/>
      <c r="U289" s="933"/>
      <c r="V289" s="933"/>
      <c r="W289" s="933"/>
      <c r="X289" s="933"/>
      <c r="Y289" s="933"/>
      <c r="Z289" s="933"/>
      <c r="AA289" s="933"/>
      <c r="AB289" s="933"/>
      <c r="AC289" s="933"/>
      <c r="AD289" s="933"/>
    </row>
    <row r="290" spans="1:30" ht="12.75">
      <c r="A290" s="933"/>
      <c r="B290" s="933"/>
      <c r="C290" s="933"/>
      <c r="D290" s="933"/>
      <c r="E290" s="933"/>
      <c r="F290" s="933"/>
      <c r="G290" s="933"/>
      <c r="H290" s="933"/>
      <c r="I290" s="933"/>
      <c r="J290" s="933"/>
      <c r="K290" s="935"/>
      <c r="L290" s="933"/>
      <c r="M290" s="933"/>
      <c r="N290" s="945"/>
      <c r="O290" s="933"/>
      <c r="P290" s="933"/>
      <c r="Q290" s="933"/>
      <c r="R290" s="933"/>
      <c r="S290" s="933"/>
      <c r="T290" s="933"/>
      <c r="U290" s="933"/>
      <c r="V290" s="933"/>
      <c r="W290" s="933"/>
      <c r="X290" s="933"/>
      <c r="Y290" s="933"/>
      <c r="Z290" s="933"/>
      <c r="AA290" s="933"/>
      <c r="AB290" s="933"/>
      <c r="AC290" s="933"/>
      <c r="AD290" s="933"/>
    </row>
    <row r="291" spans="1:30" ht="12.75">
      <c r="A291" s="933"/>
      <c r="B291" s="933"/>
      <c r="C291" s="933"/>
      <c r="D291" s="933"/>
      <c r="E291" s="933"/>
      <c r="F291" s="933"/>
      <c r="G291" s="933"/>
      <c r="H291" s="933"/>
      <c r="I291" s="933"/>
      <c r="J291" s="933"/>
      <c r="K291" s="935"/>
      <c r="L291" s="933"/>
      <c r="M291" s="933"/>
      <c r="N291" s="945"/>
      <c r="O291" s="933"/>
      <c r="P291" s="933"/>
      <c r="Q291" s="933"/>
      <c r="R291" s="933"/>
      <c r="S291" s="933"/>
      <c r="T291" s="933"/>
      <c r="U291" s="933"/>
      <c r="V291" s="933"/>
      <c r="W291" s="933"/>
      <c r="X291" s="933"/>
      <c r="Y291" s="933"/>
      <c r="Z291" s="933"/>
      <c r="AA291" s="933"/>
      <c r="AB291" s="933"/>
      <c r="AC291" s="933"/>
      <c r="AD291" s="933"/>
    </row>
    <row r="292" spans="1:30" ht="12.75">
      <c r="A292" s="933"/>
      <c r="B292" s="933"/>
      <c r="C292" s="933"/>
      <c r="D292" s="933"/>
      <c r="E292" s="933"/>
      <c r="F292" s="933"/>
      <c r="G292" s="933"/>
      <c r="H292" s="933"/>
      <c r="I292" s="933"/>
      <c r="J292" s="933"/>
      <c r="K292" s="935"/>
      <c r="L292" s="933"/>
      <c r="M292" s="933"/>
      <c r="N292" s="945"/>
      <c r="O292" s="933"/>
      <c r="P292" s="933"/>
      <c r="Q292" s="933"/>
      <c r="R292" s="933"/>
      <c r="S292" s="933"/>
      <c r="T292" s="933"/>
      <c r="U292" s="933"/>
      <c r="V292" s="933"/>
      <c r="W292" s="933"/>
      <c r="X292" s="933"/>
      <c r="Y292" s="933"/>
      <c r="Z292" s="933"/>
      <c r="AA292" s="933"/>
      <c r="AB292" s="933"/>
      <c r="AC292" s="933"/>
      <c r="AD292" s="933"/>
    </row>
    <row r="293" spans="1:30" ht="12.75">
      <c r="A293" s="933"/>
      <c r="B293" s="933"/>
      <c r="C293" s="933"/>
      <c r="D293" s="933"/>
      <c r="E293" s="933"/>
      <c r="F293" s="933"/>
      <c r="G293" s="933"/>
      <c r="H293" s="933"/>
      <c r="I293" s="933"/>
      <c r="J293" s="933"/>
      <c r="K293" s="935"/>
      <c r="L293" s="933"/>
      <c r="M293" s="933"/>
      <c r="N293" s="945"/>
      <c r="O293" s="933"/>
      <c r="P293" s="933"/>
      <c r="Q293" s="933"/>
      <c r="R293" s="933"/>
      <c r="S293" s="933"/>
      <c r="T293" s="933"/>
      <c r="U293" s="933"/>
      <c r="V293" s="933"/>
      <c r="W293" s="933"/>
      <c r="X293" s="933"/>
      <c r="Y293" s="933"/>
      <c r="Z293" s="933"/>
      <c r="AA293" s="933"/>
      <c r="AB293" s="933"/>
      <c r="AC293" s="933"/>
      <c r="AD293" s="933"/>
    </row>
    <row r="294" spans="1:30" ht="12.75">
      <c r="A294" s="933"/>
      <c r="B294" s="933"/>
      <c r="C294" s="933"/>
      <c r="D294" s="933"/>
      <c r="E294" s="933"/>
      <c r="F294" s="933"/>
      <c r="G294" s="933"/>
      <c r="H294" s="933"/>
      <c r="I294" s="933"/>
      <c r="J294" s="933"/>
      <c r="K294" s="935"/>
      <c r="L294" s="933"/>
      <c r="M294" s="933"/>
      <c r="N294" s="945"/>
      <c r="O294" s="933"/>
      <c r="P294" s="933"/>
      <c r="Q294" s="933"/>
      <c r="R294" s="933"/>
      <c r="S294" s="933"/>
      <c r="T294" s="933"/>
      <c r="U294" s="933"/>
      <c r="V294" s="933"/>
      <c r="W294" s="933"/>
      <c r="X294" s="933"/>
      <c r="Y294" s="933"/>
      <c r="Z294" s="933"/>
      <c r="AA294" s="933"/>
      <c r="AB294" s="933"/>
      <c r="AC294" s="933"/>
      <c r="AD294" s="933"/>
    </row>
    <row r="295" spans="1:30" ht="12.75">
      <c r="A295" s="933"/>
      <c r="B295" s="933"/>
      <c r="C295" s="933"/>
      <c r="D295" s="933"/>
      <c r="E295" s="933"/>
      <c r="F295" s="933"/>
      <c r="G295" s="933"/>
      <c r="H295" s="933"/>
      <c r="I295" s="933"/>
      <c r="J295" s="933"/>
      <c r="K295" s="935"/>
      <c r="L295" s="933"/>
      <c r="M295" s="933"/>
      <c r="N295" s="945"/>
      <c r="O295" s="933"/>
      <c r="P295" s="933"/>
      <c r="Q295" s="933"/>
      <c r="R295" s="933"/>
      <c r="S295" s="933"/>
      <c r="T295" s="933"/>
      <c r="U295" s="933"/>
      <c r="V295" s="933"/>
      <c r="W295" s="933"/>
      <c r="X295" s="933"/>
      <c r="Y295" s="933"/>
      <c r="Z295" s="933"/>
      <c r="AA295" s="933"/>
      <c r="AB295" s="933"/>
      <c r="AC295" s="933"/>
      <c r="AD295" s="933"/>
    </row>
    <row r="296" spans="1:30" ht="12.75">
      <c r="A296" s="933"/>
      <c r="B296" s="933"/>
      <c r="C296" s="933"/>
      <c r="D296" s="933"/>
      <c r="E296" s="933"/>
      <c r="F296" s="933"/>
      <c r="G296" s="933"/>
      <c r="H296" s="933"/>
      <c r="I296" s="933"/>
      <c r="J296" s="933"/>
      <c r="K296" s="935"/>
      <c r="L296" s="933"/>
      <c r="M296" s="933"/>
      <c r="N296" s="945"/>
      <c r="O296" s="933"/>
      <c r="P296" s="933"/>
      <c r="Q296" s="933"/>
      <c r="R296" s="933"/>
      <c r="S296" s="933"/>
      <c r="T296" s="933"/>
      <c r="U296" s="933"/>
      <c r="V296" s="933"/>
      <c r="W296" s="933"/>
      <c r="X296" s="933"/>
      <c r="Y296" s="933"/>
      <c r="Z296" s="933"/>
      <c r="AA296" s="933"/>
      <c r="AB296" s="933"/>
      <c r="AC296" s="933"/>
      <c r="AD296" s="933"/>
    </row>
    <row r="297" spans="1:30" ht="12.75">
      <c r="A297" s="933"/>
      <c r="B297" s="933"/>
      <c r="C297" s="933"/>
      <c r="D297" s="933"/>
      <c r="E297" s="933"/>
      <c r="F297" s="933"/>
      <c r="G297" s="933"/>
      <c r="H297" s="933"/>
      <c r="I297" s="933"/>
      <c r="J297" s="933"/>
      <c r="K297" s="935"/>
      <c r="L297" s="933"/>
      <c r="M297" s="933"/>
      <c r="N297" s="945"/>
      <c r="O297" s="933"/>
      <c r="P297" s="933"/>
      <c r="Q297" s="933"/>
      <c r="R297" s="933"/>
      <c r="S297" s="933"/>
      <c r="T297" s="933"/>
      <c r="U297" s="933"/>
      <c r="V297" s="933"/>
      <c r="W297" s="933"/>
      <c r="X297" s="933"/>
      <c r="Y297" s="933"/>
      <c r="Z297" s="933"/>
      <c r="AA297" s="933"/>
      <c r="AB297" s="933"/>
      <c r="AC297" s="933"/>
      <c r="AD297" s="933"/>
    </row>
    <row r="298" spans="1:30" ht="12.75">
      <c r="A298" s="933"/>
      <c r="B298" s="933"/>
      <c r="C298" s="933"/>
      <c r="D298" s="933"/>
      <c r="E298" s="933"/>
      <c r="F298" s="933"/>
      <c r="G298" s="933"/>
      <c r="H298" s="933"/>
      <c r="I298" s="933"/>
      <c r="J298" s="933"/>
      <c r="K298" s="935"/>
      <c r="L298" s="933"/>
      <c r="M298" s="933"/>
      <c r="N298" s="945"/>
      <c r="O298" s="933"/>
      <c r="P298" s="933"/>
      <c r="Q298" s="933"/>
      <c r="R298" s="933"/>
      <c r="S298" s="933"/>
      <c r="T298" s="933"/>
      <c r="U298" s="933"/>
      <c r="V298" s="933"/>
      <c r="W298" s="933"/>
      <c r="X298" s="933"/>
      <c r="Y298" s="933"/>
      <c r="Z298" s="933"/>
      <c r="AA298" s="933"/>
      <c r="AB298" s="933"/>
      <c r="AC298" s="933"/>
      <c r="AD298" s="933"/>
    </row>
    <row r="299" spans="1:30" ht="12.75">
      <c r="A299" s="933"/>
      <c r="B299" s="933"/>
      <c r="C299" s="933"/>
      <c r="D299" s="933"/>
      <c r="E299" s="933"/>
      <c r="F299" s="933"/>
      <c r="G299" s="933"/>
      <c r="H299" s="933"/>
      <c r="I299" s="933"/>
      <c r="J299" s="933"/>
      <c r="K299" s="935"/>
      <c r="L299" s="933"/>
      <c r="M299" s="933"/>
      <c r="N299" s="945"/>
      <c r="O299" s="933"/>
      <c r="P299" s="933"/>
      <c r="Q299" s="933"/>
      <c r="R299" s="933"/>
      <c r="S299" s="933"/>
      <c r="T299" s="933"/>
      <c r="U299" s="933"/>
      <c r="V299" s="933"/>
      <c r="W299" s="933"/>
      <c r="X299" s="933"/>
      <c r="Y299" s="933"/>
      <c r="Z299" s="933"/>
      <c r="AA299" s="933"/>
      <c r="AB299" s="933"/>
      <c r="AC299" s="933"/>
      <c r="AD299" s="933"/>
    </row>
    <row r="300" spans="1:30" ht="12.75">
      <c r="A300" s="933"/>
      <c r="B300" s="933"/>
      <c r="C300" s="933"/>
      <c r="D300" s="933"/>
      <c r="E300" s="933"/>
      <c r="F300" s="933"/>
      <c r="G300" s="933"/>
      <c r="H300" s="933"/>
      <c r="I300" s="933"/>
      <c r="J300" s="933"/>
      <c r="K300" s="935"/>
      <c r="L300" s="933"/>
      <c r="M300" s="933"/>
      <c r="N300" s="945"/>
      <c r="O300" s="933"/>
      <c r="P300" s="933"/>
      <c r="Q300" s="933"/>
      <c r="R300" s="933"/>
      <c r="S300" s="933"/>
      <c r="T300" s="933"/>
      <c r="U300" s="933"/>
      <c r="V300" s="933"/>
      <c r="W300" s="933"/>
      <c r="X300" s="933"/>
      <c r="Y300" s="933"/>
      <c r="Z300" s="933"/>
      <c r="AA300" s="933"/>
      <c r="AB300" s="933"/>
      <c r="AC300" s="933"/>
      <c r="AD300" s="933"/>
    </row>
    <row r="301" spans="1:30" ht="12.75">
      <c r="A301" s="933"/>
      <c r="B301" s="933"/>
      <c r="C301" s="933"/>
      <c r="D301" s="933"/>
      <c r="E301" s="933"/>
      <c r="F301" s="933"/>
      <c r="G301" s="933"/>
      <c r="H301" s="933"/>
      <c r="I301" s="933"/>
      <c r="J301" s="933"/>
      <c r="K301" s="935"/>
      <c r="L301" s="933"/>
      <c r="M301" s="933"/>
      <c r="N301" s="945"/>
      <c r="O301" s="933"/>
      <c r="P301" s="933"/>
      <c r="Q301" s="933"/>
      <c r="R301" s="933"/>
      <c r="S301" s="933"/>
      <c r="T301" s="933"/>
      <c r="U301" s="933"/>
      <c r="V301" s="933"/>
      <c r="W301" s="933"/>
      <c r="X301" s="933"/>
      <c r="Y301" s="933"/>
      <c r="Z301" s="933"/>
      <c r="AA301" s="933"/>
      <c r="AB301" s="933"/>
      <c r="AC301" s="933"/>
      <c r="AD301" s="933"/>
    </row>
    <row r="302" spans="1:30" ht="12.75">
      <c r="A302" s="933"/>
      <c r="B302" s="933"/>
      <c r="C302" s="933"/>
      <c r="D302" s="933"/>
      <c r="E302" s="933"/>
      <c r="F302" s="933"/>
      <c r="G302" s="933"/>
      <c r="H302" s="933"/>
      <c r="I302" s="933"/>
      <c r="J302" s="933"/>
      <c r="K302" s="935"/>
      <c r="L302" s="933"/>
      <c r="M302" s="933"/>
      <c r="N302" s="945"/>
      <c r="O302" s="933"/>
      <c r="P302" s="933"/>
      <c r="Q302" s="933"/>
      <c r="R302" s="933"/>
      <c r="S302" s="933"/>
      <c r="T302" s="933"/>
      <c r="U302" s="933"/>
      <c r="V302" s="933"/>
      <c r="W302" s="933"/>
      <c r="X302" s="933"/>
      <c r="Y302" s="933"/>
      <c r="Z302" s="933"/>
      <c r="AA302" s="933"/>
      <c r="AB302" s="933"/>
      <c r="AC302" s="933"/>
      <c r="AD302" s="933"/>
    </row>
    <row r="303" spans="1:30" ht="12.75">
      <c r="A303" s="933"/>
      <c r="B303" s="933"/>
      <c r="C303" s="933"/>
      <c r="D303" s="933"/>
      <c r="E303" s="933"/>
      <c r="F303" s="933"/>
      <c r="G303" s="933"/>
      <c r="H303" s="933"/>
      <c r="I303" s="933"/>
      <c r="J303" s="933"/>
      <c r="K303" s="935"/>
      <c r="L303" s="933"/>
      <c r="M303" s="933"/>
      <c r="N303" s="945"/>
      <c r="O303" s="933"/>
      <c r="P303" s="933"/>
      <c r="Q303" s="933"/>
      <c r="R303" s="933"/>
      <c r="S303" s="933"/>
      <c r="T303" s="933"/>
      <c r="U303" s="933"/>
      <c r="V303" s="933"/>
      <c r="W303" s="933"/>
      <c r="X303" s="933"/>
      <c r="Y303" s="933"/>
      <c r="Z303" s="933"/>
      <c r="AA303" s="933"/>
      <c r="AB303" s="933"/>
      <c r="AC303" s="933"/>
      <c r="AD303" s="933"/>
    </row>
    <row r="304" spans="1:30" ht="12.75">
      <c r="A304" s="933"/>
      <c r="B304" s="933"/>
      <c r="C304" s="933"/>
      <c r="D304" s="933"/>
      <c r="E304" s="933"/>
      <c r="F304" s="933"/>
      <c r="G304" s="933"/>
      <c r="H304" s="933"/>
      <c r="I304" s="933"/>
      <c r="J304" s="933"/>
      <c r="K304" s="935"/>
      <c r="L304" s="933"/>
      <c r="M304" s="933"/>
      <c r="N304" s="945"/>
      <c r="O304" s="933"/>
      <c r="P304" s="933"/>
      <c r="Q304" s="933"/>
      <c r="R304" s="933"/>
      <c r="S304" s="933"/>
      <c r="T304" s="933"/>
      <c r="U304" s="933"/>
      <c r="V304" s="933"/>
      <c r="W304" s="933"/>
      <c r="X304" s="933"/>
      <c r="Y304" s="933"/>
      <c r="Z304" s="933"/>
      <c r="AA304" s="933"/>
      <c r="AB304" s="933"/>
      <c r="AC304" s="933"/>
      <c r="AD304" s="933"/>
    </row>
    <row r="305" spans="1:30" ht="12.75">
      <c r="A305" s="933"/>
      <c r="B305" s="933"/>
      <c r="C305" s="933"/>
      <c r="D305" s="933"/>
      <c r="E305" s="933"/>
      <c r="F305" s="933"/>
      <c r="G305" s="933"/>
      <c r="H305" s="933"/>
      <c r="I305" s="933"/>
      <c r="J305" s="933"/>
      <c r="K305" s="935"/>
      <c r="L305" s="933"/>
      <c r="M305" s="933"/>
      <c r="N305" s="945"/>
      <c r="O305" s="933"/>
      <c r="P305" s="933"/>
      <c r="Q305" s="933"/>
      <c r="R305" s="933"/>
      <c r="S305" s="933"/>
      <c r="T305" s="933"/>
      <c r="U305" s="933"/>
      <c r="V305" s="933"/>
      <c r="W305" s="933"/>
      <c r="X305" s="933"/>
      <c r="Y305" s="933"/>
      <c r="Z305" s="933"/>
      <c r="AA305" s="933"/>
      <c r="AB305" s="933"/>
      <c r="AC305" s="933"/>
      <c r="AD305" s="933"/>
    </row>
    <row r="306" spans="1:30" ht="12.75">
      <c r="A306" s="933"/>
      <c r="B306" s="933"/>
      <c r="C306" s="933"/>
      <c r="D306" s="933"/>
      <c r="E306" s="933"/>
      <c r="F306" s="933"/>
      <c r="G306" s="933"/>
      <c r="H306" s="933"/>
      <c r="I306" s="933"/>
      <c r="J306" s="933"/>
      <c r="K306" s="935"/>
      <c r="L306" s="933"/>
      <c r="M306" s="933"/>
      <c r="N306" s="945"/>
      <c r="O306" s="933"/>
      <c r="P306" s="933"/>
      <c r="Q306" s="933"/>
      <c r="R306" s="933"/>
      <c r="S306" s="933"/>
      <c r="T306" s="933"/>
      <c r="U306" s="933"/>
      <c r="V306" s="933"/>
      <c r="W306" s="933"/>
      <c r="X306" s="933"/>
      <c r="Y306" s="933"/>
      <c r="Z306" s="933"/>
      <c r="AA306" s="933"/>
      <c r="AB306" s="933"/>
      <c r="AC306" s="933"/>
      <c r="AD306" s="933"/>
    </row>
    <row r="307" spans="1:30" ht="12.75">
      <c r="A307" s="933"/>
      <c r="B307" s="933"/>
      <c r="C307" s="933"/>
      <c r="D307" s="933"/>
      <c r="E307" s="933"/>
      <c r="F307" s="933"/>
      <c r="G307" s="933"/>
      <c r="H307" s="933"/>
      <c r="I307" s="933"/>
      <c r="J307" s="933"/>
      <c r="K307" s="935"/>
      <c r="L307" s="933"/>
      <c r="M307" s="933"/>
      <c r="N307" s="945"/>
      <c r="O307" s="933"/>
      <c r="P307" s="933"/>
      <c r="Q307" s="933"/>
      <c r="R307" s="933"/>
      <c r="S307" s="933"/>
      <c r="T307" s="933"/>
      <c r="U307" s="933"/>
      <c r="V307" s="933"/>
      <c r="W307" s="933"/>
      <c r="X307" s="933"/>
      <c r="Y307" s="933"/>
      <c r="Z307" s="933"/>
      <c r="AA307" s="933"/>
      <c r="AB307" s="933"/>
      <c r="AC307" s="933"/>
      <c r="AD307" s="933"/>
    </row>
    <row r="308" spans="1:30" ht="12.75">
      <c r="A308" s="933"/>
      <c r="B308" s="933"/>
      <c r="C308" s="933"/>
      <c r="D308" s="933"/>
      <c r="E308" s="933"/>
      <c r="F308" s="933"/>
      <c r="G308" s="933"/>
      <c r="H308" s="933"/>
      <c r="I308" s="933"/>
      <c r="J308" s="933"/>
      <c r="K308" s="935"/>
      <c r="L308" s="933"/>
      <c r="M308" s="933"/>
      <c r="N308" s="945"/>
      <c r="O308" s="933"/>
      <c r="P308" s="933"/>
      <c r="Q308" s="933"/>
      <c r="R308" s="933"/>
      <c r="S308" s="933"/>
      <c r="T308" s="933"/>
      <c r="U308" s="933"/>
      <c r="V308" s="933"/>
      <c r="W308" s="933"/>
      <c r="X308" s="933"/>
      <c r="Y308" s="933"/>
      <c r="Z308" s="933"/>
      <c r="AA308" s="933"/>
      <c r="AB308" s="933"/>
      <c r="AC308" s="933"/>
      <c r="AD308" s="933"/>
    </row>
    <row r="309" spans="1:30" ht="12.75">
      <c r="A309" s="933"/>
      <c r="B309" s="933"/>
      <c r="C309" s="933"/>
      <c r="D309" s="933"/>
      <c r="E309" s="933"/>
      <c r="F309" s="933"/>
      <c r="G309" s="933"/>
      <c r="H309" s="933"/>
      <c r="I309" s="933"/>
      <c r="J309" s="933"/>
      <c r="K309" s="935"/>
      <c r="L309" s="933"/>
      <c r="M309" s="933"/>
      <c r="N309" s="945"/>
      <c r="O309" s="933"/>
      <c r="P309" s="933"/>
      <c r="Q309" s="933"/>
      <c r="R309" s="933"/>
      <c r="S309" s="933"/>
      <c r="T309" s="933"/>
      <c r="U309" s="933"/>
      <c r="V309" s="933"/>
      <c r="W309" s="933"/>
      <c r="X309" s="933"/>
      <c r="Y309" s="933"/>
      <c r="Z309" s="933"/>
      <c r="AA309" s="933"/>
      <c r="AB309" s="933"/>
      <c r="AC309" s="933"/>
      <c r="AD309" s="933"/>
    </row>
    <row r="310" spans="1:30" ht="12.75">
      <c r="A310" s="933"/>
      <c r="B310" s="933"/>
      <c r="C310" s="933"/>
      <c r="D310" s="933"/>
      <c r="E310" s="933"/>
      <c r="F310" s="933"/>
      <c r="G310" s="933"/>
      <c r="H310" s="933"/>
      <c r="I310" s="933"/>
      <c r="J310" s="933"/>
      <c r="K310" s="935"/>
      <c r="L310" s="933"/>
      <c r="M310" s="933"/>
      <c r="N310" s="945"/>
      <c r="O310" s="933"/>
      <c r="P310" s="933"/>
      <c r="Q310" s="933"/>
      <c r="R310" s="933"/>
      <c r="S310" s="933"/>
      <c r="T310" s="933"/>
      <c r="U310" s="933"/>
      <c r="V310" s="933"/>
      <c r="W310" s="933"/>
      <c r="X310" s="933"/>
      <c r="Y310" s="933"/>
      <c r="Z310" s="933"/>
      <c r="AA310" s="933"/>
      <c r="AB310" s="933"/>
      <c r="AC310" s="933"/>
      <c r="AD310" s="933"/>
    </row>
    <row r="311" spans="1:30" ht="12.75">
      <c r="A311" s="933"/>
      <c r="B311" s="933"/>
      <c r="C311" s="933"/>
      <c r="D311" s="933"/>
      <c r="E311" s="933"/>
      <c r="F311" s="933"/>
      <c r="G311" s="933"/>
      <c r="H311" s="933"/>
      <c r="I311" s="933"/>
      <c r="J311" s="933"/>
      <c r="K311" s="935"/>
      <c r="L311" s="933"/>
      <c r="M311" s="933"/>
      <c r="N311" s="945"/>
      <c r="O311" s="933"/>
      <c r="P311" s="933"/>
      <c r="Q311" s="933"/>
      <c r="R311" s="933"/>
      <c r="S311" s="933"/>
      <c r="T311" s="933"/>
      <c r="U311" s="933"/>
      <c r="V311" s="933"/>
      <c r="W311" s="933"/>
      <c r="X311" s="933"/>
      <c r="Y311" s="933"/>
      <c r="Z311" s="933"/>
      <c r="AA311" s="933"/>
      <c r="AB311" s="933"/>
      <c r="AC311" s="933"/>
      <c r="AD311" s="933"/>
    </row>
    <row r="312" spans="1:30" ht="12.75">
      <c r="A312" s="933"/>
      <c r="B312" s="933"/>
      <c r="C312" s="933"/>
      <c r="D312" s="933"/>
      <c r="E312" s="933"/>
      <c r="F312" s="933"/>
      <c r="G312" s="933"/>
      <c r="H312" s="933"/>
      <c r="I312" s="933"/>
      <c r="J312" s="933"/>
      <c r="K312" s="935"/>
      <c r="L312" s="933"/>
      <c r="M312" s="933"/>
      <c r="N312" s="945"/>
      <c r="O312" s="933"/>
      <c r="P312" s="933"/>
      <c r="Q312" s="933"/>
      <c r="R312" s="933"/>
      <c r="S312" s="933"/>
      <c r="T312" s="933"/>
      <c r="U312" s="933"/>
      <c r="V312" s="933"/>
      <c r="W312" s="933"/>
      <c r="X312" s="933"/>
      <c r="Y312" s="933"/>
      <c r="Z312" s="933"/>
      <c r="AA312" s="933"/>
      <c r="AB312" s="933"/>
      <c r="AC312" s="933"/>
      <c r="AD312" s="933"/>
    </row>
    <row r="313" spans="1:30" ht="12.75">
      <c r="A313" s="933"/>
      <c r="B313" s="933"/>
      <c r="C313" s="933"/>
      <c r="D313" s="933"/>
      <c r="E313" s="933"/>
      <c r="F313" s="933"/>
      <c r="G313" s="933"/>
      <c r="H313" s="933"/>
      <c r="I313" s="933"/>
      <c r="J313" s="933"/>
      <c r="K313" s="935"/>
      <c r="L313" s="933"/>
      <c r="M313" s="933"/>
      <c r="N313" s="945"/>
      <c r="O313" s="933"/>
      <c r="P313" s="933"/>
      <c r="Q313" s="933"/>
      <c r="R313" s="933"/>
      <c r="S313" s="933"/>
      <c r="T313" s="933"/>
      <c r="U313" s="933"/>
      <c r="V313" s="933"/>
      <c r="W313" s="933"/>
      <c r="X313" s="933"/>
      <c r="Y313" s="933"/>
      <c r="Z313" s="933"/>
      <c r="AA313" s="933"/>
      <c r="AB313" s="933"/>
      <c r="AC313" s="933"/>
      <c r="AD313" s="933"/>
    </row>
    <row r="314" spans="1:30" ht="12.75">
      <c r="A314" s="933"/>
      <c r="B314" s="933"/>
      <c r="C314" s="933"/>
      <c r="D314" s="933"/>
      <c r="E314" s="933"/>
      <c r="F314" s="933"/>
      <c r="G314" s="933"/>
      <c r="H314" s="933"/>
      <c r="I314" s="933"/>
      <c r="J314" s="933"/>
      <c r="K314" s="935"/>
      <c r="L314" s="933"/>
      <c r="M314" s="933"/>
      <c r="N314" s="945"/>
      <c r="O314" s="933"/>
      <c r="P314" s="933"/>
      <c r="Q314" s="933"/>
      <c r="R314" s="933"/>
      <c r="S314" s="933"/>
      <c r="T314" s="933"/>
      <c r="U314" s="933"/>
      <c r="V314" s="933"/>
      <c r="W314" s="933"/>
      <c r="X314" s="933"/>
      <c r="Y314" s="933"/>
      <c r="Z314" s="933"/>
      <c r="AA314" s="933"/>
      <c r="AB314" s="933"/>
      <c r="AC314" s="933"/>
      <c r="AD314" s="933"/>
    </row>
    <row r="315" spans="1:30" ht="12.75">
      <c r="A315" s="933"/>
      <c r="B315" s="933"/>
      <c r="C315" s="933"/>
      <c r="D315" s="933"/>
      <c r="E315" s="933"/>
      <c r="F315" s="933"/>
      <c r="G315" s="933"/>
      <c r="H315" s="933"/>
      <c r="I315" s="933"/>
      <c r="J315" s="933"/>
      <c r="K315" s="935"/>
      <c r="L315" s="933"/>
      <c r="M315" s="933"/>
      <c r="N315" s="945"/>
      <c r="O315" s="933"/>
      <c r="P315" s="933"/>
      <c r="Q315" s="933"/>
      <c r="R315" s="933"/>
      <c r="S315" s="933"/>
      <c r="T315" s="933"/>
      <c r="U315" s="933"/>
      <c r="V315" s="933"/>
      <c r="W315" s="933"/>
      <c r="X315" s="933"/>
      <c r="Y315" s="933"/>
      <c r="Z315" s="933"/>
      <c r="AA315" s="933"/>
      <c r="AB315" s="933"/>
      <c r="AC315" s="933"/>
      <c r="AD315" s="933"/>
    </row>
    <row r="316" spans="1:30" ht="12.75">
      <c r="A316" s="933"/>
      <c r="B316" s="933"/>
      <c r="C316" s="933"/>
      <c r="D316" s="933"/>
      <c r="E316" s="933"/>
      <c r="F316" s="933"/>
      <c r="G316" s="933"/>
      <c r="H316" s="933"/>
      <c r="I316" s="933"/>
      <c r="J316" s="933"/>
      <c r="K316" s="935"/>
      <c r="L316" s="933"/>
      <c r="M316" s="933"/>
      <c r="N316" s="945"/>
      <c r="O316" s="933"/>
      <c r="P316" s="933"/>
      <c r="Q316" s="933"/>
      <c r="R316" s="933"/>
      <c r="S316" s="933"/>
      <c r="T316" s="933"/>
      <c r="U316" s="933"/>
      <c r="V316" s="933"/>
      <c r="W316" s="933"/>
      <c r="X316" s="933"/>
      <c r="Y316" s="933"/>
      <c r="Z316" s="933"/>
      <c r="AA316" s="933"/>
      <c r="AB316" s="933"/>
      <c r="AC316" s="933"/>
      <c r="AD316" s="933"/>
    </row>
    <row r="317" spans="1:30" ht="12.75">
      <c r="A317" s="933"/>
      <c r="B317" s="933"/>
      <c r="C317" s="933"/>
      <c r="D317" s="933"/>
      <c r="E317" s="933"/>
      <c r="F317" s="933"/>
      <c r="G317" s="933"/>
      <c r="H317" s="933"/>
      <c r="I317" s="933"/>
      <c r="J317" s="933"/>
      <c r="K317" s="935"/>
      <c r="L317" s="933"/>
      <c r="M317" s="933"/>
      <c r="N317" s="945"/>
      <c r="O317" s="933"/>
      <c r="P317" s="933"/>
      <c r="Q317" s="933"/>
      <c r="R317" s="933"/>
      <c r="S317" s="933"/>
      <c r="T317" s="933"/>
      <c r="U317" s="933"/>
      <c r="V317" s="933"/>
      <c r="W317" s="933"/>
      <c r="X317" s="933"/>
      <c r="Y317" s="933"/>
      <c r="Z317" s="933"/>
      <c r="AA317" s="933"/>
      <c r="AB317" s="933"/>
      <c r="AC317" s="933"/>
      <c r="AD317" s="933"/>
    </row>
    <row r="318" spans="1:30" ht="12.75">
      <c r="A318" s="933"/>
      <c r="B318" s="933"/>
      <c r="C318" s="933"/>
      <c r="D318" s="933"/>
      <c r="E318" s="933"/>
      <c r="F318" s="933"/>
      <c r="G318" s="933"/>
      <c r="H318" s="933"/>
      <c r="I318" s="933"/>
      <c r="J318" s="933"/>
      <c r="K318" s="935"/>
      <c r="L318" s="933"/>
      <c r="M318" s="933"/>
      <c r="N318" s="945"/>
      <c r="O318" s="933"/>
      <c r="P318" s="933"/>
      <c r="Q318" s="933"/>
      <c r="R318" s="933"/>
      <c r="S318" s="933"/>
      <c r="T318" s="933"/>
      <c r="U318" s="933"/>
      <c r="V318" s="933"/>
      <c r="W318" s="933"/>
      <c r="X318" s="933"/>
      <c r="Y318" s="933"/>
      <c r="Z318" s="933"/>
      <c r="AA318" s="933"/>
      <c r="AB318" s="933"/>
      <c r="AC318" s="933"/>
      <c r="AD318" s="933"/>
    </row>
    <row r="319" spans="1:30" ht="12.75">
      <c r="A319" s="933"/>
      <c r="B319" s="933"/>
      <c r="C319" s="933"/>
      <c r="D319" s="933"/>
      <c r="E319" s="933"/>
      <c r="F319" s="933"/>
      <c r="G319" s="933"/>
      <c r="H319" s="933"/>
      <c r="I319" s="933"/>
      <c r="J319" s="933"/>
      <c r="K319" s="935"/>
      <c r="L319" s="933"/>
      <c r="M319" s="933"/>
      <c r="N319" s="945"/>
      <c r="O319" s="933"/>
      <c r="P319" s="933"/>
      <c r="Q319" s="933"/>
      <c r="R319" s="933"/>
      <c r="S319" s="933"/>
      <c r="T319" s="933"/>
      <c r="U319" s="933"/>
      <c r="V319" s="933"/>
      <c r="W319" s="933"/>
      <c r="X319" s="933"/>
      <c r="Y319" s="933"/>
      <c r="Z319" s="933"/>
      <c r="AA319" s="933"/>
      <c r="AB319" s="933"/>
      <c r="AC319" s="933"/>
      <c r="AD319" s="933"/>
    </row>
    <row r="320" spans="1:30" ht="12.75">
      <c r="A320" s="933"/>
      <c r="B320" s="933"/>
      <c r="C320" s="933"/>
      <c r="D320" s="933"/>
      <c r="E320" s="933"/>
      <c r="F320" s="933"/>
      <c r="G320" s="933"/>
      <c r="H320" s="933"/>
      <c r="I320" s="933"/>
      <c r="J320" s="933"/>
      <c r="K320" s="935"/>
      <c r="L320" s="933"/>
      <c r="M320" s="933"/>
      <c r="N320" s="945"/>
      <c r="O320" s="933"/>
      <c r="P320" s="933"/>
      <c r="Q320" s="933"/>
      <c r="R320" s="933"/>
      <c r="S320" s="933"/>
      <c r="T320" s="933"/>
      <c r="U320" s="933"/>
      <c r="V320" s="933"/>
      <c r="W320" s="933"/>
      <c r="X320" s="933"/>
      <c r="Y320" s="933"/>
      <c r="Z320" s="933"/>
      <c r="AA320" s="933"/>
      <c r="AB320" s="933"/>
      <c r="AC320" s="933"/>
      <c r="AD320" s="933"/>
    </row>
    <row r="321" spans="1:30" ht="12.75">
      <c r="A321" s="933"/>
      <c r="B321" s="933"/>
      <c r="C321" s="933"/>
      <c r="D321" s="933"/>
      <c r="E321" s="933"/>
      <c r="F321" s="933"/>
      <c r="G321" s="933"/>
      <c r="H321" s="933"/>
      <c r="I321" s="933"/>
      <c r="J321" s="933"/>
      <c r="K321" s="935"/>
      <c r="L321" s="933"/>
      <c r="M321" s="933"/>
      <c r="N321" s="945"/>
      <c r="O321" s="933"/>
      <c r="P321" s="933"/>
      <c r="Q321" s="933"/>
      <c r="R321" s="933"/>
      <c r="S321" s="933"/>
      <c r="T321" s="933"/>
      <c r="U321" s="933"/>
      <c r="V321" s="933"/>
      <c r="W321" s="933"/>
      <c r="X321" s="933"/>
      <c r="Y321" s="933"/>
      <c r="Z321" s="933"/>
      <c r="AA321" s="933"/>
      <c r="AB321" s="933"/>
      <c r="AC321" s="933"/>
      <c r="AD321" s="933"/>
    </row>
    <row r="322" spans="1:30" ht="12.75">
      <c r="A322" s="933"/>
      <c r="B322" s="933"/>
      <c r="C322" s="933"/>
      <c r="D322" s="933"/>
      <c r="E322" s="933"/>
      <c r="F322" s="933"/>
      <c r="G322" s="933"/>
      <c r="H322" s="933"/>
      <c r="I322" s="933"/>
      <c r="J322" s="933"/>
      <c r="K322" s="935"/>
      <c r="L322" s="933"/>
      <c r="M322" s="933"/>
      <c r="N322" s="945"/>
      <c r="O322" s="933"/>
      <c r="P322" s="933"/>
      <c r="Q322" s="933"/>
      <c r="R322" s="933"/>
      <c r="S322" s="933"/>
      <c r="T322" s="933"/>
      <c r="U322" s="933"/>
      <c r="V322" s="933"/>
      <c r="W322" s="933"/>
      <c r="X322" s="933"/>
      <c r="Y322" s="933"/>
      <c r="Z322" s="933"/>
      <c r="AA322" s="933"/>
      <c r="AB322" s="933"/>
      <c r="AC322" s="933"/>
      <c r="AD322" s="933"/>
    </row>
    <row r="323" spans="1:30" ht="12.75">
      <c r="A323" s="933"/>
      <c r="B323" s="933"/>
      <c r="C323" s="933"/>
      <c r="D323" s="933"/>
      <c r="E323" s="933"/>
      <c r="F323" s="933"/>
      <c r="G323" s="933"/>
      <c r="H323" s="933"/>
      <c r="I323" s="933"/>
      <c r="J323" s="933"/>
      <c r="K323" s="935"/>
      <c r="L323" s="933"/>
      <c r="M323" s="933"/>
      <c r="N323" s="945"/>
      <c r="O323" s="933"/>
      <c r="P323" s="933"/>
      <c r="Q323" s="933"/>
      <c r="R323" s="933"/>
      <c r="S323" s="933"/>
      <c r="T323" s="933"/>
      <c r="U323" s="933"/>
      <c r="V323" s="933"/>
      <c r="W323" s="933"/>
      <c r="X323" s="933"/>
      <c r="Y323" s="933"/>
      <c r="Z323" s="933"/>
      <c r="AA323" s="933"/>
      <c r="AB323" s="933"/>
      <c r="AC323" s="933"/>
      <c r="AD323" s="933"/>
    </row>
    <row r="324" spans="1:30" ht="12.75">
      <c r="A324" s="933"/>
      <c r="B324" s="933"/>
      <c r="C324" s="933"/>
      <c r="D324" s="933"/>
      <c r="E324" s="933"/>
      <c r="F324" s="933"/>
      <c r="G324" s="933"/>
      <c r="H324" s="933"/>
      <c r="I324" s="933"/>
      <c r="J324" s="933"/>
      <c r="K324" s="935"/>
      <c r="L324" s="933"/>
      <c r="M324" s="933"/>
      <c r="N324" s="945"/>
      <c r="O324" s="933"/>
      <c r="P324" s="933"/>
      <c r="Q324" s="933"/>
      <c r="R324" s="933"/>
      <c r="S324" s="933"/>
      <c r="T324" s="933"/>
      <c r="U324" s="933"/>
      <c r="V324" s="933"/>
      <c r="W324" s="933"/>
      <c r="X324" s="933"/>
      <c r="Y324" s="933"/>
      <c r="Z324" s="933"/>
      <c r="AA324" s="933"/>
      <c r="AB324" s="933"/>
      <c r="AC324" s="933"/>
      <c r="AD324" s="933"/>
    </row>
    <row r="325" spans="1:30" ht="12.75">
      <c r="A325" s="933"/>
      <c r="B325" s="933"/>
      <c r="C325" s="933"/>
      <c r="D325" s="933"/>
      <c r="E325" s="933"/>
      <c r="F325" s="933"/>
      <c r="G325" s="933"/>
      <c r="H325" s="933"/>
      <c r="I325" s="933"/>
      <c r="J325" s="933"/>
      <c r="K325" s="935"/>
      <c r="L325" s="933"/>
      <c r="M325" s="933"/>
      <c r="N325" s="945"/>
      <c r="O325" s="933"/>
      <c r="P325" s="933"/>
      <c r="Q325" s="933"/>
      <c r="R325" s="933"/>
      <c r="S325" s="933"/>
      <c r="T325" s="933"/>
      <c r="U325" s="933"/>
      <c r="V325" s="933"/>
      <c r="W325" s="933"/>
      <c r="X325" s="933"/>
      <c r="Y325" s="933"/>
      <c r="Z325" s="933"/>
      <c r="AA325" s="933"/>
      <c r="AB325" s="933"/>
      <c r="AC325" s="933"/>
      <c r="AD325" s="933"/>
    </row>
    <row r="326" spans="1:30" ht="12.75">
      <c r="A326" s="933"/>
      <c r="B326" s="933"/>
      <c r="C326" s="933"/>
      <c r="D326" s="933"/>
      <c r="E326" s="933"/>
      <c r="F326" s="933"/>
      <c r="G326" s="933"/>
      <c r="H326" s="933"/>
      <c r="I326" s="933"/>
      <c r="J326" s="933"/>
      <c r="K326" s="935"/>
      <c r="L326" s="933"/>
      <c r="M326" s="933"/>
      <c r="N326" s="945"/>
      <c r="O326" s="933"/>
      <c r="P326" s="933"/>
      <c r="Q326" s="933"/>
      <c r="R326" s="933"/>
      <c r="S326" s="933"/>
      <c r="T326" s="933"/>
      <c r="U326" s="933"/>
      <c r="V326" s="933"/>
      <c r="W326" s="933"/>
      <c r="X326" s="933"/>
      <c r="Y326" s="933"/>
      <c r="Z326" s="933"/>
      <c r="AA326" s="933"/>
      <c r="AB326" s="933"/>
      <c r="AC326" s="933"/>
      <c r="AD326" s="933"/>
    </row>
    <row r="327" spans="1:30" ht="12.75">
      <c r="A327" s="933"/>
      <c r="B327" s="933"/>
      <c r="C327" s="933"/>
      <c r="D327" s="933"/>
      <c r="E327" s="933"/>
      <c r="F327" s="933"/>
      <c r="G327" s="933"/>
      <c r="H327" s="933"/>
      <c r="I327" s="933"/>
      <c r="J327" s="933"/>
      <c r="K327" s="935"/>
      <c r="L327" s="933"/>
      <c r="M327" s="933"/>
      <c r="N327" s="945"/>
      <c r="O327" s="933"/>
      <c r="P327" s="933"/>
      <c r="Q327" s="933"/>
      <c r="R327" s="933"/>
      <c r="S327" s="933"/>
      <c r="T327" s="933"/>
      <c r="U327" s="933"/>
      <c r="V327" s="933"/>
      <c r="W327" s="933"/>
      <c r="X327" s="933"/>
      <c r="Y327" s="933"/>
      <c r="Z327" s="933"/>
      <c r="AA327" s="933"/>
      <c r="AB327" s="933"/>
      <c r="AC327" s="933"/>
      <c r="AD327" s="933"/>
    </row>
    <row r="328" spans="1:30" ht="12.75">
      <c r="A328" s="933"/>
      <c r="B328" s="933"/>
      <c r="C328" s="933"/>
      <c r="D328" s="933"/>
      <c r="E328" s="933"/>
      <c r="F328" s="933"/>
      <c r="G328" s="933"/>
      <c r="H328" s="933"/>
      <c r="I328" s="933"/>
      <c r="J328" s="933"/>
      <c r="K328" s="935"/>
      <c r="L328" s="933"/>
      <c r="M328" s="933"/>
      <c r="N328" s="945"/>
      <c r="O328" s="933"/>
      <c r="P328" s="933"/>
      <c r="Q328" s="933"/>
      <c r="R328" s="933"/>
      <c r="S328" s="933"/>
      <c r="T328" s="933"/>
      <c r="U328" s="933"/>
      <c r="V328" s="933"/>
      <c r="W328" s="933"/>
      <c r="X328" s="933"/>
      <c r="Y328" s="933"/>
      <c r="Z328" s="933"/>
      <c r="AA328" s="933"/>
      <c r="AB328" s="933"/>
      <c r="AC328" s="933"/>
      <c r="AD328" s="933"/>
    </row>
    <row r="329" spans="1:30" ht="12.75">
      <c r="A329" s="933"/>
      <c r="B329" s="933"/>
      <c r="C329" s="933"/>
      <c r="D329" s="933"/>
      <c r="E329" s="933"/>
      <c r="F329" s="933"/>
      <c r="G329" s="933"/>
      <c r="H329" s="933"/>
      <c r="I329" s="933"/>
      <c r="J329" s="933"/>
      <c r="K329" s="935"/>
      <c r="L329" s="933"/>
      <c r="M329" s="933"/>
      <c r="N329" s="945"/>
      <c r="O329" s="933"/>
      <c r="P329" s="933"/>
      <c r="Q329" s="933"/>
      <c r="R329" s="933"/>
      <c r="S329" s="933"/>
      <c r="T329" s="933"/>
      <c r="U329" s="933"/>
      <c r="V329" s="933"/>
      <c r="W329" s="933"/>
      <c r="X329" s="933"/>
      <c r="Y329" s="933"/>
      <c r="Z329" s="933"/>
      <c r="AA329" s="933"/>
      <c r="AB329" s="933"/>
      <c r="AC329" s="933"/>
      <c r="AD329" s="933"/>
    </row>
    <row r="330" spans="1:30" ht="12.75">
      <c r="A330" s="933"/>
      <c r="B330" s="933"/>
      <c r="C330" s="933"/>
      <c r="D330" s="933"/>
      <c r="E330" s="933"/>
      <c r="F330" s="933"/>
      <c r="G330" s="933"/>
      <c r="H330" s="933"/>
      <c r="I330" s="933"/>
      <c r="J330" s="933"/>
      <c r="K330" s="935"/>
      <c r="L330" s="933"/>
      <c r="M330" s="933"/>
      <c r="N330" s="945"/>
      <c r="O330" s="933"/>
      <c r="P330" s="933"/>
      <c r="Q330" s="933"/>
      <c r="R330" s="933"/>
      <c r="S330" s="933"/>
      <c r="T330" s="933"/>
      <c r="U330" s="933"/>
      <c r="V330" s="933"/>
      <c r="W330" s="933"/>
      <c r="X330" s="933"/>
      <c r="Y330" s="933"/>
      <c r="Z330" s="933"/>
      <c r="AA330" s="933"/>
      <c r="AB330" s="933"/>
      <c r="AC330" s="933"/>
      <c r="AD330" s="933"/>
    </row>
    <row r="331" spans="1:30" ht="12.75">
      <c r="A331" s="933"/>
      <c r="B331" s="933"/>
      <c r="C331" s="933"/>
      <c r="D331" s="933"/>
      <c r="E331" s="933"/>
      <c r="F331" s="933"/>
      <c r="G331" s="933"/>
      <c r="H331" s="933"/>
      <c r="I331" s="933"/>
      <c r="J331" s="933"/>
      <c r="K331" s="935"/>
      <c r="L331" s="933"/>
      <c r="M331" s="933"/>
      <c r="N331" s="945"/>
      <c r="O331" s="933"/>
      <c r="P331" s="933"/>
      <c r="Q331" s="933"/>
      <c r="R331" s="933"/>
      <c r="S331" s="933"/>
      <c r="T331" s="933"/>
      <c r="U331" s="933"/>
      <c r="V331" s="933"/>
      <c r="W331" s="933"/>
      <c r="X331" s="933"/>
      <c r="Y331" s="933"/>
      <c r="Z331" s="933"/>
      <c r="AA331" s="933"/>
      <c r="AB331" s="933"/>
      <c r="AC331" s="933"/>
      <c r="AD331" s="933"/>
    </row>
    <row r="332" spans="1:30" ht="12.75">
      <c r="A332" s="933"/>
      <c r="B332" s="933"/>
      <c r="C332" s="933"/>
      <c r="D332" s="933"/>
      <c r="E332" s="933"/>
      <c r="F332" s="933"/>
      <c r="G332" s="933"/>
      <c r="H332" s="933"/>
      <c r="I332" s="933"/>
      <c r="J332" s="933"/>
      <c r="K332" s="935"/>
      <c r="L332" s="933"/>
      <c r="M332" s="933"/>
      <c r="N332" s="945"/>
      <c r="O332" s="933"/>
      <c r="P332" s="933"/>
      <c r="Q332" s="933"/>
      <c r="R332" s="933"/>
      <c r="S332" s="933"/>
      <c r="T332" s="933"/>
      <c r="U332" s="933"/>
      <c r="V332" s="933"/>
      <c r="W332" s="933"/>
      <c r="X332" s="933"/>
      <c r="Y332" s="933"/>
      <c r="Z332" s="933"/>
      <c r="AA332" s="933"/>
      <c r="AB332" s="933"/>
      <c r="AC332" s="933"/>
      <c r="AD332" s="933"/>
    </row>
    <row r="333" spans="1:30" ht="12.75">
      <c r="A333" s="933"/>
      <c r="B333" s="933"/>
      <c r="C333" s="933"/>
      <c r="D333" s="933"/>
      <c r="E333" s="933"/>
      <c r="F333" s="933"/>
      <c r="G333" s="933"/>
      <c r="H333" s="933"/>
      <c r="I333" s="933"/>
      <c r="J333" s="933"/>
      <c r="K333" s="935"/>
      <c r="L333" s="933"/>
      <c r="M333" s="933"/>
      <c r="N333" s="945"/>
      <c r="O333" s="933"/>
      <c r="P333" s="933"/>
      <c r="Q333" s="933"/>
      <c r="R333" s="933"/>
      <c r="S333" s="933"/>
      <c r="T333" s="933"/>
      <c r="U333" s="933"/>
      <c r="V333" s="933"/>
      <c r="W333" s="933"/>
      <c r="X333" s="933"/>
      <c r="Y333" s="933"/>
      <c r="Z333" s="933"/>
      <c r="AA333" s="933"/>
      <c r="AB333" s="933"/>
      <c r="AC333" s="933"/>
      <c r="AD333" s="933"/>
    </row>
    <row r="334" spans="1:30" ht="12.75">
      <c r="A334" s="933"/>
      <c r="B334" s="933"/>
      <c r="C334" s="933"/>
      <c r="D334" s="933"/>
      <c r="E334" s="933"/>
      <c r="F334" s="933"/>
      <c r="G334" s="933"/>
      <c r="H334" s="933"/>
      <c r="I334" s="933"/>
      <c r="J334" s="933"/>
      <c r="K334" s="935"/>
      <c r="L334" s="933"/>
      <c r="M334" s="933"/>
      <c r="N334" s="945"/>
      <c r="O334" s="933"/>
      <c r="P334" s="933"/>
      <c r="Q334" s="933"/>
      <c r="R334" s="933"/>
      <c r="S334" s="933"/>
      <c r="T334" s="933"/>
      <c r="U334" s="933"/>
      <c r="V334" s="933"/>
      <c r="W334" s="933"/>
      <c r="X334" s="933"/>
      <c r="Y334" s="933"/>
      <c r="Z334" s="933"/>
      <c r="AA334" s="933"/>
      <c r="AB334" s="933"/>
      <c r="AC334" s="933"/>
      <c r="AD334" s="933"/>
    </row>
    <row r="335" spans="1:30" ht="12.75">
      <c r="A335" s="933"/>
      <c r="B335" s="933"/>
      <c r="C335" s="933"/>
      <c r="D335" s="933"/>
      <c r="E335" s="933"/>
      <c r="F335" s="933"/>
      <c r="G335" s="933"/>
      <c r="H335" s="933"/>
      <c r="I335" s="933"/>
      <c r="J335" s="933"/>
      <c r="K335" s="935"/>
      <c r="L335" s="933"/>
      <c r="M335" s="933"/>
      <c r="N335" s="945"/>
      <c r="O335" s="933"/>
      <c r="P335" s="933"/>
      <c r="Q335" s="933"/>
      <c r="R335" s="933"/>
      <c r="S335" s="933"/>
      <c r="T335" s="933"/>
      <c r="U335" s="933"/>
      <c r="V335" s="933"/>
      <c r="W335" s="933"/>
      <c r="X335" s="933"/>
      <c r="Y335" s="933"/>
      <c r="Z335" s="933"/>
      <c r="AA335" s="933"/>
      <c r="AB335" s="933"/>
      <c r="AC335" s="933"/>
      <c r="AD335" s="933"/>
    </row>
    <row r="336" spans="1:30" ht="12.75">
      <c r="A336" s="933"/>
      <c r="B336" s="933"/>
      <c r="C336" s="933"/>
      <c r="D336" s="933"/>
      <c r="E336" s="933"/>
      <c r="F336" s="933"/>
      <c r="G336" s="933"/>
      <c r="H336" s="933"/>
      <c r="I336" s="933"/>
      <c r="J336" s="933"/>
      <c r="K336" s="935"/>
      <c r="L336" s="933"/>
      <c r="M336" s="933"/>
      <c r="N336" s="945"/>
      <c r="O336" s="933"/>
      <c r="P336" s="933"/>
      <c r="Q336" s="933"/>
      <c r="R336" s="933"/>
      <c r="S336" s="933"/>
      <c r="T336" s="933"/>
      <c r="U336" s="933"/>
      <c r="V336" s="933"/>
      <c r="W336" s="933"/>
      <c r="X336" s="933"/>
      <c r="Y336" s="933"/>
      <c r="Z336" s="933"/>
      <c r="AA336" s="933"/>
      <c r="AB336" s="933"/>
      <c r="AC336" s="933"/>
      <c r="AD336" s="933"/>
    </row>
    <row r="337" spans="1:30" ht="12.75">
      <c r="A337" s="933"/>
      <c r="B337" s="933"/>
      <c r="C337" s="933"/>
      <c r="D337" s="933"/>
      <c r="E337" s="933"/>
      <c r="F337" s="933"/>
      <c r="G337" s="933"/>
      <c r="H337" s="933"/>
      <c r="I337" s="933"/>
      <c r="J337" s="933"/>
      <c r="K337" s="935"/>
      <c r="L337" s="933"/>
      <c r="M337" s="933"/>
      <c r="N337" s="945"/>
      <c r="O337" s="933"/>
      <c r="P337" s="933"/>
      <c r="Q337" s="933"/>
      <c r="R337" s="933"/>
      <c r="S337" s="933"/>
      <c r="T337" s="933"/>
      <c r="U337" s="933"/>
      <c r="V337" s="933"/>
      <c r="W337" s="933"/>
      <c r="X337" s="933"/>
      <c r="Y337" s="933"/>
      <c r="Z337" s="933"/>
      <c r="AA337" s="933"/>
      <c r="AB337" s="933"/>
      <c r="AC337" s="933"/>
      <c r="AD337" s="933"/>
    </row>
    <row r="338" spans="1:30" ht="12.75">
      <c r="A338" s="933"/>
      <c r="B338" s="933"/>
      <c r="C338" s="933"/>
      <c r="D338" s="933"/>
      <c r="E338" s="933"/>
      <c r="F338" s="933"/>
      <c r="G338" s="933"/>
      <c r="H338" s="933"/>
      <c r="I338" s="933"/>
      <c r="J338" s="933"/>
      <c r="K338" s="935"/>
      <c r="L338" s="933"/>
      <c r="M338" s="933"/>
      <c r="N338" s="945"/>
      <c r="O338" s="933"/>
      <c r="P338" s="933"/>
      <c r="Q338" s="933"/>
      <c r="R338" s="933"/>
      <c r="S338" s="933"/>
      <c r="T338" s="933"/>
      <c r="U338" s="933"/>
      <c r="V338" s="933"/>
      <c r="W338" s="933"/>
      <c r="X338" s="933"/>
      <c r="Y338" s="933"/>
      <c r="Z338" s="933"/>
      <c r="AA338" s="933"/>
      <c r="AB338" s="933"/>
      <c r="AC338" s="933"/>
      <c r="AD338" s="933"/>
    </row>
    <row r="339" spans="1:30" ht="12.75">
      <c r="A339" s="933"/>
      <c r="B339" s="933"/>
      <c r="C339" s="933"/>
      <c r="D339" s="933"/>
      <c r="E339" s="933"/>
      <c r="F339" s="933"/>
      <c r="G339" s="933"/>
      <c r="H339" s="933"/>
      <c r="I339" s="933"/>
      <c r="J339" s="933"/>
      <c r="K339" s="935"/>
      <c r="L339" s="933"/>
      <c r="M339" s="933"/>
      <c r="N339" s="945"/>
      <c r="O339" s="933"/>
      <c r="P339" s="933"/>
      <c r="Q339" s="933"/>
      <c r="R339" s="933"/>
      <c r="S339" s="933"/>
      <c r="T339" s="933"/>
      <c r="U339" s="933"/>
      <c r="V339" s="933"/>
      <c r="W339" s="933"/>
      <c r="X339" s="933"/>
      <c r="Y339" s="933"/>
      <c r="Z339" s="933"/>
      <c r="AA339" s="933"/>
      <c r="AB339" s="933"/>
      <c r="AC339" s="933"/>
      <c r="AD339" s="933"/>
    </row>
    <row r="340" spans="1:30" ht="12.75">
      <c r="A340" s="933"/>
      <c r="B340" s="933"/>
      <c r="C340" s="933"/>
      <c r="D340" s="933"/>
      <c r="E340" s="933"/>
      <c r="F340" s="933"/>
      <c r="G340" s="933"/>
      <c r="H340" s="933"/>
      <c r="I340" s="933"/>
      <c r="J340" s="933"/>
      <c r="K340" s="935"/>
      <c r="L340" s="933"/>
      <c r="M340" s="933"/>
      <c r="N340" s="945"/>
      <c r="O340" s="933"/>
      <c r="P340" s="933"/>
      <c r="Q340" s="933"/>
      <c r="R340" s="933"/>
      <c r="S340" s="933"/>
      <c r="T340" s="933"/>
      <c r="U340" s="933"/>
      <c r="V340" s="933"/>
      <c r="W340" s="933"/>
      <c r="X340" s="933"/>
      <c r="Y340" s="933"/>
      <c r="Z340" s="933"/>
      <c r="AA340" s="933"/>
      <c r="AB340" s="933"/>
      <c r="AC340" s="933"/>
      <c r="AD340" s="933"/>
    </row>
    <row r="341" spans="1:30" ht="12.75">
      <c r="A341" s="933"/>
      <c r="B341" s="933"/>
      <c r="C341" s="933"/>
      <c r="D341" s="933"/>
      <c r="E341" s="933"/>
      <c r="F341" s="933"/>
      <c r="G341" s="933"/>
      <c r="H341" s="933"/>
      <c r="I341" s="933"/>
      <c r="J341" s="933"/>
      <c r="K341" s="935"/>
      <c r="L341" s="933"/>
      <c r="M341" s="933"/>
      <c r="N341" s="945"/>
      <c r="O341" s="933"/>
      <c r="P341" s="933"/>
      <c r="Q341" s="933"/>
      <c r="R341" s="933"/>
      <c r="S341" s="933"/>
      <c r="T341" s="933"/>
      <c r="U341" s="933"/>
      <c r="V341" s="933"/>
      <c r="W341" s="933"/>
      <c r="X341" s="933"/>
      <c r="Y341" s="933"/>
      <c r="Z341" s="933"/>
      <c r="AA341" s="933"/>
      <c r="AB341" s="933"/>
      <c r="AC341" s="933"/>
      <c r="AD341" s="933"/>
    </row>
    <row r="342" spans="1:30" ht="12.75">
      <c r="A342" s="933"/>
      <c r="B342" s="933"/>
      <c r="C342" s="933"/>
      <c r="D342" s="933"/>
      <c r="E342" s="933"/>
      <c r="F342" s="933"/>
      <c r="G342" s="933"/>
      <c r="H342" s="933"/>
      <c r="I342" s="933"/>
      <c r="J342" s="933"/>
      <c r="K342" s="935"/>
      <c r="L342" s="933"/>
      <c r="M342" s="933"/>
      <c r="N342" s="945"/>
      <c r="O342" s="933"/>
      <c r="P342" s="933"/>
      <c r="Q342" s="933"/>
      <c r="R342" s="933"/>
      <c r="S342" s="933"/>
      <c r="T342" s="933"/>
      <c r="U342" s="933"/>
      <c r="V342" s="933"/>
      <c r="W342" s="933"/>
      <c r="X342" s="933"/>
      <c r="Y342" s="933"/>
      <c r="Z342" s="933"/>
      <c r="AA342" s="933"/>
      <c r="AB342" s="933"/>
      <c r="AC342" s="933"/>
      <c r="AD342" s="933"/>
    </row>
    <row r="343" spans="1:30" ht="12.75">
      <c r="A343" s="933"/>
      <c r="B343" s="933"/>
      <c r="C343" s="933"/>
      <c r="D343" s="933"/>
      <c r="E343" s="933"/>
      <c r="F343" s="933"/>
      <c r="G343" s="933"/>
      <c r="H343" s="933"/>
      <c r="I343" s="933"/>
      <c r="J343" s="933"/>
      <c r="K343" s="935"/>
      <c r="L343" s="933"/>
      <c r="M343" s="933"/>
      <c r="N343" s="945"/>
      <c r="O343" s="933"/>
      <c r="P343" s="933"/>
      <c r="Q343" s="933"/>
      <c r="R343" s="933"/>
      <c r="S343" s="933"/>
      <c r="T343" s="933"/>
      <c r="U343" s="933"/>
      <c r="V343" s="933"/>
      <c r="W343" s="933"/>
      <c r="X343" s="933"/>
      <c r="Y343" s="933"/>
      <c r="Z343" s="933"/>
      <c r="AA343" s="933"/>
      <c r="AB343" s="933"/>
      <c r="AC343" s="933"/>
      <c r="AD343" s="933"/>
    </row>
    <row r="344" spans="1:30" ht="12.75">
      <c r="A344" s="933"/>
      <c r="B344" s="933"/>
      <c r="C344" s="933"/>
      <c r="D344" s="933"/>
      <c r="E344" s="933"/>
      <c r="F344" s="933"/>
      <c r="G344" s="933"/>
      <c r="H344" s="933"/>
      <c r="I344" s="933"/>
      <c r="J344" s="933"/>
      <c r="K344" s="935"/>
      <c r="L344" s="933"/>
      <c r="M344" s="933"/>
      <c r="N344" s="945"/>
      <c r="O344" s="933"/>
      <c r="P344" s="933"/>
      <c r="Q344" s="933"/>
      <c r="R344" s="933"/>
      <c r="S344" s="933"/>
      <c r="T344" s="933"/>
      <c r="U344" s="933"/>
      <c r="V344" s="933"/>
      <c r="W344" s="933"/>
      <c r="X344" s="933"/>
      <c r="Y344" s="933"/>
      <c r="Z344" s="933"/>
      <c r="AA344" s="933"/>
      <c r="AB344" s="933"/>
      <c r="AC344" s="933"/>
      <c r="AD344" s="933"/>
    </row>
    <row r="345" spans="1:30" ht="12.75">
      <c r="A345" s="933"/>
      <c r="B345" s="933"/>
      <c r="C345" s="933"/>
      <c r="D345" s="933"/>
      <c r="E345" s="933"/>
      <c r="F345" s="933"/>
      <c r="G345" s="933"/>
      <c r="H345" s="933"/>
      <c r="I345" s="933"/>
      <c r="J345" s="933"/>
      <c r="K345" s="935"/>
      <c r="L345" s="933"/>
      <c r="M345" s="933"/>
      <c r="N345" s="945"/>
      <c r="O345" s="933"/>
      <c r="P345" s="933"/>
      <c r="Q345" s="933"/>
      <c r="R345" s="933"/>
      <c r="S345" s="933"/>
      <c r="T345" s="933"/>
      <c r="U345" s="933"/>
      <c r="V345" s="933"/>
      <c r="W345" s="933"/>
      <c r="X345" s="933"/>
      <c r="Y345" s="933"/>
      <c r="Z345" s="933"/>
      <c r="AA345" s="933"/>
      <c r="AB345" s="933"/>
      <c r="AC345" s="933"/>
      <c r="AD345" s="933"/>
    </row>
    <row r="346" spans="1:30" ht="12.75">
      <c r="A346" s="933"/>
      <c r="B346" s="933"/>
      <c r="C346" s="933"/>
      <c r="D346" s="933"/>
      <c r="E346" s="933"/>
      <c r="F346" s="933"/>
      <c r="G346" s="933"/>
      <c r="H346" s="933"/>
      <c r="I346" s="933"/>
      <c r="J346" s="933"/>
      <c r="K346" s="935"/>
      <c r="L346" s="933"/>
      <c r="M346" s="933"/>
      <c r="N346" s="945"/>
      <c r="O346" s="933"/>
      <c r="P346" s="933"/>
      <c r="Q346" s="933"/>
      <c r="R346" s="933"/>
      <c r="S346" s="933"/>
      <c r="T346" s="933"/>
      <c r="U346" s="933"/>
      <c r="V346" s="933"/>
      <c r="W346" s="933"/>
      <c r="X346" s="933"/>
      <c r="Y346" s="933"/>
      <c r="Z346" s="933"/>
      <c r="AA346" s="933"/>
      <c r="AB346" s="933"/>
      <c r="AC346" s="933"/>
      <c r="AD346" s="933"/>
    </row>
    <row r="347" spans="1:30" ht="12.75">
      <c r="A347" s="933"/>
      <c r="B347" s="933"/>
      <c r="C347" s="933"/>
      <c r="D347" s="933"/>
      <c r="E347" s="933"/>
      <c r="F347" s="933"/>
      <c r="G347" s="933"/>
      <c r="H347" s="933"/>
      <c r="I347" s="933"/>
      <c r="J347" s="933"/>
      <c r="K347" s="935"/>
      <c r="L347" s="933"/>
      <c r="M347" s="933"/>
      <c r="N347" s="945"/>
      <c r="O347" s="933"/>
      <c r="P347" s="933"/>
      <c r="Q347" s="933"/>
      <c r="R347" s="933"/>
      <c r="S347" s="933"/>
      <c r="T347" s="933"/>
      <c r="U347" s="933"/>
      <c r="V347" s="933"/>
      <c r="W347" s="933"/>
      <c r="X347" s="933"/>
      <c r="Y347" s="933"/>
      <c r="Z347" s="933"/>
      <c r="AA347" s="933"/>
      <c r="AB347" s="933"/>
      <c r="AC347" s="933"/>
      <c r="AD347" s="933"/>
    </row>
    <row r="348" spans="1:30" ht="12.75">
      <c r="A348" s="933"/>
      <c r="B348" s="933"/>
      <c r="C348" s="933"/>
      <c r="D348" s="933"/>
      <c r="E348" s="933"/>
      <c r="F348" s="933"/>
      <c r="G348" s="933"/>
      <c r="H348" s="933"/>
      <c r="I348" s="933"/>
      <c r="J348" s="933"/>
      <c r="K348" s="935"/>
      <c r="L348" s="933"/>
      <c r="M348" s="933"/>
      <c r="N348" s="945"/>
      <c r="O348" s="933"/>
      <c r="P348" s="933"/>
      <c r="Q348" s="933"/>
      <c r="R348" s="933"/>
      <c r="S348" s="933"/>
      <c r="T348" s="933"/>
      <c r="U348" s="933"/>
      <c r="V348" s="933"/>
      <c r="W348" s="933"/>
      <c r="X348" s="933"/>
      <c r="Y348" s="933"/>
      <c r="Z348" s="933"/>
      <c r="AA348" s="933"/>
      <c r="AB348" s="933"/>
      <c r="AC348" s="933"/>
      <c r="AD348" s="933"/>
    </row>
    <row r="349" spans="1:30" ht="12.75">
      <c r="A349" s="933"/>
      <c r="B349" s="933"/>
      <c r="C349" s="933"/>
      <c r="D349" s="933"/>
      <c r="E349" s="933"/>
      <c r="F349" s="933"/>
      <c r="G349" s="933"/>
      <c r="H349" s="933"/>
      <c r="I349" s="933"/>
      <c r="J349" s="933"/>
      <c r="K349" s="935"/>
      <c r="L349" s="933"/>
      <c r="M349" s="933"/>
      <c r="N349" s="945"/>
      <c r="O349" s="933"/>
      <c r="P349" s="933"/>
      <c r="Q349" s="933"/>
      <c r="R349" s="933"/>
      <c r="S349" s="933"/>
      <c r="T349" s="933"/>
      <c r="U349" s="933"/>
      <c r="V349" s="933"/>
      <c r="W349" s="933"/>
      <c r="X349" s="933"/>
      <c r="Y349" s="933"/>
      <c r="Z349" s="933"/>
      <c r="AA349" s="933"/>
      <c r="AB349" s="933"/>
      <c r="AC349" s="933"/>
      <c r="AD349" s="933"/>
    </row>
    <row r="350" spans="1:30" ht="12.75">
      <c r="A350" s="933"/>
      <c r="B350" s="933"/>
      <c r="C350" s="933"/>
      <c r="D350" s="933"/>
      <c r="E350" s="933"/>
      <c r="F350" s="933"/>
      <c r="G350" s="933"/>
      <c r="H350" s="933"/>
      <c r="I350" s="933"/>
      <c r="J350" s="933"/>
      <c r="K350" s="935"/>
      <c r="L350" s="933"/>
      <c r="M350" s="933"/>
      <c r="N350" s="945"/>
      <c r="O350" s="933"/>
      <c r="P350" s="933"/>
      <c r="Q350" s="933"/>
      <c r="R350" s="933"/>
      <c r="S350" s="933"/>
      <c r="T350" s="933"/>
      <c r="U350" s="933"/>
      <c r="V350" s="933"/>
      <c r="W350" s="933"/>
      <c r="X350" s="933"/>
      <c r="Y350" s="933"/>
      <c r="Z350" s="933"/>
      <c r="AA350" s="933"/>
      <c r="AB350" s="933"/>
      <c r="AC350" s="933"/>
      <c r="AD350" s="933"/>
    </row>
    <row r="351" spans="1:30" ht="12.75">
      <c r="A351" s="933"/>
      <c r="B351" s="933"/>
      <c r="C351" s="933"/>
      <c r="D351" s="933"/>
      <c r="E351" s="933"/>
      <c r="F351" s="933"/>
      <c r="G351" s="933"/>
      <c r="H351" s="933"/>
      <c r="I351" s="933"/>
      <c r="J351" s="933"/>
      <c r="K351" s="935"/>
      <c r="L351" s="933"/>
      <c r="M351" s="933"/>
      <c r="N351" s="945"/>
      <c r="O351" s="933"/>
      <c r="P351" s="933"/>
      <c r="Q351" s="933"/>
      <c r="R351" s="933"/>
      <c r="S351" s="933"/>
      <c r="T351" s="933"/>
      <c r="U351" s="933"/>
      <c r="V351" s="933"/>
      <c r="W351" s="933"/>
      <c r="X351" s="933"/>
      <c r="Y351" s="933"/>
      <c r="Z351" s="933"/>
      <c r="AA351" s="933"/>
      <c r="AB351" s="933"/>
      <c r="AC351" s="933"/>
      <c r="AD351" s="933"/>
    </row>
    <row r="352" spans="1:30" ht="12.75">
      <c r="A352" s="933"/>
      <c r="B352" s="933"/>
      <c r="C352" s="933"/>
      <c r="D352" s="933"/>
      <c r="E352" s="933"/>
      <c r="F352" s="933"/>
      <c r="G352" s="933"/>
      <c r="H352" s="933"/>
      <c r="I352" s="933"/>
      <c r="J352" s="933"/>
      <c r="K352" s="935"/>
      <c r="L352" s="933"/>
      <c r="M352" s="933"/>
      <c r="N352" s="945"/>
      <c r="O352" s="933"/>
      <c r="P352" s="933"/>
      <c r="Q352" s="933"/>
      <c r="R352" s="933"/>
      <c r="S352" s="933"/>
      <c r="T352" s="933"/>
      <c r="U352" s="933"/>
      <c r="V352" s="933"/>
      <c r="W352" s="933"/>
      <c r="X352" s="933"/>
      <c r="Y352" s="933"/>
      <c r="Z352" s="933"/>
      <c r="AA352" s="933"/>
      <c r="AB352" s="933"/>
      <c r="AC352" s="933"/>
      <c r="AD352" s="933"/>
    </row>
    <row r="353" spans="1:30" ht="12.75">
      <c r="A353" s="933"/>
      <c r="B353" s="933"/>
      <c r="C353" s="933"/>
      <c r="D353" s="933"/>
      <c r="E353" s="933"/>
      <c r="F353" s="933"/>
      <c r="G353" s="933"/>
      <c r="H353" s="933"/>
      <c r="I353" s="933"/>
      <c r="J353" s="933"/>
      <c r="K353" s="935"/>
      <c r="L353" s="933"/>
      <c r="M353" s="933"/>
      <c r="N353" s="945"/>
      <c r="O353" s="933"/>
      <c r="P353" s="933"/>
      <c r="Q353" s="933"/>
      <c r="R353" s="933"/>
      <c r="S353" s="933"/>
      <c r="T353" s="933"/>
      <c r="U353" s="933"/>
      <c r="V353" s="933"/>
      <c r="W353" s="933"/>
      <c r="X353" s="933"/>
      <c r="Y353" s="933"/>
      <c r="Z353" s="933"/>
      <c r="AA353" s="933"/>
      <c r="AB353" s="933"/>
      <c r="AC353" s="933"/>
      <c r="AD353" s="933"/>
    </row>
    <row r="354" spans="1:30" ht="12.75">
      <c r="A354" s="933"/>
      <c r="B354" s="933"/>
      <c r="C354" s="933"/>
      <c r="D354" s="933"/>
      <c r="E354" s="933"/>
      <c r="F354" s="933"/>
      <c r="G354" s="933"/>
      <c r="H354" s="933"/>
      <c r="I354" s="933"/>
      <c r="J354" s="933"/>
      <c r="K354" s="935"/>
      <c r="L354" s="933"/>
      <c r="M354" s="933"/>
      <c r="N354" s="945"/>
      <c r="O354" s="933"/>
      <c r="P354" s="933"/>
      <c r="Q354" s="933"/>
      <c r="R354" s="933"/>
      <c r="S354" s="933"/>
      <c r="T354" s="933"/>
      <c r="U354" s="933"/>
      <c r="V354" s="933"/>
      <c r="W354" s="933"/>
      <c r="X354" s="933"/>
      <c r="Y354" s="933"/>
      <c r="Z354" s="933"/>
      <c r="AA354" s="933"/>
      <c r="AB354" s="933"/>
      <c r="AC354" s="933"/>
      <c r="AD354" s="933"/>
    </row>
    <row r="355" spans="1:30" ht="12.75">
      <c r="A355" s="933"/>
      <c r="B355" s="933"/>
      <c r="C355" s="933"/>
      <c r="D355" s="933"/>
      <c r="E355" s="933"/>
      <c r="F355" s="933"/>
      <c r="G355" s="933"/>
      <c r="H355" s="933"/>
      <c r="I355" s="933"/>
      <c r="J355" s="933"/>
      <c r="K355" s="935"/>
      <c r="L355" s="933"/>
      <c r="M355" s="933"/>
      <c r="N355" s="945"/>
      <c r="O355" s="933"/>
      <c r="P355" s="933"/>
      <c r="Q355" s="933"/>
      <c r="R355" s="933"/>
      <c r="S355" s="933"/>
      <c r="T355" s="933"/>
      <c r="U355" s="933"/>
      <c r="V355" s="933"/>
      <c r="W355" s="933"/>
      <c r="X355" s="933"/>
      <c r="Y355" s="933"/>
      <c r="Z355" s="933"/>
      <c r="AA355" s="933"/>
      <c r="AB355" s="933"/>
      <c r="AC355" s="933"/>
      <c r="AD355" s="933"/>
    </row>
    <row r="356" spans="1:30" ht="12.75">
      <c r="A356" s="933"/>
      <c r="B356" s="933"/>
      <c r="C356" s="933"/>
      <c r="D356" s="933"/>
      <c r="E356" s="933"/>
      <c r="F356" s="933"/>
      <c r="G356" s="933"/>
      <c r="H356" s="933"/>
      <c r="I356" s="933"/>
      <c r="J356" s="933"/>
      <c r="K356" s="935"/>
      <c r="L356" s="933"/>
      <c r="M356" s="933"/>
      <c r="N356" s="945"/>
      <c r="O356" s="933"/>
      <c r="P356" s="933"/>
      <c r="Q356" s="933"/>
      <c r="R356" s="933"/>
      <c r="S356" s="933"/>
      <c r="T356" s="933"/>
      <c r="U356" s="933"/>
      <c r="V356" s="933"/>
      <c r="W356" s="933"/>
      <c r="X356" s="933"/>
      <c r="Y356" s="933"/>
      <c r="Z356" s="933"/>
      <c r="AA356" s="933"/>
      <c r="AB356" s="933"/>
      <c r="AC356" s="933"/>
      <c r="AD356" s="933"/>
    </row>
    <row r="357" spans="1:30" ht="12.75">
      <c r="A357" s="933"/>
      <c r="B357" s="933"/>
      <c r="C357" s="933"/>
      <c r="D357" s="933"/>
      <c r="E357" s="933"/>
      <c r="F357" s="933"/>
      <c r="G357" s="933"/>
      <c r="H357" s="933"/>
      <c r="I357" s="933"/>
      <c r="J357" s="933"/>
      <c r="K357" s="935"/>
      <c r="L357" s="933"/>
      <c r="M357" s="933"/>
      <c r="N357" s="945"/>
      <c r="O357" s="933"/>
      <c r="P357" s="933"/>
      <c r="Q357" s="933"/>
      <c r="R357" s="933"/>
      <c r="S357" s="933"/>
      <c r="T357" s="933"/>
      <c r="U357" s="933"/>
      <c r="V357" s="933"/>
      <c r="W357" s="933"/>
      <c r="X357" s="933"/>
      <c r="Y357" s="933"/>
      <c r="Z357" s="933"/>
      <c r="AA357" s="933"/>
      <c r="AB357" s="933"/>
      <c r="AC357" s="933"/>
      <c r="AD357" s="933"/>
    </row>
    <row r="358" spans="1:30" ht="12.75">
      <c r="A358" s="933"/>
      <c r="B358" s="933"/>
      <c r="C358" s="933"/>
      <c r="D358" s="933"/>
      <c r="E358" s="933"/>
      <c r="F358" s="933"/>
      <c r="G358" s="933"/>
      <c r="H358" s="933"/>
      <c r="I358" s="933"/>
      <c r="J358" s="933"/>
      <c r="K358" s="935"/>
      <c r="L358" s="933"/>
      <c r="M358" s="933"/>
      <c r="N358" s="945"/>
      <c r="O358" s="933"/>
      <c r="P358" s="933"/>
      <c r="Q358" s="933"/>
      <c r="R358" s="933"/>
      <c r="S358" s="933"/>
      <c r="T358" s="933"/>
      <c r="U358" s="933"/>
      <c r="V358" s="933"/>
      <c r="W358" s="933"/>
      <c r="X358" s="933"/>
      <c r="Y358" s="933"/>
      <c r="Z358" s="933"/>
      <c r="AA358" s="933"/>
      <c r="AB358" s="933"/>
      <c r="AC358" s="933"/>
      <c r="AD358" s="933"/>
    </row>
    <row r="359" spans="1:30" ht="12.75">
      <c r="A359" s="933"/>
      <c r="B359" s="933"/>
      <c r="C359" s="933"/>
      <c r="D359" s="933"/>
      <c r="E359" s="933"/>
      <c r="F359" s="933"/>
      <c r="G359" s="933"/>
      <c r="H359" s="933"/>
      <c r="I359" s="933"/>
      <c r="J359" s="933"/>
      <c r="K359" s="935"/>
      <c r="L359" s="933"/>
      <c r="M359" s="933"/>
      <c r="N359" s="945"/>
      <c r="O359" s="933"/>
      <c r="P359" s="933"/>
      <c r="Q359" s="933"/>
      <c r="R359" s="933"/>
      <c r="S359" s="933"/>
      <c r="T359" s="933"/>
      <c r="U359" s="933"/>
      <c r="V359" s="933"/>
      <c r="W359" s="933"/>
      <c r="X359" s="933"/>
      <c r="Y359" s="933"/>
      <c r="Z359" s="933"/>
      <c r="AA359" s="933"/>
      <c r="AB359" s="933"/>
      <c r="AC359" s="933"/>
      <c r="AD359" s="933"/>
    </row>
    <row r="360" spans="1:30" ht="12.75">
      <c r="A360" s="933"/>
      <c r="B360" s="933"/>
      <c r="C360" s="933"/>
      <c r="D360" s="933"/>
      <c r="E360" s="933"/>
      <c r="F360" s="933"/>
      <c r="G360" s="933"/>
      <c r="H360" s="933"/>
      <c r="I360" s="933"/>
      <c r="J360" s="933"/>
      <c r="K360" s="935"/>
      <c r="L360" s="933"/>
      <c r="M360" s="933"/>
      <c r="N360" s="945"/>
      <c r="O360" s="933"/>
      <c r="P360" s="933"/>
      <c r="Q360" s="933"/>
      <c r="R360" s="933"/>
      <c r="S360" s="933"/>
      <c r="T360" s="933"/>
      <c r="U360" s="933"/>
      <c r="V360" s="933"/>
      <c r="W360" s="933"/>
      <c r="X360" s="933"/>
      <c r="Y360" s="933"/>
      <c r="Z360" s="933"/>
      <c r="AA360" s="933"/>
      <c r="AB360" s="933"/>
      <c r="AC360" s="933"/>
      <c r="AD360" s="933"/>
    </row>
    <row r="361" spans="1:30" ht="12.75">
      <c r="A361" s="933"/>
      <c r="B361" s="933"/>
      <c r="C361" s="933"/>
      <c r="D361" s="933"/>
      <c r="E361" s="933"/>
      <c r="F361" s="933"/>
      <c r="G361" s="933"/>
      <c r="H361" s="933"/>
      <c r="I361" s="933"/>
      <c r="J361" s="933"/>
      <c r="K361" s="935"/>
      <c r="L361" s="933"/>
      <c r="M361" s="933"/>
      <c r="N361" s="945"/>
      <c r="O361" s="933"/>
      <c r="P361" s="933"/>
      <c r="Q361" s="933"/>
      <c r="R361" s="933"/>
      <c r="S361" s="933"/>
      <c r="T361" s="933"/>
      <c r="U361" s="933"/>
      <c r="V361" s="933"/>
      <c r="W361" s="933"/>
      <c r="X361" s="933"/>
      <c r="Y361" s="933"/>
      <c r="Z361" s="933"/>
      <c r="AA361" s="933"/>
      <c r="AB361" s="933"/>
      <c r="AC361" s="933"/>
      <c r="AD361" s="933"/>
    </row>
    <row r="362" spans="1:30" ht="12.75">
      <c r="A362" s="933"/>
      <c r="B362" s="933"/>
      <c r="C362" s="933"/>
      <c r="D362" s="933"/>
      <c r="E362" s="933"/>
      <c r="F362" s="933"/>
      <c r="G362" s="933"/>
      <c r="H362" s="933"/>
      <c r="I362" s="933"/>
      <c r="J362" s="933"/>
      <c r="K362" s="935"/>
      <c r="L362" s="933"/>
      <c r="M362" s="933"/>
      <c r="N362" s="945"/>
      <c r="O362" s="933"/>
      <c r="P362" s="933"/>
      <c r="Q362" s="933"/>
      <c r="R362" s="933"/>
      <c r="S362" s="933"/>
      <c r="T362" s="933"/>
      <c r="U362" s="933"/>
      <c r="V362" s="933"/>
      <c r="W362" s="933"/>
      <c r="X362" s="933"/>
      <c r="Y362" s="933"/>
      <c r="Z362" s="933"/>
      <c r="AA362" s="933"/>
      <c r="AB362" s="933"/>
      <c r="AC362" s="933"/>
      <c r="AD362" s="933"/>
    </row>
    <row r="363" spans="1:30" ht="12.75">
      <c r="A363" s="933"/>
      <c r="B363" s="933"/>
      <c r="C363" s="933"/>
      <c r="D363" s="933"/>
      <c r="E363" s="933"/>
      <c r="F363" s="933"/>
      <c r="G363" s="933"/>
      <c r="H363" s="933"/>
      <c r="I363" s="933"/>
      <c r="J363" s="933"/>
      <c r="K363" s="935"/>
      <c r="L363" s="933"/>
      <c r="M363" s="933"/>
      <c r="N363" s="945"/>
      <c r="O363" s="933"/>
      <c r="P363" s="933"/>
      <c r="Q363" s="933"/>
      <c r="R363" s="933"/>
      <c r="S363" s="933"/>
      <c r="T363" s="933"/>
      <c r="U363" s="933"/>
      <c r="V363" s="933"/>
      <c r="W363" s="933"/>
      <c r="X363" s="933"/>
      <c r="Y363" s="933"/>
      <c r="Z363" s="933"/>
      <c r="AA363" s="933"/>
      <c r="AB363" s="933"/>
      <c r="AC363" s="933"/>
      <c r="AD363" s="933"/>
    </row>
    <row r="364" spans="1:30" ht="12.75">
      <c r="A364" s="933"/>
      <c r="B364" s="933"/>
      <c r="C364" s="933"/>
      <c r="D364" s="933"/>
      <c r="E364" s="933"/>
      <c r="F364" s="933"/>
      <c r="G364" s="933"/>
      <c r="H364" s="933"/>
      <c r="I364" s="933"/>
      <c r="J364" s="933"/>
      <c r="K364" s="935"/>
      <c r="L364" s="933"/>
      <c r="M364" s="933"/>
      <c r="N364" s="945"/>
      <c r="O364" s="933"/>
      <c r="P364" s="933"/>
      <c r="Q364" s="933"/>
      <c r="R364" s="933"/>
      <c r="S364" s="933"/>
      <c r="T364" s="933"/>
      <c r="U364" s="933"/>
      <c r="V364" s="933"/>
      <c r="W364" s="933"/>
      <c r="X364" s="933"/>
      <c r="Y364" s="933"/>
      <c r="Z364" s="933"/>
      <c r="AA364" s="933"/>
      <c r="AB364" s="933"/>
      <c r="AC364" s="933"/>
      <c r="AD364" s="933"/>
    </row>
    <row r="365" spans="1:30" ht="12.75">
      <c r="A365" s="933"/>
      <c r="B365" s="933"/>
      <c r="C365" s="933"/>
      <c r="D365" s="933"/>
      <c r="E365" s="933"/>
      <c r="F365" s="933"/>
      <c r="G365" s="933"/>
      <c r="H365" s="933"/>
      <c r="I365" s="933"/>
      <c r="J365" s="933"/>
      <c r="K365" s="935"/>
      <c r="L365" s="933"/>
      <c r="M365" s="933"/>
      <c r="N365" s="945"/>
      <c r="O365" s="933"/>
      <c r="P365" s="933"/>
      <c r="Q365" s="933"/>
      <c r="R365" s="933"/>
      <c r="S365" s="933"/>
      <c r="T365" s="933"/>
      <c r="U365" s="933"/>
      <c r="V365" s="933"/>
      <c r="W365" s="933"/>
      <c r="X365" s="933"/>
      <c r="Y365" s="933"/>
      <c r="Z365" s="933"/>
      <c r="AA365" s="933"/>
      <c r="AB365" s="933"/>
      <c r="AC365" s="933"/>
      <c r="AD365" s="933"/>
    </row>
    <row r="366" spans="1:30" ht="12.75">
      <c r="A366" s="933"/>
      <c r="B366" s="933"/>
      <c r="C366" s="933"/>
      <c r="D366" s="933"/>
      <c r="E366" s="933"/>
      <c r="F366" s="933"/>
      <c r="G366" s="933"/>
      <c r="H366" s="933"/>
      <c r="I366" s="933"/>
      <c r="J366" s="933"/>
      <c r="K366" s="935"/>
      <c r="L366" s="933"/>
      <c r="M366" s="933"/>
      <c r="N366" s="945"/>
      <c r="O366" s="933"/>
      <c r="P366" s="933"/>
      <c r="Q366" s="933"/>
      <c r="R366" s="933"/>
      <c r="S366" s="933"/>
      <c r="T366" s="933"/>
      <c r="U366" s="933"/>
      <c r="V366" s="933"/>
      <c r="W366" s="933"/>
      <c r="X366" s="933"/>
      <c r="Y366" s="933"/>
      <c r="Z366" s="933"/>
      <c r="AA366" s="933"/>
      <c r="AB366" s="933"/>
      <c r="AC366" s="933"/>
      <c r="AD366" s="933"/>
    </row>
    <row r="367" spans="1:30" ht="12.75">
      <c r="A367" s="933"/>
      <c r="B367" s="933"/>
      <c r="C367" s="933"/>
      <c r="D367" s="933"/>
      <c r="E367" s="933"/>
      <c r="F367" s="933"/>
      <c r="G367" s="933"/>
      <c r="H367" s="933"/>
      <c r="I367" s="933"/>
      <c r="J367" s="933"/>
      <c r="K367" s="935"/>
      <c r="L367" s="933"/>
      <c r="M367" s="933"/>
      <c r="N367" s="945"/>
      <c r="O367" s="933"/>
      <c r="P367" s="933"/>
      <c r="Q367" s="933"/>
      <c r="R367" s="933"/>
      <c r="S367" s="933"/>
      <c r="T367" s="933"/>
      <c r="U367" s="933"/>
      <c r="V367" s="933"/>
      <c r="W367" s="933"/>
      <c r="X367" s="933"/>
      <c r="Y367" s="933"/>
      <c r="Z367" s="933"/>
      <c r="AA367" s="933"/>
      <c r="AB367" s="933"/>
      <c r="AC367" s="933"/>
      <c r="AD367" s="933"/>
    </row>
    <row r="368" spans="1:30" ht="12.75">
      <c r="A368" s="933"/>
      <c r="B368" s="933"/>
      <c r="C368" s="933"/>
      <c r="D368" s="933"/>
      <c r="E368" s="933"/>
      <c r="F368" s="933"/>
      <c r="G368" s="933"/>
      <c r="H368" s="933"/>
      <c r="I368" s="933"/>
      <c r="J368" s="933"/>
      <c r="K368" s="935"/>
      <c r="L368" s="933"/>
      <c r="M368" s="933"/>
      <c r="N368" s="945"/>
      <c r="O368" s="933"/>
      <c r="P368" s="933"/>
      <c r="Q368" s="933"/>
      <c r="R368" s="933"/>
      <c r="S368" s="933"/>
      <c r="T368" s="933"/>
      <c r="U368" s="933"/>
      <c r="V368" s="933"/>
      <c r="W368" s="933"/>
      <c r="X368" s="933"/>
      <c r="Y368" s="933"/>
      <c r="Z368" s="933"/>
      <c r="AA368" s="933"/>
      <c r="AB368" s="933"/>
      <c r="AC368" s="933"/>
      <c r="AD368" s="933"/>
    </row>
    <row r="369" spans="1:30" ht="12.75">
      <c r="A369" s="933"/>
      <c r="B369" s="933"/>
      <c r="C369" s="933"/>
      <c r="D369" s="933"/>
      <c r="E369" s="933"/>
      <c r="F369" s="933"/>
      <c r="G369" s="933"/>
      <c r="H369" s="933"/>
      <c r="I369" s="933"/>
      <c r="J369" s="933"/>
      <c r="K369" s="935"/>
      <c r="L369" s="933"/>
      <c r="M369" s="933"/>
      <c r="N369" s="945"/>
      <c r="O369" s="933"/>
      <c r="P369" s="933"/>
      <c r="Q369" s="933"/>
      <c r="R369" s="933"/>
      <c r="S369" s="933"/>
      <c r="T369" s="933"/>
      <c r="U369" s="933"/>
      <c r="V369" s="933"/>
      <c r="W369" s="933"/>
      <c r="X369" s="933"/>
      <c r="Y369" s="933"/>
      <c r="Z369" s="933"/>
      <c r="AA369" s="933"/>
      <c r="AB369" s="933"/>
      <c r="AC369" s="933"/>
      <c r="AD369" s="933"/>
    </row>
    <row r="370" spans="1:30" ht="12.75">
      <c r="A370" s="933"/>
      <c r="B370" s="933"/>
      <c r="C370" s="933"/>
      <c r="D370" s="933"/>
      <c r="E370" s="933"/>
      <c r="F370" s="933"/>
      <c r="G370" s="933"/>
      <c r="H370" s="933"/>
      <c r="I370" s="933"/>
      <c r="J370" s="933"/>
      <c r="K370" s="935"/>
      <c r="L370" s="933"/>
      <c r="M370" s="933"/>
      <c r="N370" s="945"/>
      <c r="O370" s="933"/>
      <c r="P370" s="933"/>
      <c r="Q370" s="933"/>
      <c r="R370" s="933"/>
      <c r="S370" s="933"/>
      <c r="T370" s="933"/>
      <c r="U370" s="933"/>
      <c r="V370" s="933"/>
      <c r="W370" s="933"/>
      <c r="X370" s="933"/>
      <c r="Y370" s="933"/>
      <c r="Z370" s="933"/>
      <c r="AA370" s="933"/>
      <c r="AB370" s="933"/>
      <c r="AC370" s="933"/>
      <c r="AD370" s="933"/>
    </row>
    <row r="371" spans="1:30" ht="12.75">
      <c r="A371" s="933"/>
      <c r="B371" s="933"/>
      <c r="C371" s="933"/>
      <c r="D371" s="933"/>
      <c r="E371" s="933"/>
      <c r="F371" s="933"/>
      <c r="G371" s="933"/>
      <c r="H371" s="933"/>
      <c r="I371" s="933"/>
      <c r="J371" s="933"/>
      <c r="K371" s="935"/>
      <c r="L371" s="933"/>
      <c r="M371" s="933"/>
      <c r="N371" s="945"/>
      <c r="O371" s="933"/>
      <c r="P371" s="933"/>
      <c r="Q371" s="933"/>
      <c r="R371" s="933"/>
      <c r="S371" s="933"/>
      <c r="T371" s="933"/>
      <c r="U371" s="933"/>
      <c r="V371" s="933"/>
      <c r="W371" s="933"/>
      <c r="X371" s="933"/>
      <c r="Y371" s="933"/>
      <c r="Z371" s="933"/>
      <c r="AA371" s="933"/>
      <c r="AB371" s="933"/>
      <c r="AC371" s="933"/>
      <c r="AD371" s="933"/>
    </row>
    <row r="372" spans="1:30" ht="12.75">
      <c r="A372" s="933"/>
      <c r="B372" s="933"/>
      <c r="C372" s="933"/>
      <c r="D372" s="933"/>
      <c r="E372" s="933"/>
      <c r="F372" s="933"/>
      <c r="G372" s="933"/>
      <c r="H372" s="933"/>
      <c r="I372" s="933"/>
      <c r="J372" s="933"/>
      <c r="K372" s="935"/>
      <c r="L372" s="933"/>
      <c r="M372" s="933"/>
      <c r="N372" s="945"/>
      <c r="O372" s="933"/>
      <c r="P372" s="933"/>
      <c r="Q372" s="933"/>
      <c r="R372" s="933"/>
      <c r="S372" s="933"/>
      <c r="T372" s="933"/>
      <c r="U372" s="933"/>
      <c r="V372" s="933"/>
      <c r="W372" s="933"/>
      <c r="X372" s="933"/>
      <c r="Y372" s="933"/>
      <c r="Z372" s="933"/>
      <c r="AA372" s="933"/>
      <c r="AB372" s="933"/>
      <c r="AC372" s="933"/>
      <c r="AD372" s="933"/>
    </row>
    <row r="373" spans="1:30" ht="12.75">
      <c r="A373" s="933"/>
      <c r="B373" s="933"/>
      <c r="C373" s="933"/>
      <c r="D373" s="933"/>
      <c r="E373" s="933"/>
      <c r="F373" s="933"/>
      <c r="G373" s="933"/>
      <c r="H373" s="933"/>
      <c r="I373" s="933"/>
      <c r="J373" s="933"/>
      <c r="K373" s="935"/>
      <c r="L373" s="933"/>
      <c r="M373" s="933"/>
      <c r="N373" s="945"/>
      <c r="O373" s="933"/>
      <c r="P373" s="933"/>
      <c r="Q373" s="933"/>
      <c r="R373" s="933"/>
      <c r="S373" s="933"/>
      <c r="T373" s="933"/>
      <c r="U373" s="933"/>
      <c r="V373" s="933"/>
      <c r="W373" s="933"/>
      <c r="X373" s="933"/>
      <c r="Y373" s="933"/>
      <c r="Z373" s="933"/>
      <c r="AA373" s="933"/>
      <c r="AB373" s="933"/>
      <c r="AC373" s="933"/>
      <c r="AD373" s="933"/>
    </row>
    <row r="374" spans="1:30" ht="12.75">
      <c r="A374" s="933"/>
      <c r="B374" s="933"/>
      <c r="C374" s="933"/>
      <c r="D374" s="933"/>
      <c r="E374" s="933"/>
      <c r="F374" s="933"/>
      <c r="G374" s="933"/>
      <c r="H374" s="933"/>
      <c r="I374" s="933"/>
      <c r="J374" s="933"/>
      <c r="K374" s="935"/>
      <c r="L374" s="933"/>
      <c r="M374" s="933"/>
      <c r="N374" s="945"/>
      <c r="O374" s="933"/>
      <c r="P374" s="933"/>
      <c r="Q374" s="933"/>
      <c r="R374" s="933"/>
      <c r="S374" s="933"/>
      <c r="T374" s="933"/>
      <c r="U374" s="933"/>
      <c r="V374" s="933"/>
      <c r="W374" s="933"/>
      <c r="X374" s="933"/>
      <c r="Y374" s="933"/>
      <c r="Z374" s="933"/>
      <c r="AA374" s="933"/>
      <c r="AB374" s="933"/>
      <c r="AC374" s="933"/>
      <c r="AD374" s="933"/>
    </row>
    <row r="375" spans="1:30" ht="12.75">
      <c r="A375" s="933"/>
      <c r="B375" s="933"/>
      <c r="C375" s="933"/>
      <c r="D375" s="933"/>
      <c r="E375" s="933"/>
      <c r="F375" s="933"/>
      <c r="G375" s="933"/>
      <c r="H375" s="933"/>
      <c r="I375" s="933"/>
      <c r="J375" s="933"/>
      <c r="K375" s="935"/>
      <c r="L375" s="933"/>
      <c r="M375" s="933"/>
      <c r="N375" s="945"/>
      <c r="O375" s="933"/>
      <c r="P375" s="933"/>
      <c r="Q375" s="933"/>
      <c r="R375" s="933"/>
      <c r="S375" s="933"/>
      <c r="T375" s="933"/>
      <c r="U375" s="933"/>
      <c r="V375" s="933"/>
      <c r="W375" s="933"/>
      <c r="X375" s="933"/>
      <c r="Y375" s="933"/>
      <c r="Z375" s="933"/>
      <c r="AA375" s="933"/>
      <c r="AB375" s="933"/>
      <c r="AC375" s="933"/>
      <c r="AD375" s="933"/>
    </row>
    <row r="376" spans="1:30" ht="12.75">
      <c r="A376" s="933"/>
      <c r="B376" s="933"/>
      <c r="C376" s="933"/>
      <c r="D376" s="933"/>
      <c r="E376" s="933"/>
      <c r="F376" s="933"/>
      <c r="G376" s="933"/>
      <c r="H376" s="933"/>
      <c r="I376" s="933"/>
      <c r="J376" s="933"/>
      <c r="K376" s="935"/>
      <c r="L376" s="933"/>
      <c r="M376" s="933"/>
      <c r="N376" s="945"/>
      <c r="O376" s="933"/>
      <c r="P376" s="933"/>
      <c r="Q376" s="933"/>
      <c r="R376" s="933"/>
      <c r="S376" s="933"/>
      <c r="T376" s="933"/>
      <c r="U376" s="933"/>
      <c r="V376" s="933"/>
      <c r="W376" s="933"/>
      <c r="X376" s="933"/>
      <c r="Y376" s="933"/>
      <c r="Z376" s="933"/>
      <c r="AA376" s="933"/>
      <c r="AB376" s="933"/>
      <c r="AC376" s="933"/>
      <c r="AD376" s="933"/>
    </row>
    <row r="377" spans="1:30" ht="12.75">
      <c r="A377" s="933"/>
      <c r="B377" s="933"/>
      <c r="C377" s="933"/>
      <c r="D377" s="933"/>
      <c r="E377" s="933"/>
      <c r="F377" s="933"/>
      <c r="G377" s="933"/>
      <c r="H377" s="933"/>
      <c r="I377" s="933"/>
      <c r="J377" s="933"/>
      <c r="K377" s="935"/>
      <c r="L377" s="933"/>
      <c r="M377" s="933"/>
      <c r="N377" s="945"/>
      <c r="O377" s="933"/>
      <c r="P377" s="933"/>
      <c r="Q377" s="933"/>
      <c r="R377" s="933"/>
      <c r="S377" s="933"/>
      <c r="T377" s="933"/>
      <c r="U377" s="933"/>
      <c r="V377" s="933"/>
      <c r="W377" s="933"/>
      <c r="X377" s="933"/>
      <c r="Y377" s="933"/>
      <c r="Z377" s="933"/>
      <c r="AA377" s="933"/>
      <c r="AB377" s="933"/>
      <c r="AC377" s="933"/>
      <c r="AD377" s="933"/>
    </row>
    <row r="378" spans="1:30" ht="12.75">
      <c r="A378" s="933"/>
      <c r="B378" s="933"/>
      <c r="C378" s="933"/>
      <c r="D378" s="933"/>
      <c r="E378" s="933"/>
      <c r="F378" s="933"/>
      <c r="G378" s="933"/>
      <c r="H378" s="933"/>
      <c r="I378" s="933"/>
      <c r="J378" s="933"/>
      <c r="K378" s="935"/>
      <c r="L378" s="933"/>
      <c r="M378" s="933"/>
      <c r="N378" s="945"/>
      <c r="O378" s="933"/>
      <c r="P378" s="933"/>
      <c r="Q378" s="933"/>
      <c r="R378" s="933"/>
      <c r="S378" s="933"/>
      <c r="T378" s="933"/>
      <c r="U378" s="933"/>
      <c r="V378" s="933"/>
      <c r="W378" s="933"/>
      <c r="X378" s="933"/>
      <c r="Y378" s="933"/>
      <c r="Z378" s="933"/>
      <c r="AA378" s="933"/>
      <c r="AB378" s="933"/>
      <c r="AC378" s="933"/>
      <c r="AD378" s="933"/>
    </row>
    <row r="379" spans="1:30" ht="12.75">
      <c r="A379" s="933"/>
      <c r="B379" s="933"/>
      <c r="C379" s="933"/>
      <c r="D379" s="933"/>
      <c r="E379" s="933"/>
      <c r="F379" s="933"/>
      <c r="G379" s="933"/>
      <c r="H379" s="933"/>
      <c r="I379" s="933"/>
      <c r="J379" s="933"/>
      <c r="K379" s="935"/>
      <c r="L379" s="933"/>
      <c r="M379" s="933"/>
      <c r="N379" s="945"/>
      <c r="O379" s="933"/>
      <c r="P379" s="933"/>
      <c r="Q379" s="933"/>
      <c r="R379" s="933"/>
      <c r="S379" s="933"/>
      <c r="T379" s="933"/>
      <c r="U379" s="933"/>
      <c r="V379" s="933"/>
      <c r="W379" s="933"/>
      <c r="X379" s="933"/>
      <c r="Y379" s="933"/>
      <c r="Z379" s="933"/>
      <c r="AA379" s="933"/>
      <c r="AB379" s="933"/>
      <c r="AC379" s="933"/>
      <c r="AD379" s="933"/>
    </row>
    <row r="380" spans="1:30" ht="12.75">
      <c r="A380" s="933"/>
      <c r="B380" s="933"/>
      <c r="C380" s="933"/>
      <c r="D380" s="933"/>
      <c r="E380" s="933"/>
      <c r="F380" s="933"/>
      <c r="G380" s="933"/>
      <c r="H380" s="933"/>
      <c r="I380" s="933"/>
      <c r="J380" s="933"/>
      <c r="K380" s="935"/>
      <c r="L380" s="933"/>
      <c r="M380" s="933"/>
      <c r="N380" s="945"/>
      <c r="O380" s="933"/>
      <c r="P380" s="933"/>
      <c r="Q380" s="933"/>
      <c r="R380" s="933"/>
      <c r="S380" s="933"/>
      <c r="T380" s="933"/>
      <c r="U380" s="933"/>
      <c r="V380" s="933"/>
      <c r="W380" s="933"/>
      <c r="X380" s="933"/>
      <c r="Y380" s="933"/>
      <c r="Z380" s="933"/>
      <c r="AA380" s="933"/>
      <c r="AB380" s="933"/>
      <c r="AC380" s="933"/>
      <c r="AD380" s="933"/>
    </row>
    <row r="381" spans="1:30" ht="12.75">
      <c r="A381" s="933"/>
      <c r="B381" s="933"/>
      <c r="C381" s="933"/>
      <c r="D381" s="933"/>
      <c r="E381" s="933"/>
      <c r="F381" s="933"/>
      <c r="G381" s="933"/>
      <c r="H381" s="933"/>
      <c r="I381" s="933"/>
      <c r="J381" s="933"/>
      <c r="K381" s="935"/>
      <c r="L381" s="933"/>
      <c r="M381" s="933"/>
      <c r="N381" s="945"/>
      <c r="O381" s="933"/>
      <c r="P381" s="933"/>
      <c r="Q381" s="933"/>
      <c r="R381" s="933"/>
      <c r="S381" s="933"/>
      <c r="T381" s="933"/>
      <c r="U381" s="933"/>
      <c r="V381" s="933"/>
      <c r="W381" s="933"/>
      <c r="X381" s="933"/>
      <c r="Y381" s="933"/>
      <c r="Z381" s="933"/>
      <c r="AA381" s="933"/>
      <c r="AB381" s="933"/>
      <c r="AC381" s="933"/>
      <c r="AD381" s="933"/>
    </row>
    <row r="382" spans="1:30" ht="12.75">
      <c r="A382" s="933"/>
      <c r="B382" s="933"/>
      <c r="C382" s="933"/>
      <c r="D382" s="933"/>
      <c r="E382" s="933"/>
      <c r="F382" s="933"/>
      <c r="G382" s="933"/>
      <c r="H382" s="933"/>
      <c r="I382" s="933"/>
      <c r="J382" s="933"/>
      <c r="K382" s="935"/>
      <c r="L382" s="933"/>
      <c r="M382" s="933"/>
      <c r="N382" s="945"/>
      <c r="O382" s="933"/>
      <c r="P382" s="933"/>
      <c r="Q382" s="933"/>
      <c r="R382" s="933"/>
      <c r="S382" s="933"/>
      <c r="T382" s="933"/>
      <c r="U382" s="933"/>
      <c r="V382" s="933"/>
      <c r="W382" s="933"/>
      <c r="X382" s="933"/>
      <c r="Y382" s="933"/>
      <c r="Z382" s="933"/>
      <c r="AA382" s="933"/>
      <c r="AB382" s="933"/>
      <c r="AC382" s="933"/>
      <c r="AD382" s="933"/>
    </row>
    <row r="383" spans="1:30" ht="12.75">
      <c r="A383" s="933"/>
      <c r="B383" s="933"/>
      <c r="C383" s="933"/>
      <c r="D383" s="933"/>
      <c r="E383" s="933"/>
      <c r="F383" s="933"/>
      <c r="G383" s="933"/>
      <c r="H383" s="933"/>
      <c r="I383" s="933"/>
      <c r="J383" s="933"/>
      <c r="K383" s="935"/>
      <c r="L383" s="933"/>
      <c r="M383" s="933"/>
      <c r="N383" s="945"/>
      <c r="O383" s="933"/>
      <c r="P383" s="933"/>
      <c r="Q383" s="933"/>
      <c r="R383" s="933"/>
      <c r="S383" s="933"/>
      <c r="T383" s="933"/>
      <c r="U383" s="933"/>
      <c r="V383" s="933"/>
      <c r="W383" s="933"/>
      <c r="X383" s="933"/>
      <c r="Y383" s="933"/>
      <c r="Z383" s="933"/>
      <c r="AA383" s="933"/>
      <c r="AB383" s="933"/>
      <c r="AC383" s="933"/>
      <c r="AD383" s="933"/>
    </row>
    <row r="384" spans="1:30" ht="12.75">
      <c r="A384" s="933"/>
      <c r="B384" s="933"/>
      <c r="C384" s="933"/>
      <c r="D384" s="933"/>
      <c r="E384" s="933"/>
      <c r="F384" s="933"/>
      <c r="G384" s="933"/>
      <c r="H384" s="933"/>
      <c r="I384" s="933"/>
      <c r="J384" s="933"/>
      <c r="K384" s="935"/>
      <c r="L384" s="933"/>
      <c r="M384" s="933"/>
      <c r="N384" s="945"/>
      <c r="O384" s="933"/>
      <c r="P384" s="933"/>
      <c r="Q384" s="933"/>
      <c r="R384" s="933"/>
      <c r="S384" s="933"/>
      <c r="T384" s="933"/>
      <c r="U384" s="933"/>
      <c r="V384" s="933"/>
      <c r="W384" s="933"/>
      <c r="X384" s="933"/>
      <c r="Y384" s="933"/>
      <c r="Z384" s="933"/>
      <c r="AA384" s="933"/>
      <c r="AB384" s="933"/>
      <c r="AC384" s="933"/>
      <c r="AD384" s="933"/>
    </row>
    <row r="385" spans="1:30" ht="12.75">
      <c r="A385" s="933"/>
      <c r="B385" s="933"/>
      <c r="C385" s="933"/>
      <c r="D385" s="933"/>
      <c r="E385" s="933"/>
      <c r="F385" s="933"/>
      <c r="G385" s="933"/>
      <c r="H385" s="933"/>
      <c r="I385" s="933"/>
      <c r="J385" s="933"/>
      <c r="K385" s="935"/>
      <c r="L385" s="933"/>
      <c r="M385" s="933"/>
      <c r="N385" s="945"/>
      <c r="O385" s="933"/>
      <c r="P385" s="933"/>
      <c r="Q385" s="933"/>
      <c r="R385" s="933"/>
      <c r="S385" s="933"/>
      <c r="T385" s="933"/>
      <c r="U385" s="933"/>
      <c r="V385" s="933"/>
      <c r="W385" s="933"/>
      <c r="X385" s="933"/>
      <c r="Y385" s="933"/>
      <c r="Z385" s="933"/>
      <c r="AA385" s="933"/>
      <c r="AB385" s="933"/>
      <c r="AC385" s="933"/>
      <c r="AD385" s="933"/>
    </row>
    <row r="386" spans="1:30" ht="12.75">
      <c r="A386" s="933"/>
      <c r="B386" s="933"/>
      <c r="C386" s="933"/>
      <c r="D386" s="933"/>
      <c r="E386" s="933"/>
      <c r="F386" s="933"/>
      <c r="G386" s="933"/>
      <c r="H386" s="933"/>
      <c r="I386" s="933"/>
      <c r="J386" s="933"/>
      <c r="K386" s="935"/>
      <c r="L386" s="933"/>
      <c r="M386" s="933"/>
      <c r="N386" s="945"/>
      <c r="O386" s="933"/>
      <c r="P386" s="933"/>
      <c r="Q386" s="933"/>
      <c r="R386" s="933"/>
      <c r="S386" s="933"/>
      <c r="T386" s="933"/>
      <c r="U386" s="933"/>
      <c r="V386" s="933"/>
      <c r="W386" s="933"/>
      <c r="X386" s="933"/>
      <c r="Y386" s="933"/>
      <c r="Z386" s="933"/>
      <c r="AA386" s="933"/>
      <c r="AB386" s="933"/>
      <c r="AC386" s="933"/>
      <c r="AD386" s="933"/>
    </row>
    <row r="387" spans="1:30" ht="12.75">
      <c r="A387" s="933"/>
      <c r="B387" s="933"/>
      <c r="C387" s="933"/>
      <c r="D387" s="933"/>
      <c r="E387" s="933"/>
      <c r="F387" s="933"/>
      <c r="G387" s="933"/>
      <c r="H387" s="933"/>
      <c r="I387" s="933"/>
      <c r="J387" s="933"/>
      <c r="K387" s="935"/>
      <c r="L387" s="933"/>
      <c r="M387" s="933"/>
      <c r="N387" s="945"/>
      <c r="O387" s="933"/>
      <c r="P387" s="933"/>
      <c r="Q387" s="933"/>
      <c r="R387" s="933"/>
      <c r="S387" s="933"/>
      <c r="T387" s="933"/>
      <c r="U387" s="933"/>
      <c r="V387" s="933"/>
      <c r="W387" s="933"/>
      <c r="X387" s="933"/>
      <c r="Y387" s="933"/>
      <c r="Z387" s="933"/>
      <c r="AA387" s="933"/>
      <c r="AB387" s="933"/>
      <c r="AC387" s="933"/>
      <c r="AD387" s="933"/>
    </row>
    <row r="388" spans="1:30" ht="12.75">
      <c r="A388" s="933"/>
      <c r="B388" s="933"/>
      <c r="C388" s="933"/>
      <c r="D388" s="933"/>
      <c r="E388" s="933"/>
      <c r="F388" s="933"/>
      <c r="G388" s="933"/>
      <c r="H388" s="933"/>
      <c r="I388" s="933"/>
      <c r="J388" s="933"/>
      <c r="K388" s="935"/>
      <c r="L388" s="933"/>
      <c r="M388" s="933"/>
      <c r="N388" s="945"/>
      <c r="O388" s="933"/>
      <c r="P388" s="933"/>
      <c r="Q388" s="933"/>
      <c r="R388" s="933"/>
      <c r="S388" s="933"/>
      <c r="T388" s="933"/>
      <c r="U388" s="933"/>
      <c r="V388" s="933"/>
      <c r="W388" s="933"/>
      <c r="X388" s="933"/>
      <c r="Y388" s="933"/>
      <c r="Z388" s="933"/>
      <c r="AA388" s="933"/>
      <c r="AB388" s="933"/>
      <c r="AC388" s="933"/>
      <c r="AD388" s="933"/>
    </row>
    <row r="389" spans="1:30" ht="12.75">
      <c r="A389" s="933"/>
      <c r="B389" s="933"/>
      <c r="C389" s="933"/>
      <c r="D389" s="933"/>
      <c r="E389" s="933"/>
      <c r="F389" s="933"/>
      <c r="G389" s="933"/>
      <c r="H389" s="933"/>
      <c r="I389" s="933"/>
      <c r="J389" s="933"/>
      <c r="K389" s="935"/>
      <c r="L389" s="933"/>
      <c r="M389" s="933"/>
      <c r="N389" s="945"/>
      <c r="O389" s="933"/>
      <c r="P389" s="933"/>
      <c r="Q389" s="933"/>
      <c r="R389" s="933"/>
      <c r="S389" s="933"/>
      <c r="T389" s="933"/>
      <c r="U389" s="933"/>
      <c r="V389" s="933"/>
      <c r="W389" s="933"/>
      <c r="X389" s="933"/>
      <c r="Y389" s="933"/>
      <c r="Z389" s="933"/>
      <c r="AA389" s="933"/>
      <c r="AB389" s="933"/>
      <c r="AC389" s="933"/>
      <c r="AD389" s="933"/>
    </row>
    <row r="390" spans="1:30" ht="12.75">
      <c r="A390" s="933"/>
      <c r="B390" s="933"/>
      <c r="C390" s="933"/>
      <c r="D390" s="933"/>
      <c r="E390" s="933"/>
      <c r="F390" s="933"/>
      <c r="G390" s="933"/>
      <c r="H390" s="933"/>
      <c r="I390" s="933"/>
      <c r="J390" s="933"/>
      <c r="K390" s="935"/>
      <c r="L390" s="933"/>
      <c r="M390" s="933"/>
      <c r="N390" s="945"/>
      <c r="O390" s="933"/>
      <c r="P390" s="933"/>
      <c r="Q390" s="933"/>
      <c r="R390" s="933"/>
      <c r="S390" s="933"/>
      <c r="T390" s="933"/>
      <c r="U390" s="933"/>
      <c r="V390" s="933"/>
      <c r="W390" s="933"/>
      <c r="X390" s="933"/>
      <c r="Y390" s="933"/>
      <c r="Z390" s="933"/>
      <c r="AA390" s="933"/>
      <c r="AB390" s="933"/>
      <c r="AC390" s="933"/>
      <c r="AD390" s="933"/>
    </row>
    <row r="391" spans="1:30" ht="12.75">
      <c r="A391" s="933"/>
      <c r="B391" s="933"/>
      <c r="C391" s="933"/>
      <c r="D391" s="933"/>
      <c r="E391" s="933"/>
      <c r="F391" s="933"/>
      <c r="G391" s="933"/>
      <c r="H391" s="933"/>
      <c r="I391" s="933"/>
      <c r="J391" s="933"/>
      <c r="K391" s="935"/>
      <c r="L391" s="933"/>
      <c r="M391" s="933"/>
      <c r="N391" s="945"/>
      <c r="O391" s="933"/>
      <c r="P391" s="933"/>
      <c r="Q391" s="933"/>
      <c r="R391" s="933"/>
      <c r="S391" s="933"/>
      <c r="T391" s="933"/>
      <c r="U391" s="933"/>
      <c r="V391" s="933"/>
      <c r="W391" s="933"/>
      <c r="X391" s="933"/>
      <c r="Y391" s="933"/>
      <c r="Z391" s="933"/>
      <c r="AA391" s="933"/>
      <c r="AB391" s="933"/>
      <c r="AC391" s="933"/>
      <c r="AD391" s="933"/>
    </row>
    <row r="392" spans="1:30" ht="12.75">
      <c r="A392" s="933"/>
      <c r="B392" s="933"/>
      <c r="C392" s="933"/>
      <c r="D392" s="933"/>
      <c r="E392" s="933"/>
      <c r="F392" s="933"/>
      <c r="G392" s="933"/>
      <c r="H392" s="933"/>
      <c r="I392" s="933"/>
      <c r="J392" s="933"/>
      <c r="K392" s="935"/>
      <c r="L392" s="933"/>
      <c r="M392" s="933"/>
      <c r="N392" s="945"/>
      <c r="O392" s="933"/>
      <c r="P392" s="933"/>
      <c r="Q392" s="933"/>
      <c r="R392" s="933"/>
      <c r="S392" s="933"/>
      <c r="T392" s="933"/>
      <c r="U392" s="933"/>
      <c r="V392" s="933"/>
      <c r="W392" s="933"/>
      <c r="X392" s="933"/>
      <c r="Y392" s="933"/>
      <c r="Z392" s="933"/>
      <c r="AA392" s="933"/>
      <c r="AB392" s="933"/>
      <c r="AC392" s="933"/>
      <c r="AD392" s="933"/>
    </row>
    <row r="393" spans="1:30" ht="12.75">
      <c r="A393" s="933"/>
      <c r="B393" s="933"/>
      <c r="C393" s="933"/>
      <c r="D393" s="933"/>
      <c r="E393" s="933"/>
      <c r="F393" s="933"/>
      <c r="G393" s="933"/>
      <c r="H393" s="933"/>
      <c r="I393" s="933"/>
      <c r="J393" s="933"/>
      <c r="K393" s="935"/>
      <c r="L393" s="933"/>
      <c r="M393" s="933"/>
      <c r="N393" s="945"/>
      <c r="O393" s="933"/>
      <c r="P393" s="933"/>
      <c r="Q393" s="933"/>
      <c r="R393" s="933"/>
      <c r="S393" s="933"/>
      <c r="T393" s="933"/>
      <c r="U393" s="933"/>
      <c r="V393" s="933"/>
      <c r="W393" s="933"/>
      <c r="X393" s="933"/>
      <c r="Y393" s="933"/>
      <c r="Z393" s="933"/>
      <c r="AA393" s="933"/>
      <c r="AB393" s="933"/>
      <c r="AC393" s="933"/>
      <c r="AD393" s="933"/>
    </row>
    <row r="394" spans="1:30" ht="12.75">
      <c r="A394" s="933"/>
      <c r="B394" s="933"/>
      <c r="C394" s="933"/>
      <c r="D394" s="933"/>
      <c r="E394" s="933"/>
      <c r="F394" s="933"/>
      <c r="G394" s="933"/>
      <c r="H394" s="933"/>
      <c r="I394" s="933"/>
      <c r="J394" s="933"/>
      <c r="K394" s="935"/>
      <c r="L394" s="933"/>
      <c r="M394" s="933"/>
      <c r="N394" s="945"/>
      <c r="O394" s="933"/>
      <c r="P394" s="933"/>
      <c r="Q394" s="933"/>
      <c r="R394" s="933"/>
      <c r="S394" s="933"/>
      <c r="T394" s="933"/>
      <c r="U394" s="933"/>
      <c r="V394" s="933"/>
      <c r="W394" s="933"/>
      <c r="X394" s="933"/>
      <c r="Y394" s="933"/>
      <c r="Z394" s="933"/>
      <c r="AA394" s="933"/>
      <c r="AB394" s="933"/>
      <c r="AC394" s="933"/>
      <c r="AD394" s="933"/>
    </row>
    <row r="395" spans="1:30" ht="12.75">
      <c r="A395" s="933"/>
      <c r="B395" s="933"/>
      <c r="C395" s="933"/>
      <c r="D395" s="933"/>
      <c r="E395" s="933"/>
      <c r="F395" s="933"/>
      <c r="G395" s="933"/>
      <c r="H395" s="933"/>
      <c r="I395" s="933"/>
      <c r="J395" s="933"/>
      <c r="K395" s="935"/>
      <c r="L395" s="933"/>
      <c r="M395" s="933"/>
      <c r="N395" s="945"/>
      <c r="O395" s="933"/>
      <c r="P395" s="933"/>
      <c r="Q395" s="933"/>
      <c r="R395" s="933"/>
      <c r="S395" s="933"/>
      <c r="T395" s="933"/>
      <c r="U395" s="933"/>
      <c r="V395" s="933"/>
      <c r="W395" s="933"/>
      <c r="X395" s="933"/>
      <c r="Y395" s="933"/>
      <c r="Z395" s="933"/>
      <c r="AA395" s="933"/>
      <c r="AB395" s="933"/>
      <c r="AC395" s="933"/>
      <c r="AD395" s="933"/>
    </row>
    <row r="396" spans="1:30" ht="12.75">
      <c r="A396" s="933"/>
      <c r="B396" s="933"/>
      <c r="C396" s="933"/>
      <c r="D396" s="933"/>
      <c r="E396" s="933"/>
      <c r="F396" s="933"/>
      <c r="G396" s="933"/>
      <c r="H396" s="933"/>
      <c r="I396" s="933"/>
      <c r="J396" s="933"/>
      <c r="K396" s="935"/>
      <c r="L396" s="933"/>
      <c r="M396" s="933"/>
      <c r="N396" s="945"/>
      <c r="O396" s="933"/>
      <c r="P396" s="933"/>
      <c r="Q396" s="933"/>
      <c r="R396" s="933"/>
      <c r="S396" s="933"/>
      <c r="T396" s="933"/>
      <c r="U396" s="933"/>
      <c r="V396" s="933"/>
      <c r="W396" s="933"/>
      <c r="X396" s="933"/>
      <c r="Y396" s="933"/>
      <c r="Z396" s="933"/>
      <c r="AA396" s="933"/>
      <c r="AB396" s="933"/>
      <c r="AC396" s="933"/>
      <c r="AD396" s="933"/>
    </row>
    <row r="397" spans="1:30" ht="12.75">
      <c r="A397" s="933"/>
      <c r="B397" s="933"/>
      <c r="C397" s="933"/>
      <c r="D397" s="933"/>
      <c r="E397" s="933"/>
      <c r="F397" s="933"/>
      <c r="G397" s="933"/>
      <c r="H397" s="933"/>
      <c r="I397" s="933"/>
      <c r="J397" s="933"/>
      <c r="K397" s="935"/>
      <c r="L397" s="933"/>
      <c r="M397" s="933"/>
      <c r="N397" s="945"/>
      <c r="O397" s="933"/>
      <c r="P397" s="933"/>
      <c r="Q397" s="933"/>
      <c r="R397" s="933"/>
      <c r="S397" s="933"/>
      <c r="T397" s="933"/>
      <c r="U397" s="933"/>
      <c r="V397" s="933"/>
      <c r="W397" s="933"/>
      <c r="X397" s="933"/>
      <c r="Y397" s="933"/>
      <c r="Z397" s="933"/>
      <c r="AA397" s="933"/>
      <c r="AB397" s="933"/>
      <c r="AC397" s="933"/>
      <c r="AD397" s="933"/>
    </row>
    <row r="398" spans="1:30" ht="12.75">
      <c r="A398" s="933"/>
      <c r="B398" s="933"/>
      <c r="C398" s="933"/>
      <c r="D398" s="933"/>
      <c r="E398" s="933"/>
      <c r="F398" s="933"/>
      <c r="G398" s="933"/>
      <c r="H398" s="933"/>
      <c r="I398" s="933"/>
      <c r="J398" s="933"/>
      <c r="K398" s="935"/>
      <c r="L398" s="933"/>
      <c r="M398" s="933"/>
      <c r="N398" s="945"/>
      <c r="O398" s="933"/>
      <c r="P398" s="933"/>
      <c r="Q398" s="933"/>
      <c r="R398" s="933"/>
      <c r="S398" s="933"/>
      <c r="T398" s="933"/>
      <c r="U398" s="933"/>
      <c r="V398" s="933"/>
      <c r="W398" s="933"/>
      <c r="X398" s="933"/>
      <c r="Y398" s="933"/>
      <c r="Z398" s="933"/>
      <c r="AA398" s="933"/>
      <c r="AB398" s="933"/>
      <c r="AC398" s="933"/>
      <c r="AD398" s="933"/>
    </row>
    <row r="399" spans="1:30" ht="12.75">
      <c r="A399" s="933"/>
      <c r="B399" s="933"/>
      <c r="C399" s="933"/>
      <c r="D399" s="933"/>
      <c r="E399" s="933"/>
      <c r="F399" s="933"/>
      <c r="G399" s="933"/>
      <c r="H399" s="933"/>
      <c r="I399" s="933"/>
      <c r="J399" s="933"/>
      <c r="K399" s="935"/>
      <c r="L399" s="933"/>
      <c r="M399" s="933"/>
      <c r="N399" s="945"/>
      <c r="O399" s="933"/>
      <c r="P399" s="933"/>
      <c r="Q399" s="933"/>
      <c r="R399" s="933"/>
      <c r="S399" s="933"/>
      <c r="T399" s="933"/>
      <c r="U399" s="933"/>
      <c r="V399" s="933"/>
      <c r="W399" s="933"/>
      <c r="X399" s="933"/>
      <c r="Y399" s="933"/>
      <c r="Z399" s="933"/>
      <c r="AA399" s="933"/>
      <c r="AB399" s="933"/>
      <c r="AC399" s="933"/>
      <c r="AD399" s="933"/>
    </row>
    <row r="400" spans="1:30" ht="12.75">
      <c r="A400" s="933"/>
      <c r="B400" s="933"/>
      <c r="C400" s="933"/>
      <c r="D400" s="933"/>
      <c r="E400" s="933"/>
      <c r="F400" s="933"/>
      <c r="G400" s="933"/>
      <c r="H400" s="933"/>
      <c r="I400" s="933"/>
      <c r="J400" s="933"/>
      <c r="K400" s="935"/>
      <c r="L400" s="933"/>
      <c r="M400" s="933"/>
      <c r="N400" s="945"/>
      <c r="O400" s="933"/>
      <c r="P400" s="933"/>
      <c r="Q400" s="933"/>
      <c r="R400" s="933"/>
      <c r="S400" s="933"/>
      <c r="T400" s="933"/>
      <c r="U400" s="933"/>
      <c r="V400" s="933"/>
      <c r="W400" s="933"/>
      <c r="X400" s="933"/>
      <c r="Y400" s="933"/>
      <c r="Z400" s="933"/>
      <c r="AA400" s="933"/>
      <c r="AB400" s="933"/>
      <c r="AC400" s="933"/>
      <c r="AD400" s="933"/>
    </row>
    <row r="401" spans="1:30" ht="12.75">
      <c r="A401" s="933"/>
      <c r="B401" s="933"/>
      <c r="C401" s="933"/>
      <c r="D401" s="933"/>
      <c r="E401" s="933"/>
      <c r="F401" s="933"/>
      <c r="G401" s="933"/>
      <c r="H401" s="933"/>
      <c r="I401" s="933"/>
      <c r="J401" s="933"/>
      <c r="K401" s="935"/>
      <c r="L401" s="933"/>
      <c r="M401" s="933"/>
      <c r="N401" s="945"/>
      <c r="O401" s="933"/>
      <c r="P401" s="933"/>
      <c r="Q401" s="933"/>
      <c r="R401" s="933"/>
      <c r="S401" s="933"/>
      <c r="T401" s="933"/>
      <c r="U401" s="933"/>
      <c r="V401" s="933"/>
      <c r="W401" s="933"/>
      <c r="X401" s="933"/>
      <c r="Y401" s="933"/>
      <c r="Z401" s="933"/>
      <c r="AA401" s="933"/>
      <c r="AB401" s="933"/>
      <c r="AC401" s="933"/>
      <c r="AD401" s="933"/>
    </row>
    <row r="402" spans="1:30" ht="12.75">
      <c r="A402" s="933"/>
      <c r="B402" s="933"/>
      <c r="C402" s="933"/>
      <c r="D402" s="933"/>
      <c r="E402" s="933"/>
      <c r="F402" s="933"/>
      <c r="G402" s="933"/>
      <c r="H402" s="933"/>
      <c r="I402" s="933"/>
      <c r="J402" s="933"/>
      <c r="K402" s="935"/>
      <c r="L402" s="933"/>
      <c r="M402" s="933"/>
      <c r="N402" s="945"/>
      <c r="O402" s="933"/>
      <c r="P402" s="933"/>
      <c r="Q402" s="933"/>
      <c r="R402" s="933"/>
      <c r="S402" s="933"/>
      <c r="T402" s="933"/>
      <c r="U402" s="933"/>
      <c r="V402" s="933"/>
      <c r="W402" s="933"/>
      <c r="X402" s="933"/>
      <c r="Y402" s="933"/>
      <c r="Z402" s="933"/>
      <c r="AA402" s="933"/>
      <c r="AB402" s="933"/>
      <c r="AC402" s="933"/>
      <c r="AD402" s="933"/>
    </row>
    <row r="403" spans="1:30" ht="12.75">
      <c r="A403" s="933"/>
      <c r="B403" s="933"/>
      <c r="C403" s="933"/>
      <c r="D403" s="933"/>
      <c r="E403" s="933"/>
      <c r="F403" s="933"/>
      <c r="G403" s="933"/>
      <c r="H403" s="933"/>
      <c r="I403" s="933"/>
      <c r="J403" s="933"/>
      <c r="K403" s="935"/>
      <c r="L403" s="933"/>
      <c r="M403" s="933"/>
      <c r="N403" s="945"/>
      <c r="O403" s="933"/>
      <c r="P403" s="933"/>
      <c r="Q403" s="933"/>
      <c r="R403" s="933"/>
      <c r="S403" s="933"/>
      <c r="T403" s="933"/>
      <c r="U403" s="933"/>
      <c r="V403" s="933"/>
      <c r="W403" s="933"/>
      <c r="X403" s="933"/>
      <c r="Y403" s="933"/>
      <c r="Z403" s="933"/>
      <c r="AA403" s="933"/>
      <c r="AB403" s="933"/>
      <c r="AC403" s="933"/>
      <c r="AD403" s="933"/>
    </row>
    <row r="404" spans="1:30" ht="12.75">
      <c r="A404" s="933"/>
      <c r="B404" s="933"/>
      <c r="C404" s="933"/>
      <c r="D404" s="933"/>
      <c r="E404" s="933"/>
      <c r="F404" s="933"/>
      <c r="G404" s="933"/>
      <c r="H404" s="933"/>
      <c r="I404" s="933"/>
      <c r="J404" s="933"/>
      <c r="K404" s="935"/>
      <c r="L404" s="933"/>
      <c r="M404" s="933"/>
      <c r="N404" s="945"/>
      <c r="O404" s="933"/>
      <c r="P404" s="933"/>
      <c r="Q404" s="933"/>
      <c r="R404" s="933"/>
      <c r="S404" s="933"/>
      <c r="T404" s="933"/>
      <c r="U404" s="933"/>
      <c r="V404" s="933"/>
      <c r="W404" s="933"/>
      <c r="X404" s="933"/>
      <c r="Y404" s="933"/>
      <c r="Z404" s="933"/>
      <c r="AA404" s="933"/>
      <c r="AB404" s="933"/>
      <c r="AC404" s="933"/>
      <c r="AD404" s="933"/>
    </row>
    <row r="405" spans="1:30" ht="12.75">
      <c r="A405" s="933"/>
      <c r="B405" s="933"/>
      <c r="C405" s="933"/>
      <c r="D405" s="933"/>
      <c r="E405" s="933"/>
      <c r="F405" s="933"/>
      <c r="G405" s="933"/>
      <c r="H405" s="933"/>
      <c r="I405" s="933"/>
      <c r="J405" s="933"/>
      <c r="K405" s="935"/>
      <c r="L405" s="933"/>
      <c r="M405" s="933"/>
      <c r="N405" s="945"/>
      <c r="O405" s="933"/>
      <c r="P405" s="933"/>
      <c r="Q405" s="933"/>
      <c r="R405" s="933"/>
      <c r="S405" s="933"/>
      <c r="T405" s="933"/>
      <c r="U405" s="933"/>
      <c r="V405" s="933"/>
      <c r="W405" s="933"/>
      <c r="X405" s="933"/>
      <c r="Y405" s="933"/>
      <c r="Z405" s="933"/>
      <c r="AA405" s="933"/>
      <c r="AB405" s="933"/>
      <c r="AC405" s="933"/>
      <c r="AD405" s="933"/>
    </row>
    <row r="406" spans="1:30" ht="12.75">
      <c r="A406" s="933"/>
      <c r="B406" s="933"/>
      <c r="C406" s="933"/>
      <c r="D406" s="933"/>
      <c r="E406" s="933"/>
      <c r="F406" s="933"/>
      <c r="G406" s="933"/>
      <c r="H406" s="933"/>
      <c r="I406" s="933"/>
      <c r="J406" s="933"/>
      <c r="K406" s="935"/>
      <c r="L406" s="933"/>
      <c r="M406" s="933"/>
      <c r="N406" s="945"/>
      <c r="O406" s="933"/>
      <c r="P406" s="933"/>
      <c r="Q406" s="933"/>
      <c r="R406" s="933"/>
      <c r="S406" s="933"/>
      <c r="T406" s="933"/>
      <c r="U406" s="933"/>
      <c r="V406" s="933"/>
      <c r="W406" s="933"/>
      <c r="X406" s="933"/>
      <c r="Y406" s="933"/>
      <c r="Z406" s="933"/>
      <c r="AA406" s="933"/>
      <c r="AB406" s="933"/>
      <c r="AC406" s="933"/>
      <c r="AD406" s="933"/>
    </row>
    <row r="407" spans="1:30" ht="12.75">
      <c r="A407" s="933"/>
      <c r="B407" s="933"/>
      <c r="C407" s="933"/>
      <c r="D407" s="933"/>
      <c r="E407" s="933"/>
      <c r="F407" s="933"/>
      <c r="G407" s="933"/>
      <c r="H407" s="933"/>
      <c r="I407" s="933"/>
      <c r="J407" s="933"/>
      <c r="K407" s="935"/>
      <c r="L407" s="933"/>
      <c r="M407" s="933"/>
      <c r="N407" s="945"/>
      <c r="O407" s="933"/>
      <c r="P407" s="933"/>
      <c r="Q407" s="933"/>
      <c r="R407" s="933"/>
      <c r="S407" s="933"/>
      <c r="T407" s="933"/>
      <c r="U407" s="933"/>
      <c r="V407" s="933"/>
      <c r="W407" s="933"/>
      <c r="X407" s="933"/>
      <c r="Y407" s="933"/>
      <c r="Z407" s="933"/>
      <c r="AA407" s="933"/>
      <c r="AB407" s="933"/>
      <c r="AC407" s="933"/>
      <c r="AD407" s="933"/>
    </row>
    <row r="408" spans="1:30" ht="12.75">
      <c r="A408" s="933"/>
      <c r="B408" s="933"/>
      <c r="C408" s="933"/>
      <c r="D408" s="933"/>
      <c r="E408" s="933"/>
      <c r="F408" s="933"/>
      <c r="G408" s="933"/>
      <c r="H408" s="933"/>
      <c r="I408" s="933"/>
      <c r="J408" s="933"/>
      <c r="K408" s="935"/>
      <c r="L408" s="933"/>
      <c r="M408" s="933"/>
      <c r="N408" s="945"/>
      <c r="O408" s="933"/>
      <c r="P408" s="933"/>
      <c r="Q408" s="933"/>
      <c r="R408" s="933"/>
      <c r="S408" s="933"/>
      <c r="T408" s="933"/>
      <c r="U408" s="933"/>
      <c r="V408" s="933"/>
      <c r="W408" s="933"/>
      <c r="X408" s="933"/>
      <c r="Y408" s="933"/>
      <c r="Z408" s="933"/>
      <c r="AA408" s="933"/>
      <c r="AB408" s="933"/>
      <c r="AC408" s="933"/>
      <c r="AD408" s="933"/>
    </row>
    <row r="409" spans="1:30" ht="12.75">
      <c r="A409" s="933"/>
      <c r="B409" s="933"/>
      <c r="C409" s="933"/>
      <c r="D409" s="933"/>
      <c r="E409" s="933"/>
      <c r="F409" s="933"/>
      <c r="G409" s="933"/>
      <c r="H409" s="933"/>
      <c r="I409" s="933"/>
      <c r="J409" s="933"/>
      <c r="K409" s="935"/>
      <c r="L409" s="933"/>
      <c r="M409" s="933"/>
      <c r="N409" s="945"/>
      <c r="O409" s="933"/>
      <c r="P409" s="933"/>
      <c r="Q409" s="933"/>
      <c r="R409" s="933"/>
      <c r="S409" s="933"/>
      <c r="T409" s="933"/>
      <c r="U409" s="933"/>
      <c r="V409" s="933"/>
      <c r="W409" s="933"/>
      <c r="X409" s="933"/>
      <c r="Y409" s="933"/>
      <c r="Z409" s="933"/>
      <c r="AA409" s="933"/>
      <c r="AB409" s="933"/>
      <c r="AC409" s="933"/>
      <c r="AD409" s="933"/>
    </row>
    <row r="410" spans="1:30" ht="12.75">
      <c r="A410" s="933"/>
      <c r="B410" s="933"/>
      <c r="C410" s="933"/>
      <c r="D410" s="933"/>
      <c r="E410" s="933"/>
      <c r="F410" s="933"/>
      <c r="G410" s="933"/>
      <c r="H410" s="933"/>
      <c r="I410" s="933"/>
      <c r="J410" s="933"/>
      <c r="K410" s="935"/>
      <c r="L410" s="933"/>
      <c r="M410" s="933"/>
      <c r="N410" s="945"/>
      <c r="O410" s="933"/>
      <c r="P410" s="933"/>
      <c r="Q410" s="933"/>
      <c r="R410" s="933"/>
      <c r="S410" s="933"/>
      <c r="T410" s="933"/>
      <c r="U410" s="933"/>
      <c r="V410" s="933"/>
      <c r="W410" s="933"/>
      <c r="X410" s="933"/>
      <c r="Y410" s="933"/>
      <c r="Z410" s="933"/>
      <c r="AA410" s="933"/>
      <c r="AB410" s="933"/>
      <c r="AC410" s="933"/>
      <c r="AD410" s="933"/>
    </row>
    <row r="411" spans="1:30" ht="12.75">
      <c r="A411" s="933"/>
      <c r="B411" s="933"/>
      <c r="C411" s="933"/>
      <c r="D411" s="933"/>
      <c r="E411" s="933"/>
      <c r="F411" s="933"/>
      <c r="G411" s="933"/>
      <c r="H411" s="933"/>
      <c r="I411" s="933"/>
      <c r="J411" s="933"/>
      <c r="K411" s="935"/>
      <c r="L411" s="933"/>
      <c r="M411" s="933"/>
      <c r="N411" s="945"/>
      <c r="O411" s="933"/>
      <c r="P411" s="933"/>
      <c r="Q411" s="933"/>
      <c r="R411" s="933"/>
      <c r="S411" s="933"/>
      <c r="T411" s="933"/>
      <c r="U411" s="933"/>
      <c r="V411" s="933"/>
      <c r="W411" s="933"/>
      <c r="X411" s="933"/>
      <c r="Y411" s="933"/>
      <c r="Z411" s="933"/>
      <c r="AA411" s="933"/>
      <c r="AB411" s="933"/>
      <c r="AC411" s="933"/>
      <c r="AD411" s="933"/>
    </row>
    <row r="412" spans="1:30" ht="12.75">
      <c r="A412" s="933"/>
      <c r="B412" s="933"/>
      <c r="C412" s="933"/>
      <c r="D412" s="933"/>
      <c r="E412" s="933"/>
      <c r="F412" s="933"/>
      <c r="G412" s="933"/>
      <c r="H412" s="933"/>
      <c r="I412" s="933"/>
      <c r="J412" s="933"/>
      <c r="K412" s="935"/>
      <c r="L412" s="933"/>
      <c r="M412" s="933"/>
      <c r="N412" s="945"/>
      <c r="O412" s="933"/>
      <c r="P412" s="933"/>
      <c r="Q412" s="933"/>
      <c r="R412" s="933"/>
      <c r="S412" s="933"/>
      <c r="T412" s="933"/>
      <c r="U412" s="933"/>
      <c r="V412" s="933"/>
      <c r="W412" s="933"/>
      <c r="X412" s="933"/>
      <c r="Y412" s="933"/>
      <c r="Z412" s="933"/>
      <c r="AA412" s="933"/>
      <c r="AB412" s="933"/>
      <c r="AC412" s="933"/>
      <c r="AD412" s="933"/>
    </row>
    <row r="413" spans="1:30" ht="12.75">
      <c r="A413" s="933"/>
      <c r="B413" s="933"/>
      <c r="C413" s="933"/>
      <c r="D413" s="933"/>
      <c r="E413" s="933"/>
      <c r="F413" s="933"/>
      <c r="G413" s="933"/>
      <c r="H413" s="933"/>
      <c r="I413" s="933"/>
      <c r="J413" s="933"/>
      <c r="K413" s="935"/>
      <c r="L413" s="933"/>
      <c r="M413" s="933"/>
      <c r="N413" s="945"/>
      <c r="O413" s="933"/>
      <c r="P413" s="933"/>
      <c r="Q413" s="933"/>
      <c r="R413" s="933"/>
      <c r="S413" s="933"/>
      <c r="T413" s="933"/>
      <c r="U413" s="933"/>
      <c r="V413" s="933"/>
      <c r="W413" s="933"/>
      <c r="X413" s="933"/>
      <c r="Y413" s="933"/>
      <c r="Z413" s="933"/>
      <c r="AA413" s="933"/>
      <c r="AB413" s="933"/>
      <c r="AC413" s="933"/>
      <c r="AD413" s="933"/>
    </row>
    <row r="414" spans="1:30" ht="12.75">
      <c r="A414" s="933"/>
      <c r="B414" s="933"/>
      <c r="C414" s="933"/>
      <c r="D414" s="933"/>
      <c r="E414" s="933"/>
      <c r="F414" s="933"/>
      <c r="G414" s="933"/>
      <c r="H414" s="933"/>
      <c r="I414" s="933"/>
      <c r="J414" s="933"/>
      <c r="K414" s="935"/>
      <c r="L414" s="933"/>
      <c r="M414" s="933"/>
      <c r="N414" s="945"/>
      <c r="O414" s="933"/>
      <c r="P414" s="933"/>
      <c r="Q414" s="933"/>
      <c r="R414" s="933"/>
      <c r="S414" s="933"/>
      <c r="T414" s="933"/>
      <c r="U414" s="933"/>
      <c r="V414" s="933"/>
      <c r="W414" s="933"/>
      <c r="X414" s="933"/>
      <c r="Y414" s="933"/>
      <c r="Z414" s="933"/>
      <c r="AA414" s="933"/>
      <c r="AB414" s="933"/>
      <c r="AC414" s="933"/>
      <c r="AD414" s="933"/>
    </row>
    <row r="415" spans="1:30" ht="12.75">
      <c r="A415" s="933"/>
      <c r="B415" s="933"/>
      <c r="C415" s="933"/>
      <c r="D415" s="933"/>
      <c r="E415" s="933"/>
      <c r="F415" s="933"/>
      <c r="G415" s="933"/>
      <c r="H415" s="933"/>
      <c r="I415" s="933"/>
      <c r="J415" s="933"/>
      <c r="K415" s="935"/>
      <c r="L415" s="933"/>
      <c r="M415" s="933"/>
      <c r="N415" s="945"/>
      <c r="O415" s="933"/>
      <c r="P415" s="933"/>
      <c r="Q415" s="933"/>
      <c r="R415" s="933"/>
      <c r="S415" s="933"/>
      <c r="T415" s="933"/>
      <c r="U415" s="933"/>
      <c r="V415" s="933"/>
      <c r="W415" s="933"/>
      <c r="X415" s="933"/>
      <c r="Y415" s="933"/>
      <c r="Z415" s="933"/>
      <c r="AA415" s="933"/>
      <c r="AB415" s="933"/>
      <c r="AC415" s="933"/>
      <c r="AD415" s="933"/>
    </row>
    <row r="416" spans="1:30" ht="12.75">
      <c r="A416" s="933"/>
      <c r="B416" s="933"/>
      <c r="C416" s="933"/>
      <c r="D416" s="933"/>
      <c r="E416" s="933"/>
      <c r="F416" s="933"/>
      <c r="G416" s="933"/>
      <c r="H416" s="933"/>
      <c r="I416" s="933"/>
      <c r="J416" s="933"/>
      <c r="K416" s="935"/>
      <c r="L416" s="933"/>
      <c r="M416" s="933"/>
      <c r="N416" s="945"/>
      <c r="O416" s="933"/>
      <c r="P416" s="933"/>
      <c r="Q416" s="933"/>
      <c r="R416" s="933"/>
      <c r="S416" s="933"/>
      <c r="T416" s="933"/>
      <c r="U416" s="933"/>
      <c r="V416" s="933"/>
      <c r="W416" s="933"/>
      <c r="X416" s="933"/>
      <c r="Y416" s="933"/>
      <c r="Z416" s="933"/>
      <c r="AA416" s="933"/>
      <c r="AB416" s="933"/>
      <c r="AC416" s="933"/>
      <c r="AD416" s="933"/>
    </row>
    <row r="417" spans="1:30" ht="12.75">
      <c r="A417" s="933"/>
      <c r="B417" s="933"/>
      <c r="C417" s="933"/>
      <c r="D417" s="933"/>
      <c r="E417" s="933"/>
      <c r="F417" s="933"/>
      <c r="G417" s="933"/>
      <c r="H417" s="933"/>
      <c r="I417" s="933"/>
      <c r="J417" s="933"/>
      <c r="K417" s="935"/>
      <c r="L417" s="933"/>
      <c r="M417" s="933"/>
      <c r="N417" s="945"/>
      <c r="O417" s="933"/>
      <c r="P417" s="933"/>
      <c r="Q417" s="933"/>
      <c r="R417" s="933"/>
      <c r="S417" s="933"/>
      <c r="T417" s="933"/>
      <c r="U417" s="933"/>
      <c r="V417" s="933"/>
      <c r="W417" s="933"/>
      <c r="X417" s="933"/>
      <c r="Y417" s="933"/>
      <c r="Z417" s="933"/>
      <c r="AA417" s="933"/>
      <c r="AB417" s="933"/>
      <c r="AC417" s="933"/>
      <c r="AD417" s="933"/>
    </row>
    <row r="418" spans="1:30" ht="12.75">
      <c r="A418" s="933"/>
      <c r="B418" s="933"/>
      <c r="C418" s="933"/>
      <c r="D418" s="933"/>
      <c r="E418" s="933"/>
      <c r="F418" s="933"/>
      <c r="G418" s="933"/>
      <c r="H418" s="933"/>
      <c r="I418" s="933"/>
      <c r="J418" s="933"/>
      <c r="K418" s="935"/>
      <c r="L418" s="933"/>
      <c r="M418" s="933"/>
      <c r="N418" s="945"/>
      <c r="O418" s="933"/>
      <c r="P418" s="933"/>
      <c r="Q418" s="933"/>
      <c r="R418" s="933"/>
      <c r="S418" s="933"/>
      <c r="T418" s="933"/>
      <c r="U418" s="933"/>
      <c r="V418" s="933"/>
      <c r="W418" s="933"/>
      <c r="X418" s="933"/>
      <c r="Y418" s="933"/>
      <c r="Z418" s="933"/>
      <c r="AA418" s="933"/>
      <c r="AB418" s="933"/>
      <c r="AC418" s="933"/>
      <c r="AD418" s="933"/>
    </row>
    <row r="419" spans="1:30" ht="12.75">
      <c r="A419" s="933"/>
      <c r="B419" s="933"/>
      <c r="C419" s="933"/>
      <c r="D419" s="933"/>
      <c r="E419" s="933"/>
      <c r="F419" s="933"/>
      <c r="G419" s="933"/>
      <c r="H419" s="933"/>
      <c r="I419" s="933"/>
      <c r="J419" s="933"/>
      <c r="K419" s="935"/>
      <c r="L419" s="933"/>
      <c r="M419" s="933"/>
      <c r="N419" s="945"/>
      <c r="O419" s="933"/>
      <c r="P419" s="933"/>
      <c r="Q419" s="933"/>
      <c r="R419" s="933"/>
      <c r="S419" s="933"/>
      <c r="T419" s="933"/>
      <c r="U419" s="933"/>
      <c r="V419" s="933"/>
      <c r="W419" s="933"/>
      <c r="X419" s="933"/>
      <c r="Y419" s="933"/>
      <c r="Z419" s="933"/>
      <c r="AA419" s="933"/>
      <c r="AB419" s="933"/>
      <c r="AC419" s="933"/>
      <c r="AD419" s="933"/>
    </row>
    <row r="420" spans="1:30" ht="12.75">
      <c r="A420" s="933"/>
      <c r="B420" s="933"/>
      <c r="C420" s="933"/>
      <c r="D420" s="933"/>
      <c r="E420" s="933"/>
      <c r="F420" s="933"/>
      <c r="G420" s="933"/>
      <c r="H420" s="933"/>
      <c r="I420" s="933"/>
      <c r="J420" s="933"/>
      <c r="K420" s="935"/>
      <c r="L420" s="933"/>
      <c r="M420" s="933"/>
      <c r="N420" s="945"/>
      <c r="O420" s="933"/>
      <c r="P420" s="933"/>
      <c r="Q420" s="933"/>
      <c r="R420" s="933"/>
      <c r="S420" s="933"/>
      <c r="T420" s="933"/>
      <c r="U420" s="933"/>
      <c r="V420" s="933"/>
      <c r="W420" s="933"/>
      <c r="X420" s="933"/>
      <c r="Y420" s="933"/>
      <c r="Z420" s="933"/>
      <c r="AA420" s="933"/>
      <c r="AB420" s="933"/>
      <c r="AC420" s="933"/>
      <c r="AD420" s="933"/>
    </row>
    <row r="421" spans="1:30" ht="12.75">
      <c r="A421" s="933"/>
      <c r="B421" s="933"/>
      <c r="C421" s="933"/>
      <c r="D421" s="933"/>
      <c r="E421" s="933"/>
      <c r="F421" s="933"/>
      <c r="G421" s="933"/>
      <c r="H421" s="933"/>
      <c r="I421" s="933"/>
      <c r="J421" s="933"/>
      <c r="K421" s="935"/>
      <c r="L421" s="933"/>
      <c r="M421" s="933"/>
      <c r="N421" s="945"/>
      <c r="O421" s="933"/>
      <c r="P421" s="933"/>
      <c r="Q421" s="933"/>
      <c r="R421" s="933"/>
      <c r="S421" s="933"/>
      <c r="T421" s="933"/>
      <c r="U421" s="933"/>
      <c r="V421" s="933"/>
      <c r="W421" s="933"/>
      <c r="X421" s="933"/>
      <c r="Y421" s="933"/>
      <c r="Z421" s="933"/>
      <c r="AA421" s="933"/>
      <c r="AB421" s="933"/>
      <c r="AC421" s="933"/>
      <c r="AD421" s="933"/>
    </row>
    <row r="422" spans="1:30" ht="12.75">
      <c r="A422" s="933"/>
      <c r="B422" s="933"/>
      <c r="C422" s="933"/>
      <c r="D422" s="933"/>
      <c r="E422" s="933"/>
      <c r="F422" s="933"/>
      <c r="G422" s="933"/>
      <c r="H422" s="933"/>
      <c r="I422" s="933"/>
      <c r="J422" s="933"/>
      <c r="K422" s="935"/>
      <c r="L422" s="933"/>
      <c r="M422" s="933"/>
      <c r="N422" s="945"/>
      <c r="O422" s="933"/>
      <c r="P422" s="933"/>
      <c r="Q422" s="933"/>
      <c r="R422" s="933"/>
      <c r="S422" s="933"/>
      <c r="T422" s="933"/>
      <c r="U422" s="933"/>
      <c r="V422" s="933"/>
      <c r="W422" s="933"/>
      <c r="X422" s="933"/>
      <c r="Y422" s="933"/>
      <c r="Z422" s="933"/>
      <c r="AA422" s="933"/>
      <c r="AB422" s="933"/>
      <c r="AC422" s="933"/>
      <c r="AD422" s="933"/>
    </row>
    <row r="423" spans="1:30" ht="12.75">
      <c r="A423" s="933"/>
      <c r="B423" s="933"/>
      <c r="C423" s="933"/>
      <c r="D423" s="933"/>
      <c r="E423" s="933"/>
      <c r="F423" s="933"/>
      <c r="G423" s="933"/>
      <c r="H423" s="933"/>
      <c r="I423" s="933"/>
      <c r="J423" s="933"/>
      <c r="K423" s="935"/>
      <c r="L423" s="933"/>
      <c r="M423" s="933"/>
      <c r="N423" s="945"/>
      <c r="O423" s="933"/>
      <c r="P423" s="933"/>
      <c r="Q423" s="933"/>
      <c r="R423" s="933"/>
      <c r="S423" s="933"/>
      <c r="T423" s="933"/>
      <c r="U423" s="933"/>
      <c r="V423" s="933"/>
      <c r="W423" s="933"/>
      <c r="X423" s="933"/>
      <c r="Y423" s="933"/>
      <c r="Z423" s="933"/>
      <c r="AA423" s="933"/>
      <c r="AB423" s="933"/>
      <c r="AC423" s="933"/>
      <c r="AD423" s="933"/>
    </row>
    <row r="424" spans="1:30" ht="12.75">
      <c r="A424" s="933"/>
      <c r="B424" s="933"/>
      <c r="C424" s="933"/>
      <c r="D424" s="933"/>
      <c r="E424" s="933"/>
      <c r="F424" s="933"/>
      <c r="G424" s="933"/>
      <c r="H424" s="933"/>
      <c r="I424" s="933"/>
      <c r="J424" s="933"/>
      <c r="K424" s="935"/>
      <c r="L424" s="933"/>
      <c r="M424" s="933"/>
      <c r="N424" s="945"/>
      <c r="O424" s="933"/>
      <c r="P424" s="933"/>
      <c r="Q424" s="933"/>
      <c r="R424" s="933"/>
      <c r="S424" s="933"/>
      <c r="T424" s="933"/>
      <c r="U424" s="933"/>
      <c r="V424" s="933"/>
      <c r="W424" s="933"/>
      <c r="X424" s="933"/>
      <c r="Y424" s="933"/>
      <c r="Z424" s="933"/>
      <c r="AA424" s="933"/>
      <c r="AB424" s="933"/>
      <c r="AC424" s="933"/>
      <c r="AD424" s="933"/>
    </row>
    <row r="425" spans="1:30" ht="12.75">
      <c r="A425" s="933"/>
      <c r="B425" s="933"/>
      <c r="C425" s="933"/>
      <c r="D425" s="933"/>
      <c r="E425" s="933"/>
      <c r="F425" s="933"/>
      <c r="G425" s="933"/>
      <c r="H425" s="933"/>
      <c r="I425" s="933"/>
      <c r="J425" s="933"/>
      <c r="K425" s="935"/>
      <c r="L425" s="933"/>
      <c r="M425" s="933"/>
      <c r="N425" s="945"/>
      <c r="O425" s="933"/>
      <c r="P425" s="933"/>
      <c r="Q425" s="933"/>
      <c r="R425" s="933"/>
      <c r="S425" s="933"/>
      <c r="T425" s="933"/>
      <c r="U425" s="933"/>
      <c r="V425" s="933"/>
      <c r="W425" s="933"/>
      <c r="X425" s="933"/>
      <c r="Y425" s="933"/>
      <c r="Z425" s="933"/>
      <c r="AA425" s="933"/>
      <c r="AB425" s="933"/>
      <c r="AC425" s="933"/>
      <c r="AD425" s="933"/>
    </row>
    <row r="426" spans="1:30" ht="12.75">
      <c r="A426" s="933"/>
      <c r="B426" s="933"/>
      <c r="C426" s="933"/>
      <c r="D426" s="933"/>
      <c r="E426" s="933"/>
      <c r="F426" s="933"/>
      <c r="G426" s="933"/>
      <c r="H426" s="933"/>
      <c r="I426" s="933"/>
      <c r="J426" s="933"/>
      <c r="K426" s="935"/>
      <c r="L426" s="933"/>
      <c r="M426" s="933"/>
      <c r="N426" s="945"/>
      <c r="O426" s="933"/>
      <c r="P426" s="933"/>
      <c r="Q426" s="933"/>
      <c r="R426" s="933"/>
      <c r="S426" s="933"/>
      <c r="T426" s="933"/>
      <c r="U426" s="933"/>
      <c r="V426" s="933"/>
      <c r="W426" s="933"/>
      <c r="X426" s="933"/>
      <c r="Y426" s="933"/>
      <c r="Z426" s="933"/>
      <c r="AA426" s="933"/>
      <c r="AB426" s="933"/>
      <c r="AC426" s="933"/>
      <c r="AD426" s="933"/>
    </row>
    <row r="427" spans="1:30" ht="12.75">
      <c r="A427" s="933"/>
      <c r="B427" s="933"/>
      <c r="C427" s="933"/>
      <c r="D427" s="933"/>
      <c r="E427" s="933"/>
      <c r="F427" s="933"/>
      <c r="G427" s="933"/>
      <c r="H427" s="933"/>
      <c r="I427" s="933"/>
      <c r="J427" s="933"/>
      <c r="K427" s="935"/>
      <c r="L427" s="933"/>
      <c r="M427" s="933"/>
      <c r="N427" s="945"/>
      <c r="O427" s="933"/>
      <c r="P427" s="933"/>
      <c r="Q427" s="933"/>
      <c r="R427" s="933"/>
      <c r="S427" s="933"/>
      <c r="T427" s="933"/>
      <c r="U427" s="933"/>
      <c r="V427" s="933"/>
      <c r="W427" s="933"/>
      <c r="X427" s="933"/>
      <c r="Y427" s="933"/>
      <c r="Z427" s="933"/>
      <c r="AA427" s="933"/>
      <c r="AB427" s="933"/>
      <c r="AC427" s="933"/>
      <c r="AD427" s="933"/>
    </row>
    <row r="428" spans="1:30" ht="12.75">
      <c r="A428" s="933"/>
      <c r="B428" s="933"/>
      <c r="C428" s="933"/>
      <c r="D428" s="933"/>
      <c r="E428" s="933"/>
      <c r="F428" s="933"/>
      <c r="G428" s="933"/>
      <c r="H428" s="933"/>
      <c r="I428" s="933"/>
      <c r="J428" s="933"/>
      <c r="K428" s="935"/>
      <c r="L428" s="933"/>
      <c r="M428" s="933"/>
      <c r="N428" s="945"/>
      <c r="O428" s="933"/>
      <c r="P428" s="933"/>
      <c r="Q428" s="933"/>
      <c r="R428" s="933"/>
      <c r="S428" s="933"/>
      <c r="T428" s="933"/>
      <c r="U428" s="933"/>
      <c r="V428" s="933"/>
      <c r="W428" s="933"/>
      <c r="X428" s="933"/>
      <c r="Y428" s="933"/>
      <c r="Z428" s="933"/>
      <c r="AA428" s="933"/>
      <c r="AB428" s="933"/>
      <c r="AC428" s="933"/>
      <c r="AD428" s="933"/>
    </row>
    <row r="429" spans="1:30" ht="12.75">
      <c r="A429" s="933"/>
      <c r="B429" s="933"/>
      <c r="C429" s="933"/>
      <c r="D429" s="933"/>
      <c r="E429" s="933"/>
      <c r="F429" s="933"/>
      <c r="G429" s="933"/>
      <c r="H429" s="933"/>
      <c r="I429" s="933"/>
      <c r="J429" s="933"/>
      <c r="K429" s="935"/>
      <c r="L429" s="933"/>
      <c r="M429" s="933"/>
      <c r="N429" s="945"/>
      <c r="O429" s="933"/>
      <c r="P429" s="933"/>
      <c r="Q429" s="933"/>
      <c r="R429" s="933"/>
      <c r="S429" s="933"/>
      <c r="T429" s="933"/>
      <c r="U429" s="933"/>
      <c r="V429" s="933"/>
      <c r="W429" s="933"/>
      <c r="X429" s="933"/>
      <c r="Y429" s="933"/>
      <c r="Z429" s="933"/>
      <c r="AA429" s="933"/>
      <c r="AB429" s="933"/>
      <c r="AC429" s="933"/>
      <c r="AD429" s="933"/>
    </row>
    <row r="430" spans="1:30" ht="12.75">
      <c r="A430" s="933"/>
      <c r="B430" s="933"/>
      <c r="C430" s="933"/>
      <c r="D430" s="933"/>
      <c r="E430" s="933"/>
      <c r="F430" s="933"/>
      <c r="G430" s="933"/>
      <c r="H430" s="933"/>
      <c r="I430" s="933"/>
      <c r="J430" s="933"/>
      <c r="K430" s="935"/>
      <c r="L430" s="933"/>
      <c r="M430" s="933"/>
      <c r="N430" s="945"/>
      <c r="O430" s="933"/>
      <c r="P430" s="933"/>
      <c r="Q430" s="933"/>
      <c r="R430" s="933"/>
      <c r="S430" s="933"/>
      <c r="T430" s="933"/>
      <c r="U430" s="933"/>
      <c r="V430" s="933"/>
      <c r="W430" s="933"/>
      <c r="X430" s="933"/>
      <c r="Y430" s="933"/>
      <c r="Z430" s="933"/>
      <c r="AA430" s="933"/>
      <c r="AB430" s="933"/>
      <c r="AC430" s="933"/>
      <c r="AD430" s="933"/>
    </row>
    <row r="431" spans="1:30" ht="12.75">
      <c r="A431" s="933"/>
      <c r="B431" s="933"/>
      <c r="C431" s="933"/>
      <c r="D431" s="933"/>
      <c r="E431" s="933"/>
      <c r="F431" s="933"/>
      <c r="G431" s="933"/>
      <c r="H431" s="933"/>
      <c r="I431" s="933"/>
      <c r="J431" s="933"/>
      <c r="K431" s="935"/>
      <c r="L431" s="933"/>
      <c r="M431" s="933"/>
      <c r="N431" s="945"/>
      <c r="O431" s="933"/>
      <c r="P431" s="933"/>
      <c r="Q431" s="933"/>
      <c r="R431" s="933"/>
      <c r="S431" s="933"/>
      <c r="T431" s="933"/>
      <c r="U431" s="933"/>
      <c r="V431" s="933"/>
      <c r="W431" s="933"/>
      <c r="X431" s="933"/>
      <c r="Y431" s="933"/>
      <c r="Z431" s="933"/>
      <c r="AA431" s="933"/>
      <c r="AB431" s="933"/>
      <c r="AC431" s="933"/>
      <c r="AD431" s="933"/>
    </row>
    <row r="432" spans="1:30" ht="12.75">
      <c r="A432" s="933"/>
      <c r="B432" s="933"/>
      <c r="C432" s="933"/>
      <c r="D432" s="933"/>
      <c r="E432" s="933"/>
      <c r="F432" s="933"/>
      <c r="G432" s="933"/>
      <c r="H432" s="933"/>
      <c r="I432" s="933"/>
      <c r="J432" s="933"/>
      <c r="K432" s="935"/>
      <c r="L432" s="933"/>
      <c r="M432" s="933"/>
      <c r="N432" s="945"/>
      <c r="O432" s="933"/>
      <c r="P432" s="933"/>
      <c r="Q432" s="933"/>
      <c r="R432" s="933"/>
      <c r="S432" s="933"/>
      <c r="T432" s="933"/>
      <c r="U432" s="933"/>
      <c r="V432" s="933"/>
      <c r="W432" s="933"/>
      <c r="X432" s="933"/>
      <c r="Y432" s="933"/>
      <c r="Z432" s="933"/>
      <c r="AA432" s="933"/>
      <c r="AB432" s="933"/>
      <c r="AC432" s="933"/>
      <c r="AD432" s="933"/>
    </row>
    <row r="433" spans="1:30" ht="12.75">
      <c r="A433" s="933"/>
      <c r="B433" s="933"/>
      <c r="C433" s="933"/>
      <c r="D433" s="933"/>
      <c r="E433" s="933"/>
      <c r="F433" s="933"/>
      <c r="G433" s="933"/>
      <c r="H433" s="933"/>
      <c r="I433" s="933"/>
      <c r="J433" s="933"/>
      <c r="K433" s="935"/>
      <c r="L433" s="933"/>
      <c r="M433" s="933"/>
      <c r="N433" s="945"/>
      <c r="O433" s="933"/>
      <c r="P433" s="933"/>
      <c r="Q433" s="933"/>
      <c r="R433" s="933"/>
      <c r="S433" s="933"/>
      <c r="T433" s="933"/>
      <c r="U433" s="933"/>
      <c r="V433" s="933"/>
      <c r="W433" s="933"/>
      <c r="X433" s="933"/>
      <c r="Y433" s="933"/>
      <c r="Z433" s="933"/>
      <c r="AA433" s="933"/>
      <c r="AB433" s="933"/>
      <c r="AC433" s="933"/>
      <c r="AD433" s="933"/>
    </row>
    <row r="434" spans="1:30" ht="12.75">
      <c r="A434" s="933"/>
      <c r="B434" s="933"/>
      <c r="C434" s="933"/>
      <c r="D434" s="933"/>
      <c r="E434" s="933"/>
      <c r="F434" s="933"/>
      <c r="G434" s="933"/>
      <c r="H434" s="933"/>
      <c r="I434" s="933"/>
      <c r="J434" s="933"/>
      <c r="K434" s="935"/>
      <c r="L434" s="933"/>
      <c r="M434" s="933"/>
      <c r="N434" s="945"/>
      <c r="O434" s="933"/>
      <c r="P434" s="933"/>
      <c r="Q434" s="933"/>
      <c r="R434" s="933"/>
      <c r="S434" s="933"/>
      <c r="T434" s="933"/>
      <c r="U434" s="933"/>
      <c r="V434" s="933"/>
      <c r="W434" s="933"/>
      <c r="X434" s="933"/>
      <c r="Y434" s="933"/>
      <c r="Z434" s="933"/>
      <c r="AA434" s="933"/>
      <c r="AB434" s="933"/>
      <c r="AC434" s="933"/>
      <c r="AD434" s="933"/>
    </row>
    <row r="435" spans="1:30" ht="12.75">
      <c r="A435" s="933"/>
      <c r="B435" s="933"/>
      <c r="C435" s="933"/>
      <c r="D435" s="933"/>
      <c r="E435" s="933"/>
      <c r="F435" s="933"/>
      <c r="G435" s="933"/>
      <c r="H435" s="933"/>
      <c r="I435" s="933"/>
      <c r="J435" s="933"/>
      <c r="K435" s="935"/>
      <c r="L435" s="933"/>
      <c r="M435" s="933"/>
      <c r="N435" s="945"/>
      <c r="O435" s="933"/>
      <c r="P435" s="933"/>
      <c r="Q435" s="933"/>
      <c r="R435" s="933"/>
      <c r="S435" s="933"/>
      <c r="T435" s="933"/>
      <c r="U435" s="933"/>
      <c r="V435" s="933"/>
      <c r="W435" s="933"/>
      <c r="X435" s="933"/>
      <c r="Y435" s="933"/>
      <c r="Z435" s="933"/>
      <c r="AA435" s="933"/>
      <c r="AB435" s="933"/>
      <c r="AC435" s="933"/>
      <c r="AD435" s="933"/>
    </row>
    <row r="436" spans="1:30" ht="12.75">
      <c r="A436" s="933"/>
      <c r="B436" s="933"/>
      <c r="C436" s="933"/>
      <c r="D436" s="933"/>
      <c r="E436" s="933"/>
      <c r="F436" s="933"/>
      <c r="G436" s="933"/>
      <c r="H436" s="933"/>
      <c r="I436" s="933"/>
      <c r="J436" s="933"/>
      <c r="K436" s="935"/>
      <c r="L436" s="933"/>
      <c r="M436" s="933"/>
      <c r="N436" s="945"/>
      <c r="O436" s="933"/>
      <c r="P436" s="933"/>
      <c r="Q436" s="933"/>
      <c r="R436" s="933"/>
      <c r="S436" s="933"/>
      <c r="T436" s="933"/>
      <c r="U436" s="933"/>
      <c r="V436" s="933"/>
      <c r="W436" s="933"/>
      <c r="X436" s="933"/>
      <c r="Y436" s="933"/>
      <c r="Z436" s="933"/>
      <c r="AA436" s="933"/>
      <c r="AB436" s="933"/>
      <c r="AC436" s="933"/>
      <c r="AD436" s="933"/>
    </row>
    <row r="437" spans="1:30" ht="12.75">
      <c r="A437" s="933"/>
      <c r="B437" s="933"/>
      <c r="C437" s="933"/>
      <c r="D437" s="933"/>
      <c r="E437" s="933"/>
      <c r="F437" s="933"/>
      <c r="G437" s="933"/>
      <c r="H437" s="933"/>
      <c r="I437" s="933"/>
      <c r="J437" s="933"/>
      <c r="K437" s="935"/>
      <c r="L437" s="933"/>
      <c r="M437" s="933"/>
      <c r="N437" s="945"/>
      <c r="O437" s="933"/>
      <c r="P437" s="933"/>
      <c r="Q437" s="933"/>
      <c r="R437" s="933"/>
      <c r="S437" s="933"/>
      <c r="T437" s="933"/>
      <c r="U437" s="933"/>
      <c r="V437" s="933"/>
      <c r="W437" s="933"/>
      <c r="X437" s="933"/>
      <c r="Y437" s="933"/>
      <c r="Z437" s="933"/>
      <c r="AA437" s="933"/>
      <c r="AB437" s="933"/>
      <c r="AC437" s="933"/>
      <c r="AD437" s="933"/>
    </row>
    <row r="438" spans="1:30" ht="12.75">
      <c r="A438" s="933"/>
      <c r="B438" s="933"/>
      <c r="C438" s="933"/>
      <c r="D438" s="933"/>
      <c r="E438" s="933"/>
      <c r="F438" s="933"/>
      <c r="G438" s="933"/>
      <c r="H438" s="933"/>
      <c r="I438" s="933"/>
      <c r="J438" s="933"/>
      <c r="K438" s="935"/>
      <c r="L438" s="933"/>
      <c r="M438" s="933"/>
      <c r="N438" s="945"/>
      <c r="O438" s="933"/>
      <c r="P438" s="933"/>
      <c r="Q438" s="933"/>
      <c r="R438" s="933"/>
      <c r="S438" s="933"/>
      <c r="T438" s="933"/>
      <c r="U438" s="933"/>
      <c r="V438" s="933"/>
      <c r="W438" s="933"/>
      <c r="X438" s="933"/>
      <c r="Y438" s="933"/>
      <c r="Z438" s="933"/>
      <c r="AA438" s="933"/>
      <c r="AB438" s="933"/>
      <c r="AC438" s="933"/>
      <c r="AD438" s="933"/>
    </row>
    <row r="439" spans="1:30" ht="12.75">
      <c r="A439" s="933"/>
      <c r="B439" s="933"/>
      <c r="C439" s="933"/>
      <c r="D439" s="933"/>
      <c r="E439" s="933"/>
      <c r="F439" s="933"/>
      <c r="G439" s="933"/>
      <c r="H439" s="933"/>
      <c r="I439" s="933"/>
      <c r="J439" s="933"/>
      <c r="K439" s="935"/>
      <c r="L439" s="933"/>
      <c r="M439" s="933"/>
      <c r="N439" s="945"/>
      <c r="O439" s="933"/>
      <c r="P439" s="933"/>
      <c r="Q439" s="933"/>
      <c r="R439" s="933"/>
      <c r="S439" s="933"/>
      <c r="T439" s="933"/>
      <c r="U439" s="933"/>
      <c r="V439" s="933"/>
      <c r="W439" s="933"/>
      <c r="X439" s="933"/>
      <c r="Y439" s="933"/>
      <c r="Z439" s="933"/>
      <c r="AA439" s="933"/>
      <c r="AB439" s="933"/>
      <c r="AC439" s="933"/>
      <c r="AD439" s="933"/>
    </row>
    <row r="440" spans="1:30" ht="12.75">
      <c r="A440" s="933"/>
      <c r="B440" s="933"/>
      <c r="C440" s="933"/>
      <c r="D440" s="933"/>
      <c r="E440" s="933"/>
      <c r="F440" s="933"/>
      <c r="G440" s="933"/>
      <c r="H440" s="933"/>
      <c r="I440" s="933"/>
      <c r="J440" s="933"/>
      <c r="K440" s="935"/>
      <c r="L440" s="933"/>
      <c r="M440" s="933"/>
      <c r="N440" s="945"/>
      <c r="O440" s="933"/>
      <c r="P440" s="933"/>
      <c r="Q440" s="933"/>
      <c r="R440" s="933"/>
      <c r="S440" s="933"/>
      <c r="T440" s="933"/>
      <c r="U440" s="933"/>
      <c r="V440" s="933"/>
      <c r="W440" s="933"/>
      <c r="X440" s="933"/>
      <c r="Y440" s="933"/>
      <c r="Z440" s="933"/>
      <c r="AA440" s="933"/>
      <c r="AB440" s="933"/>
      <c r="AC440" s="933"/>
      <c r="AD440" s="933"/>
    </row>
    <row r="441" spans="1:30" ht="12.75">
      <c r="A441" s="933"/>
      <c r="B441" s="933"/>
      <c r="C441" s="933"/>
      <c r="D441" s="933"/>
      <c r="E441" s="933"/>
      <c r="F441" s="933"/>
      <c r="G441" s="933"/>
      <c r="H441" s="933"/>
      <c r="I441" s="933"/>
      <c r="J441" s="933"/>
      <c r="K441" s="935"/>
      <c r="L441" s="933"/>
      <c r="M441" s="933"/>
      <c r="N441" s="945"/>
      <c r="O441" s="933"/>
      <c r="P441" s="933"/>
      <c r="Q441" s="933"/>
      <c r="R441" s="933"/>
      <c r="S441" s="933"/>
      <c r="T441" s="933"/>
      <c r="U441" s="933"/>
      <c r="V441" s="933"/>
      <c r="W441" s="933"/>
      <c r="X441" s="933"/>
      <c r="Y441" s="933"/>
      <c r="Z441" s="933"/>
      <c r="AA441" s="933"/>
      <c r="AB441" s="933"/>
      <c r="AC441" s="933"/>
      <c r="AD441" s="933"/>
    </row>
    <row r="442" spans="1:30" ht="12.75">
      <c r="A442" s="933"/>
      <c r="B442" s="933"/>
      <c r="C442" s="933"/>
      <c r="D442" s="933"/>
      <c r="E442" s="933"/>
      <c r="F442" s="933"/>
      <c r="G442" s="933"/>
      <c r="H442" s="933"/>
      <c r="I442" s="933"/>
      <c r="J442" s="933"/>
      <c r="K442" s="935"/>
      <c r="L442" s="933"/>
      <c r="M442" s="933"/>
      <c r="N442" s="945"/>
      <c r="O442" s="933"/>
      <c r="P442" s="933"/>
      <c r="Q442" s="933"/>
      <c r="R442" s="933"/>
      <c r="S442" s="933"/>
      <c r="T442" s="933"/>
      <c r="U442" s="933"/>
      <c r="V442" s="933"/>
      <c r="W442" s="933"/>
      <c r="X442" s="933"/>
      <c r="Y442" s="933"/>
      <c r="Z442" s="933"/>
      <c r="AA442" s="933"/>
      <c r="AB442" s="933"/>
      <c r="AC442" s="933"/>
      <c r="AD442" s="933"/>
    </row>
    <row r="443" spans="1:30" ht="12.75">
      <c r="A443" s="933"/>
      <c r="B443" s="933"/>
      <c r="C443" s="933"/>
      <c r="D443" s="933"/>
      <c r="E443" s="933"/>
      <c r="F443" s="933"/>
      <c r="G443" s="933"/>
      <c r="H443" s="933"/>
      <c r="I443" s="933"/>
      <c r="J443" s="933"/>
      <c r="K443" s="935"/>
      <c r="L443" s="933"/>
      <c r="M443" s="933"/>
      <c r="N443" s="945"/>
      <c r="O443" s="933"/>
      <c r="P443" s="933"/>
      <c r="Q443" s="933"/>
      <c r="R443" s="933"/>
      <c r="S443" s="933"/>
      <c r="T443" s="933"/>
      <c r="U443" s="933"/>
      <c r="V443" s="933"/>
      <c r="W443" s="933"/>
      <c r="X443" s="933"/>
      <c r="Y443" s="933"/>
      <c r="Z443" s="933"/>
      <c r="AA443" s="933"/>
      <c r="AB443" s="933"/>
      <c r="AC443" s="933"/>
      <c r="AD443" s="933"/>
    </row>
    <row r="444" spans="1:30" ht="12.75">
      <c r="A444" s="933"/>
      <c r="B444" s="933"/>
      <c r="C444" s="933"/>
      <c r="D444" s="933"/>
      <c r="E444" s="933"/>
      <c r="F444" s="933"/>
      <c r="G444" s="933"/>
      <c r="H444" s="933"/>
      <c r="I444" s="933"/>
      <c r="J444" s="933"/>
      <c r="K444" s="935"/>
      <c r="L444" s="933"/>
      <c r="M444" s="933"/>
      <c r="N444" s="945"/>
      <c r="O444" s="933"/>
      <c r="P444" s="933"/>
      <c r="Q444" s="933"/>
      <c r="R444" s="933"/>
      <c r="S444" s="933"/>
      <c r="T444" s="933"/>
      <c r="U444" s="933"/>
      <c r="V444" s="933"/>
      <c r="W444" s="933"/>
      <c r="X444" s="933"/>
      <c r="Y444" s="933"/>
      <c r="Z444" s="933"/>
      <c r="AA444" s="933"/>
      <c r="AB444" s="933"/>
      <c r="AC444" s="933"/>
      <c r="AD444" s="933"/>
    </row>
    <row r="445" spans="1:30" ht="12.75">
      <c r="A445" s="933"/>
      <c r="B445" s="933"/>
      <c r="C445" s="933"/>
      <c r="D445" s="933"/>
      <c r="E445" s="933"/>
      <c r="F445" s="933"/>
      <c r="G445" s="933"/>
      <c r="H445" s="933"/>
      <c r="I445" s="933"/>
      <c r="J445" s="933"/>
      <c r="K445" s="935"/>
      <c r="L445" s="933"/>
      <c r="M445" s="933"/>
      <c r="N445" s="945"/>
      <c r="O445" s="933"/>
      <c r="P445" s="933"/>
      <c r="Q445" s="933"/>
      <c r="R445" s="933"/>
      <c r="S445" s="933"/>
      <c r="T445" s="933"/>
      <c r="U445" s="933"/>
      <c r="V445" s="933"/>
      <c r="W445" s="933"/>
      <c r="X445" s="933"/>
      <c r="Y445" s="933"/>
      <c r="Z445" s="933"/>
      <c r="AA445" s="933"/>
      <c r="AB445" s="933"/>
      <c r="AC445" s="933"/>
      <c r="AD445" s="933"/>
    </row>
    <row r="446" spans="1:30" ht="12.75">
      <c r="A446" s="933"/>
      <c r="B446" s="933"/>
      <c r="C446" s="933"/>
      <c r="D446" s="933"/>
      <c r="E446" s="933"/>
      <c r="F446" s="933"/>
      <c r="G446" s="933"/>
      <c r="H446" s="933"/>
      <c r="I446" s="933"/>
      <c r="J446" s="933"/>
      <c r="K446" s="935"/>
      <c r="L446" s="933"/>
      <c r="M446" s="933"/>
      <c r="N446" s="945"/>
      <c r="O446" s="933"/>
      <c r="P446" s="933"/>
      <c r="Q446" s="933"/>
      <c r="R446" s="933"/>
      <c r="S446" s="933"/>
      <c r="T446" s="933"/>
      <c r="U446" s="933"/>
      <c r="V446" s="933"/>
      <c r="W446" s="933"/>
      <c r="X446" s="933"/>
      <c r="Y446" s="933"/>
      <c r="Z446" s="933"/>
      <c r="AA446" s="933"/>
      <c r="AB446" s="933"/>
      <c r="AC446" s="933"/>
      <c r="AD446" s="933"/>
    </row>
    <row r="447" spans="1:30" ht="12.75">
      <c r="A447" s="933"/>
      <c r="B447" s="933"/>
      <c r="C447" s="933"/>
      <c r="D447" s="933"/>
      <c r="E447" s="933"/>
      <c r="F447" s="933"/>
      <c r="G447" s="933"/>
      <c r="H447" s="933"/>
      <c r="I447" s="933"/>
      <c r="J447" s="933"/>
      <c r="K447" s="935"/>
      <c r="L447" s="933"/>
      <c r="M447" s="933"/>
      <c r="N447" s="945"/>
      <c r="O447" s="933"/>
      <c r="P447" s="933"/>
      <c r="Q447" s="933"/>
      <c r="R447" s="933"/>
      <c r="S447" s="933"/>
      <c r="T447" s="933"/>
      <c r="U447" s="933"/>
      <c r="V447" s="933"/>
      <c r="W447" s="933"/>
      <c r="X447" s="933"/>
      <c r="Y447" s="933"/>
      <c r="Z447" s="933"/>
      <c r="AA447" s="933"/>
      <c r="AB447" s="933"/>
      <c r="AC447" s="933"/>
      <c r="AD447" s="933"/>
    </row>
    <row r="448" spans="1:30" ht="12.75">
      <c r="A448" s="933"/>
      <c r="B448" s="933"/>
      <c r="C448" s="933"/>
      <c r="D448" s="933"/>
      <c r="E448" s="933"/>
      <c r="F448" s="933"/>
      <c r="G448" s="933"/>
      <c r="H448" s="933"/>
      <c r="I448" s="933"/>
      <c r="J448" s="933"/>
      <c r="K448" s="935"/>
      <c r="L448" s="933"/>
      <c r="M448" s="933"/>
      <c r="N448" s="945"/>
      <c r="O448" s="933"/>
      <c r="P448" s="933"/>
      <c r="Q448" s="933"/>
      <c r="R448" s="933"/>
      <c r="S448" s="933"/>
      <c r="T448" s="933"/>
      <c r="U448" s="933"/>
      <c r="V448" s="933"/>
      <c r="W448" s="933"/>
      <c r="X448" s="933"/>
      <c r="Y448" s="933"/>
      <c r="Z448" s="933"/>
      <c r="AA448" s="933"/>
      <c r="AB448" s="933"/>
      <c r="AC448" s="933"/>
      <c r="AD448" s="933"/>
    </row>
    <row r="449" spans="1:30" ht="12.75">
      <c r="A449" s="933"/>
      <c r="B449" s="933"/>
      <c r="C449" s="933"/>
      <c r="D449" s="933"/>
      <c r="E449" s="933"/>
      <c r="F449" s="933"/>
      <c r="G449" s="933"/>
      <c r="H449" s="933"/>
      <c r="I449" s="933"/>
      <c r="J449" s="933"/>
      <c r="K449" s="935"/>
      <c r="L449" s="933"/>
      <c r="M449" s="933"/>
      <c r="N449" s="945"/>
      <c r="O449" s="933"/>
      <c r="P449" s="933"/>
      <c r="Q449" s="933"/>
      <c r="R449" s="933"/>
      <c r="S449" s="933"/>
      <c r="T449" s="933"/>
      <c r="U449" s="933"/>
      <c r="V449" s="933"/>
      <c r="W449" s="933"/>
      <c r="X449" s="933"/>
      <c r="Y449" s="933"/>
      <c r="Z449" s="933"/>
      <c r="AA449" s="933"/>
      <c r="AB449" s="933"/>
      <c r="AC449" s="933"/>
      <c r="AD449" s="933"/>
    </row>
    <row r="450" spans="1:30" ht="12.75">
      <c r="A450" s="933"/>
      <c r="B450" s="933"/>
      <c r="C450" s="933"/>
      <c r="D450" s="933"/>
      <c r="E450" s="933"/>
      <c r="F450" s="933"/>
      <c r="G450" s="933"/>
      <c r="H450" s="933"/>
      <c r="I450" s="933"/>
      <c r="J450" s="933"/>
      <c r="K450" s="935"/>
      <c r="L450" s="933"/>
      <c r="M450" s="933"/>
      <c r="N450" s="945"/>
      <c r="O450" s="933"/>
      <c r="P450" s="933"/>
      <c r="Q450" s="933"/>
      <c r="R450" s="933"/>
      <c r="S450" s="933"/>
      <c r="T450" s="933"/>
      <c r="U450" s="933"/>
      <c r="V450" s="933"/>
      <c r="W450" s="933"/>
      <c r="X450" s="933"/>
      <c r="Y450" s="933"/>
      <c r="Z450" s="933"/>
      <c r="AA450" s="933"/>
      <c r="AB450" s="933"/>
      <c r="AC450" s="933"/>
      <c r="AD450" s="933"/>
    </row>
    <row r="451" spans="1:30" ht="12.75">
      <c r="A451" s="933"/>
      <c r="B451" s="933"/>
      <c r="C451" s="933"/>
      <c r="D451" s="933"/>
      <c r="E451" s="933"/>
      <c r="F451" s="933"/>
      <c r="G451" s="933"/>
      <c r="H451" s="933"/>
      <c r="I451" s="933"/>
      <c r="J451" s="933"/>
      <c r="K451" s="935"/>
      <c r="L451" s="933"/>
      <c r="M451" s="933"/>
      <c r="N451" s="945"/>
      <c r="O451" s="933"/>
      <c r="P451" s="933"/>
      <c r="Q451" s="933"/>
      <c r="R451" s="933"/>
      <c r="S451" s="933"/>
      <c r="T451" s="933"/>
      <c r="U451" s="933"/>
      <c r="V451" s="933"/>
      <c r="W451" s="933"/>
      <c r="X451" s="933"/>
      <c r="Y451" s="933"/>
      <c r="Z451" s="933"/>
      <c r="AA451" s="933"/>
      <c r="AB451" s="933"/>
      <c r="AC451" s="933"/>
      <c r="AD451" s="933"/>
    </row>
    <row r="452" spans="1:30" ht="12.75">
      <c r="A452" s="933"/>
      <c r="B452" s="933"/>
      <c r="C452" s="933"/>
      <c r="D452" s="933"/>
      <c r="E452" s="933"/>
      <c r="F452" s="933"/>
      <c r="G452" s="933"/>
      <c r="H452" s="933"/>
      <c r="I452" s="933"/>
      <c r="J452" s="933"/>
      <c r="K452" s="935"/>
      <c r="L452" s="933"/>
      <c r="M452" s="933"/>
      <c r="N452" s="945"/>
      <c r="O452" s="933"/>
      <c r="P452" s="933"/>
      <c r="Q452" s="933"/>
      <c r="R452" s="933"/>
      <c r="S452" s="933"/>
      <c r="T452" s="933"/>
      <c r="U452" s="933"/>
      <c r="V452" s="933"/>
      <c r="W452" s="933"/>
      <c r="X452" s="933"/>
      <c r="Y452" s="933"/>
      <c r="Z452" s="933"/>
      <c r="AA452" s="933"/>
      <c r="AB452" s="933"/>
      <c r="AC452" s="933"/>
      <c r="AD452" s="933"/>
    </row>
    <row r="453" spans="1:30" ht="12.75">
      <c r="A453" s="933"/>
      <c r="B453" s="933"/>
      <c r="C453" s="933"/>
      <c r="D453" s="933"/>
      <c r="E453" s="933"/>
      <c r="F453" s="933"/>
      <c r="G453" s="933"/>
      <c r="H453" s="933"/>
      <c r="I453" s="933"/>
      <c r="J453" s="933"/>
      <c r="K453" s="935"/>
      <c r="L453" s="933"/>
      <c r="M453" s="933"/>
      <c r="N453" s="945"/>
      <c r="O453" s="933"/>
      <c r="P453" s="933"/>
      <c r="Q453" s="933"/>
      <c r="R453" s="933"/>
      <c r="S453" s="933"/>
      <c r="T453" s="933"/>
      <c r="U453" s="933"/>
      <c r="V453" s="933"/>
      <c r="W453" s="933"/>
      <c r="X453" s="933"/>
      <c r="Y453" s="933"/>
      <c r="Z453" s="933"/>
      <c r="AA453" s="933"/>
      <c r="AB453" s="933"/>
      <c r="AC453" s="933"/>
      <c r="AD453" s="933"/>
    </row>
    <row r="454" spans="1:30" ht="12.75">
      <c r="A454" s="933"/>
      <c r="B454" s="933"/>
      <c r="C454" s="933"/>
      <c r="D454" s="933"/>
      <c r="E454" s="933"/>
      <c r="F454" s="933"/>
      <c r="G454" s="933"/>
      <c r="H454" s="933"/>
      <c r="I454" s="933"/>
      <c r="J454" s="933"/>
      <c r="K454" s="935"/>
      <c r="L454" s="933"/>
      <c r="M454" s="933"/>
      <c r="N454" s="945"/>
      <c r="O454" s="933"/>
      <c r="P454" s="933"/>
      <c r="Q454" s="933"/>
      <c r="R454" s="933"/>
      <c r="S454" s="933"/>
      <c r="T454" s="933"/>
      <c r="U454" s="933"/>
      <c r="V454" s="933"/>
      <c r="W454" s="933"/>
      <c r="X454" s="933"/>
      <c r="Y454" s="933"/>
      <c r="Z454" s="933"/>
      <c r="AA454" s="933"/>
      <c r="AB454" s="933"/>
      <c r="AC454" s="933"/>
      <c r="AD454" s="933"/>
    </row>
    <row r="455" spans="1:30" ht="12.75">
      <c r="A455" s="933"/>
      <c r="B455" s="933"/>
      <c r="C455" s="933"/>
      <c r="D455" s="933"/>
      <c r="E455" s="933"/>
      <c r="F455" s="933"/>
      <c r="G455" s="933"/>
      <c r="H455" s="933"/>
      <c r="I455" s="933"/>
      <c r="J455" s="933"/>
      <c r="K455" s="935"/>
      <c r="L455" s="933"/>
      <c r="M455" s="933"/>
      <c r="N455" s="945"/>
      <c r="O455" s="933"/>
      <c r="P455" s="933"/>
      <c r="Q455" s="933"/>
      <c r="R455" s="933"/>
      <c r="S455" s="933"/>
      <c r="T455" s="933"/>
      <c r="U455" s="933"/>
      <c r="V455" s="933"/>
      <c r="W455" s="933"/>
      <c r="X455" s="933"/>
      <c r="Y455" s="933"/>
      <c r="Z455" s="933"/>
      <c r="AA455" s="933"/>
      <c r="AB455" s="933"/>
      <c r="AC455" s="933"/>
      <c r="AD455" s="933"/>
    </row>
    <row r="456" spans="1:30" ht="12.75">
      <c r="A456" s="933"/>
      <c r="B456" s="933"/>
      <c r="C456" s="933"/>
      <c r="D456" s="933"/>
      <c r="E456" s="933"/>
      <c r="F456" s="933"/>
      <c r="G456" s="933"/>
      <c r="H456" s="933"/>
      <c r="I456" s="933"/>
      <c r="J456" s="933"/>
      <c r="K456" s="935"/>
      <c r="L456" s="933"/>
      <c r="M456" s="933"/>
      <c r="N456" s="945"/>
      <c r="O456" s="933"/>
      <c r="P456" s="933"/>
      <c r="Q456" s="933"/>
      <c r="R456" s="933"/>
      <c r="S456" s="933"/>
      <c r="T456" s="933"/>
      <c r="U456" s="933"/>
      <c r="V456" s="933"/>
      <c r="W456" s="933"/>
      <c r="X456" s="933"/>
      <c r="Y456" s="933"/>
      <c r="Z456" s="933"/>
      <c r="AA456" s="933"/>
      <c r="AB456" s="933"/>
      <c r="AC456" s="933"/>
      <c r="AD456" s="933"/>
    </row>
    <row r="457" spans="1:30" ht="12.75">
      <c r="A457" s="933"/>
      <c r="B457" s="933"/>
      <c r="C457" s="933"/>
      <c r="D457" s="933"/>
      <c r="E457" s="933"/>
      <c r="F457" s="933"/>
      <c r="G457" s="933"/>
      <c r="H457" s="933"/>
      <c r="I457" s="933"/>
      <c r="J457" s="933"/>
      <c r="K457" s="935"/>
      <c r="L457" s="933"/>
      <c r="M457" s="933"/>
      <c r="N457" s="945"/>
      <c r="O457" s="933"/>
      <c r="P457" s="933"/>
      <c r="Q457" s="933"/>
      <c r="R457" s="933"/>
      <c r="S457" s="933"/>
      <c r="T457" s="933"/>
      <c r="U457" s="933"/>
      <c r="V457" s="933"/>
      <c r="W457" s="933"/>
      <c r="X457" s="933"/>
      <c r="Y457" s="933"/>
      <c r="Z457" s="933"/>
      <c r="AA457" s="933"/>
      <c r="AB457" s="933"/>
      <c r="AC457" s="933"/>
      <c r="AD457" s="933"/>
    </row>
    <row r="458" spans="1:30" ht="12.75">
      <c r="A458" s="933"/>
      <c r="B458" s="933"/>
      <c r="C458" s="933"/>
      <c r="D458" s="933"/>
      <c r="E458" s="933"/>
      <c r="F458" s="933"/>
      <c r="G458" s="933"/>
      <c r="H458" s="933"/>
      <c r="I458" s="933"/>
      <c r="J458" s="933"/>
      <c r="K458" s="935"/>
      <c r="L458" s="933"/>
      <c r="M458" s="933"/>
      <c r="N458" s="945"/>
      <c r="O458" s="933"/>
      <c r="P458" s="933"/>
      <c r="Q458" s="933"/>
      <c r="R458" s="933"/>
      <c r="S458" s="933"/>
      <c r="T458" s="933"/>
      <c r="U458" s="933"/>
      <c r="V458" s="933"/>
      <c r="W458" s="933"/>
      <c r="X458" s="933"/>
      <c r="Y458" s="933"/>
      <c r="Z458" s="933"/>
      <c r="AA458" s="933"/>
      <c r="AB458" s="933"/>
      <c r="AC458" s="933"/>
      <c r="AD458" s="933"/>
    </row>
    <row r="459" spans="1:30" ht="12.75">
      <c r="A459" s="933"/>
      <c r="B459" s="933"/>
      <c r="C459" s="933"/>
      <c r="D459" s="933"/>
      <c r="E459" s="933"/>
      <c r="F459" s="933"/>
      <c r="G459" s="933"/>
      <c r="H459" s="933"/>
      <c r="I459" s="933"/>
      <c r="J459" s="933"/>
      <c r="K459" s="935"/>
      <c r="L459" s="933"/>
      <c r="M459" s="933"/>
      <c r="N459" s="945"/>
      <c r="O459" s="933"/>
      <c r="P459" s="933"/>
      <c r="Q459" s="933"/>
      <c r="R459" s="933"/>
      <c r="S459" s="933"/>
      <c r="T459" s="933"/>
      <c r="U459" s="933"/>
      <c r="V459" s="933"/>
      <c r="W459" s="933"/>
      <c r="X459" s="933"/>
      <c r="Y459" s="933"/>
      <c r="Z459" s="933"/>
      <c r="AA459" s="933"/>
      <c r="AB459" s="933"/>
      <c r="AC459" s="933"/>
      <c r="AD459" s="933"/>
    </row>
    <row r="460" spans="1:30" ht="12.75">
      <c r="A460" s="933"/>
      <c r="B460" s="933"/>
      <c r="C460" s="933"/>
      <c r="D460" s="933"/>
      <c r="E460" s="933"/>
      <c r="F460" s="933"/>
      <c r="G460" s="933"/>
      <c r="H460" s="933"/>
      <c r="I460" s="933"/>
      <c r="J460" s="933"/>
      <c r="K460" s="935"/>
      <c r="L460" s="933"/>
      <c r="M460" s="933"/>
      <c r="N460" s="945"/>
      <c r="O460" s="933"/>
      <c r="P460" s="933"/>
      <c r="Q460" s="933"/>
      <c r="R460" s="933"/>
      <c r="S460" s="933"/>
      <c r="T460" s="933"/>
      <c r="U460" s="933"/>
      <c r="V460" s="933"/>
      <c r="W460" s="933"/>
      <c r="X460" s="933"/>
      <c r="Y460" s="933"/>
      <c r="Z460" s="933"/>
      <c r="AA460" s="933"/>
      <c r="AB460" s="933"/>
      <c r="AC460" s="933"/>
      <c r="AD460" s="933"/>
    </row>
    <row r="461" spans="1:30" ht="12.75">
      <c r="A461" s="933"/>
      <c r="B461" s="933"/>
      <c r="C461" s="933"/>
      <c r="D461" s="933"/>
      <c r="E461" s="933"/>
      <c r="F461" s="933"/>
      <c r="G461" s="933"/>
      <c r="H461" s="933"/>
      <c r="I461" s="933"/>
      <c r="J461" s="933"/>
      <c r="K461" s="935"/>
      <c r="L461" s="933"/>
      <c r="M461" s="933"/>
      <c r="N461" s="945"/>
      <c r="O461" s="933"/>
      <c r="P461" s="933"/>
      <c r="Q461" s="933"/>
      <c r="R461" s="933"/>
      <c r="S461" s="933"/>
      <c r="T461" s="933"/>
      <c r="U461" s="933"/>
      <c r="V461" s="933"/>
      <c r="W461" s="933"/>
      <c r="X461" s="933"/>
      <c r="Y461" s="933"/>
      <c r="Z461" s="933"/>
      <c r="AA461" s="933"/>
      <c r="AB461" s="933"/>
      <c r="AC461" s="933"/>
      <c r="AD461" s="933"/>
    </row>
    <row r="462" spans="1:30" ht="12.75">
      <c r="A462" s="933"/>
      <c r="B462" s="933"/>
      <c r="C462" s="933"/>
      <c r="D462" s="933"/>
      <c r="E462" s="933"/>
      <c r="F462" s="933"/>
      <c r="G462" s="933"/>
      <c r="H462" s="933"/>
      <c r="I462" s="933"/>
      <c r="J462" s="933"/>
      <c r="K462" s="935"/>
      <c r="L462" s="933"/>
      <c r="M462" s="933"/>
      <c r="N462" s="945"/>
      <c r="O462" s="933"/>
      <c r="P462" s="933"/>
      <c r="Q462" s="933"/>
      <c r="R462" s="933"/>
      <c r="S462" s="933"/>
      <c r="T462" s="933"/>
      <c r="U462" s="933"/>
      <c r="V462" s="933"/>
      <c r="W462" s="933"/>
      <c r="X462" s="933"/>
      <c r="Y462" s="933"/>
      <c r="Z462" s="933"/>
      <c r="AA462" s="933"/>
      <c r="AB462" s="933"/>
      <c r="AC462" s="933"/>
      <c r="AD462" s="933"/>
    </row>
    <row r="463" spans="1:30" ht="12.75">
      <c r="A463" s="933"/>
      <c r="B463" s="933"/>
      <c r="C463" s="933"/>
      <c r="D463" s="933"/>
      <c r="E463" s="933"/>
      <c r="F463" s="933"/>
      <c r="G463" s="933"/>
      <c r="H463" s="933"/>
      <c r="I463" s="933"/>
      <c r="J463" s="933"/>
      <c r="K463" s="935"/>
      <c r="L463" s="933"/>
      <c r="M463" s="933"/>
      <c r="N463" s="945"/>
      <c r="O463" s="933"/>
      <c r="P463" s="933"/>
      <c r="Q463" s="933"/>
      <c r="R463" s="933"/>
      <c r="S463" s="933"/>
      <c r="T463" s="933"/>
      <c r="U463" s="933"/>
      <c r="V463" s="933"/>
      <c r="W463" s="933"/>
      <c r="X463" s="933"/>
      <c r="Y463" s="933"/>
      <c r="Z463" s="933"/>
      <c r="AA463" s="933"/>
      <c r="AB463" s="933"/>
      <c r="AC463" s="933"/>
      <c r="AD463" s="933"/>
    </row>
    <row r="464" spans="1:30" ht="12.75">
      <c r="A464" s="933"/>
      <c r="B464" s="933"/>
      <c r="C464" s="933"/>
      <c r="D464" s="933"/>
      <c r="E464" s="933"/>
      <c r="F464" s="933"/>
      <c r="G464" s="933"/>
      <c r="H464" s="933"/>
      <c r="I464" s="933"/>
      <c r="J464" s="933"/>
      <c r="K464" s="935"/>
      <c r="L464" s="933"/>
      <c r="M464" s="933"/>
      <c r="N464" s="945"/>
      <c r="O464" s="933"/>
      <c r="P464" s="933"/>
      <c r="Q464" s="933"/>
      <c r="R464" s="933"/>
      <c r="S464" s="933"/>
      <c r="T464" s="933"/>
      <c r="U464" s="933"/>
      <c r="V464" s="933"/>
      <c r="W464" s="933"/>
      <c r="X464" s="933"/>
      <c r="Y464" s="933"/>
      <c r="Z464" s="933"/>
      <c r="AA464" s="933"/>
      <c r="AB464" s="933"/>
      <c r="AC464" s="933"/>
      <c r="AD464" s="933"/>
    </row>
    <row r="465" spans="1:30" ht="12.75">
      <c r="A465" s="933"/>
      <c r="B465" s="933"/>
      <c r="C465" s="933"/>
      <c r="D465" s="933"/>
      <c r="E465" s="933"/>
      <c r="F465" s="933"/>
      <c r="G465" s="933"/>
      <c r="H465" s="933"/>
      <c r="I465" s="933"/>
      <c r="J465" s="933"/>
      <c r="K465" s="935"/>
      <c r="L465" s="933"/>
      <c r="M465" s="933"/>
      <c r="N465" s="945"/>
      <c r="O465" s="933"/>
      <c r="P465" s="933"/>
      <c r="Q465" s="933"/>
      <c r="R465" s="933"/>
      <c r="S465" s="933"/>
      <c r="T465" s="933"/>
      <c r="U465" s="933"/>
      <c r="V465" s="933"/>
      <c r="W465" s="933"/>
      <c r="X465" s="933"/>
      <c r="Y465" s="933"/>
      <c r="Z465" s="933"/>
      <c r="AA465" s="933"/>
      <c r="AB465" s="933"/>
      <c r="AC465" s="933"/>
      <c r="AD465" s="933"/>
    </row>
    <row r="466" spans="1:30" ht="12.75">
      <c r="A466" s="933"/>
      <c r="B466" s="933"/>
      <c r="C466" s="933"/>
      <c r="D466" s="933"/>
      <c r="E466" s="933"/>
      <c r="F466" s="933"/>
      <c r="G466" s="933"/>
      <c r="H466" s="933"/>
      <c r="I466" s="933"/>
      <c r="J466" s="933"/>
      <c r="K466" s="935"/>
      <c r="L466" s="933"/>
      <c r="M466" s="933"/>
      <c r="N466" s="945"/>
      <c r="O466" s="933"/>
      <c r="P466" s="933"/>
      <c r="Q466" s="933"/>
      <c r="R466" s="933"/>
      <c r="S466" s="933"/>
      <c r="T466" s="933"/>
      <c r="U466" s="933"/>
      <c r="V466" s="933"/>
      <c r="W466" s="933"/>
      <c r="X466" s="933"/>
      <c r="Y466" s="933"/>
      <c r="Z466" s="933"/>
      <c r="AA466" s="933"/>
      <c r="AB466" s="933"/>
      <c r="AC466" s="933"/>
      <c r="AD466" s="933"/>
    </row>
    <row r="467" spans="1:30" ht="12.75">
      <c r="A467" s="933"/>
      <c r="B467" s="933"/>
      <c r="C467" s="933"/>
      <c r="D467" s="933"/>
      <c r="E467" s="933"/>
      <c r="F467" s="933"/>
      <c r="G467" s="933"/>
      <c r="H467" s="933"/>
      <c r="I467" s="933"/>
      <c r="J467" s="933"/>
      <c r="K467" s="935"/>
      <c r="L467" s="933"/>
      <c r="M467" s="933"/>
      <c r="N467" s="945"/>
      <c r="O467" s="933"/>
      <c r="P467" s="933"/>
      <c r="Q467" s="933"/>
      <c r="R467" s="933"/>
      <c r="S467" s="933"/>
      <c r="T467" s="933"/>
      <c r="U467" s="933"/>
      <c r="V467" s="933"/>
      <c r="W467" s="933"/>
      <c r="X467" s="933"/>
      <c r="Y467" s="933"/>
      <c r="Z467" s="933"/>
      <c r="AA467" s="933"/>
      <c r="AB467" s="933"/>
      <c r="AC467" s="933"/>
      <c r="AD467" s="933"/>
    </row>
    <row r="468" spans="1:30" ht="12.75">
      <c r="A468" s="933"/>
      <c r="B468" s="933"/>
      <c r="C468" s="933"/>
      <c r="D468" s="933"/>
      <c r="E468" s="933"/>
      <c r="F468" s="933"/>
      <c r="G468" s="933"/>
      <c r="H468" s="933"/>
      <c r="I468" s="933"/>
      <c r="J468" s="933"/>
      <c r="K468" s="935"/>
      <c r="L468" s="933"/>
      <c r="M468" s="933"/>
      <c r="N468" s="945"/>
      <c r="O468" s="933"/>
      <c r="P468" s="933"/>
      <c r="Q468" s="933"/>
      <c r="R468" s="933"/>
      <c r="S468" s="933"/>
      <c r="T468" s="933"/>
      <c r="U468" s="933"/>
      <c r="V468" s="933"/>
      <c r="W468" s="933"/>
      <c r="X468" s="933"/>
      <c r="Y468" s="933"/>
      <c r="Z468" s="933"/>
      <c r="AA468" s="933"/>
      <c r="AB468" s="933"/>
      <c r="AC468" s="933"/>
      <c r="AD468" s="933"/>
    </row>
    <row r="469" spans="1:30" ht="12.75">
      <c r="A469" s="933"/>
      <c r="B469" s="933"/>
      <c r="C469" s="933"/>
      <c r="D469" s="933"/>
      <c r="E469" s="933"/>
      <c r="F469" s="933"/>
      <c r="G469" s="933"/>
      <c r="H469" s="933"/>
      <c r="I469" s="933"/>
      <c r="J469" s="933"/>
      <c r="K469" s="935"/>
      <c r="L469" s="933"/>
      <c r="M469" s="933"/>
      <c r="N469" s="945"/>
      <c r="O469" s="933"/>
      <c r="P469" s="933"/>
      <c r="Q469" s="933"/>
      <c r="R469" s="933"/>
      <c r="S469" s="933"/>
      <c r="T469" s="933"/>
      <c r="U469" s="933"/>
      <c r="V469" s="933"/>
      <c r="W469" s="933"/>
      <c r="X469" s="933"/>
      <c r="Y469" s="933"/>
      <c r="Z469" s="933"/>
      <c r="AA469" s="933"/>
      <c r="AB469" s="933"/>
      <c r="AC469" s="933"/>
      <c r="AD469" s="933"/>
    </row>
    <row r="470" spans="1:30" ht="12.75">
      <c r="A470" s="933"/>
      <c r="B470" s="933"/>
      <c r="C470" s="933"/>
      <c r="D470" s="933"/>
      <c r="E470" s="933"/>
      <c r="F470" s="933"/>
      <c r="G470" s="933"/>
      <c r="H470" s="933"/>
      <c r="I470" s="933"/>
      <c r="J470" s="933"/>
      <c r="K470" s="935"/>
      <c r="L470" s="933"/>
      <c r="M470" s="933"/>
      <c r="N470" s="945"/>
      <c r="O470" s="933"/>
      <c r="P470" s="933"/>
      <c r="Q470" s="933"/>
      <c r="R470" s="933"/>
      <c r="S470" s="933"/>
      <c r="T470" s="933"/>
      <c r="U470" s="933"/>
      <c r="V470" s="933"/>
      <c r="W470" s="933"/>
      <c r="X470" s="933"/>
      <c r="Y470" s="933"/>
      <c r="Z470" s="933"/>
      <c r="AA470" s="933"/>
      <c r="AB470" s="933"/>
      <c r="AC470" s="933"/>
      <c r="AD470" s="933"/>
    </row>
    <row r="471" spans="1:30" ht="12.75">
      <c r="A471" s="933"/>
      <c r="B471" s="933"/>
      <c r="C471" s="933"/>
      <c r="D471" s="933"/>
      <c r="E471" s="933"/>
      <c r="F471" s="933"/>
      <c r="G471" s="933"/>
      <c r="H471" s="933"/>
      <c r="I471" s="933"/>
      <c r="J471" s="933"/>
      <c r="K471" s="935"/>
      <c r="L471" s="933"/>
      <c r="M471" s="933"/>
      <c r="N471" s="945"/>
      <c r="O471" s="933"/>
      <c r="P471" s="933"/>
      <c r="Q471" s="933"/>
      <c r="R471" s="933"/>
      <c r="S471" s="933"/>
      <c r="T471" s="933"/>
      <c r="U471" s="933"/>
      <c r="V471" s="933"/>
      <c r="W471" s="933"/>
      <c r="X471" s="933"/>
      <c r="Y471" s="933"/>
      <c r="Z471" s="933"/>
      <c r="AA471" s="933"/>
      <c r="AB471" s="933"/>
      <c r="AC471" s="933"/>
      <c r="AD471" s="933"/>
    </row>
    <row r="472" spans="1:30" ht="12.75">
      <c r="A472" s="933"/>
      <c r="B472" s="933"/>
      <c r="C472" s="933"/>
      <c r="D472" s="933"/>
      <c r="E472" s="933"/>
      <c r="F472" s="933"/>
      <c r="G472" s="933"/>
      <c r="H472" s="933"/>
      <c r="I472" s="933"/>
      <c r="J472" s="933"/>
      <c r="K472" s="935"/>
      <c r="L472" s="933"/>
      <c r="M472" s="933"/>
      <c r="N472" s="945"/>
      <c r="O472" s="933"/>
      <c r="P472" s="933"/>
      <c r="Q472" s="933"/>
      <c r="R472" s="933"/>
      <c r="S472" s="933"/>
      <c r="T472" s="933"/>
      <c r="U472" s="933"/>
      <c r="V472" s="933"/>
      <c r="W472" s="933"/>
      <c r="X472" s="933"/>
      <c r="Y472" s="933"/>
      <c r="Z472" s="933"/>
      <c r="AA472" s="933"/>
      <c r="AB472" s="933"/>
      <c r="AC472" s="933"/>
      <c r="AD472" s="933"/>
    </row>
    <row r="473" spans="1:30" ht="12.75">
      <c r="A473" s="933"/>
      <c r="B473" s="933"/>
      <c r="C473" s="933"/>
      <c r="D473" s="933"/>
      <c r="E473" s="933"/>
      <c r="F473" s="933"/>
      <c r="G473" s="933"/>
      <c r="H473" s="933"/>
      <c r="I473" s="933"/>
      <c r="J473" s="933"/>
      <c r="K473" s="935"/>
      <c r="L473" s="933"/>
      <c r="M473" s="933"/>
      <c r="N473" s="945"/>
      <c r="O473" s="933"/>
      <c r="P473" s="933"/>
      <c r="Q473" s="933"/>
      <c r="R473" s="933"/>
      <c r="S473" s="933"/>
      <c r="T473" s="933"/>
      <c r="U473" s="933"/>
      <c r="V473" s="933"/>
      <c r="W473" s="933"/>
      <c r="X473" s="933"/>
      <c r="Y473" s="933"/>
      <c r="Z473" s="933"/>
      <c r="AA473" s="933"/>
      <c r="AB473" s="933"/>
      <c r="AC473" s="933"/>
      <c r="AD473" s="933"/>
    </row>
    <row r="474" spans="1:30" ht="12.75">
      <c r="A474" s="933"/>
      <c r="B474" s="933"/>
      <c r="C474" s="933"/>
      <c r="D474" s="933"/>
      <c r="E474" s="933"/>
      <c r="F474" s="933"/>
      <c r="G474" s="933"/>
      <c r="H474" s="933"/>
      <c r="I474" s="933"/>
      <c r="J474" s="933"/>
      <c r="K474" s="935"/>
      <c r="L474" s="933"/>
      <c r="M474" s="933"/>
      <c r="N474" s="945"/>
      <c r="O474" s="933"/>
      <c r="P474" s="933"/>
      <c r="Q474" s="933"/>
      <c r="R474" s="933"/>
      <c r="S474" s="933"/>
      <c r="T474" s="933"/>
      <c r="U474" s="933"/>
      <c r="V474" s="933"/>
      <c r="W474" s="933"/>
      <c r="X474" s="933"/>
      <c r="Y474" s="933"/>
      <c r="Z474" s="933"/>
      <c r="AA474" s="933"/>
      <c r="AB474" s="933"/>
      <c r="AC474" s="933"/>
      <c r="AD474" s="933"/>
    </row>
    <row r="475" spans="1:30" ht="12.75">
      <c r="A475" s="933"/>
      <c r="B475" s="933"/>
      <c r="C475" s="933"/>
      <c r="D475" s="933"/>
      <c r="E475" s="933"/>
      <c r="F475" s="933"/>
      <c r="G475" s="933"/>
      <c r="H475" s="933"/>
      <c r="I475" s="933"/>
      <c r="J475" s="933"/>
      <c r="K475" s="935"/>
      <c r="L475" s="933"/>
      <c r="M475" s="933"/>
      <c r="N475" s="945"/>
      <c r="O475" s="933"/>
      <c r="P475" s="933"/>
      <c r="Q475" s="933"/>
      <c r="R475" s="933"/>
      <c r="S475" s="933"/>
      <c r="T475" s="933"/>
      <c r="U475" s="933"/>
      <c r="V475" s="933"/>
      <c r="W475" s="933"/>
      <c r="X475" s="933"/>
      <c r="Y475" s="933"/>
      <c r="Z475" s="933"/>
      <c r="AA475" s="933"/>
      <c r="AB475" s="933"/>
      <c r="AC475" s="933"/>
      <c r="AD475" s="933"/>
    </row>
    <row r="476" spans="1:30" ht="12.75">
      <c r="A476" s="933"/>
      <c r="B476" s="933"/>
      <c r="C476" s="933"/>
      <c r="D476" s="933"/>
      <c r="E476" s="933"/>
      <c r="F476" s="933"/>
      <c r="G476" s="933"/>
      <c r="H476" s="933"/>
      <c r="I476" s="933"/>
      <c r="J476" s="933"/>
      <c r="K476" s="935"/>
      <c r="L476" s="933"/>
      <c r="M476" s="933"/>
      <c r="N476" s="945"/>
      <c r="O476" s="933"/>
      <c r="P476" s="933"/>
      <c r="Q476" s="933"/>
      <c r="R476" s="933"/>
      <c r="S476" s="933"/>
      <c r="T476" s="933"/>
      <c r="U476" s="933"/>
      <c r="V476" s="933"/>
      <c r="W476" s="933"/>
      <c r="X476" s="933"/>
      <c r="Y476" s="933"/>
      <c r="Z476" s="933"/>
      <c r="AA476" s="933"/>
      <c r="AB476" s="933"/>
      <c r="AC476" s="933"/>
      <c r="AD476" s="933"/>
    </row>
    <row r="477" spans="1:30" ht="12.75">
      <c r="A477" s="933"/>
      <c r="B477" s="933"/>
      <c r="C477" s="933"/>
      <c r="D477" s="933"/>
      <c r="E477" s="933"/>
      <c r="F477" s="933"/>
      <c r="G477" s="933"/>
      <c r="H477" s="933"/>
      <c r="I477" s="933"/>
      <c r="J477" s="933"/>
      <c r="K477" s="935"/>
      <c r="L477" s="933"/>
      <c r="M477" s="933"/>
      <c r="N477" s="945"/>
      <c r="O477" s="933"/>
      <c r="P477" s="933"/>
      <c r="Q477" s="933"/>
      <c r="R477" s="933"/>
      <c r="S477" s="933"/>
      <c r="T477" s="933"/>
      <c r="U477" s="933"/>
      <c r="V477" s="933"/>
      <c r="W477" s="933"/>
      <c r="X477" s="933"/>
      <c r="Y477" s="933"/>
      <c r="Z477" s="933"/>
      <c r="AA477" s="933"/>
      <c r="AB477" s="933"/>
      <c r="AC477" s="933"/>
      <c r="AD477" s="933"/>
    </row>
    <row r="478" spans="1:30" ht="12.75">
      <c r="A478" s="933"/>
      <c r="B478" s="933"/>
      <c r="C478" s="933"/>
      <c r="D478" s="933"/>
      <c r="E478" s="933"/>
      <c r="F478" s="933"/>
      <c r="G478" s="933"/>
      <c r="H478" s="933"/>
      <c r="I478" s="933"/>
      <c r="J478" s="933"/>
      <c r="K478" s="935"/>
      <c r="L478" s="933"/>
      <c r="M478" s="933"/>
      <c r="N478" s="945"/>
      <c r="O478" s="933"/>
      <c r="P478" s="933"/>
      <c r="Q478" s="933"/>
      <c r="R478" s="933"/>
      <c r="S478" s="933"/>
      <c r="T478" s="933"/>
      <c r="U478" s="933"/>
      <c r="V478" s="933"/>
      <c r="W478" s="933"/>
      <c r="X478" s="933"/>
      <c r="Y478" s="933"/>
      <c r="Z478" s="933"/>
      <c r="AA478" s="933"/>
      <c r="AB478" s="933"/>
      <c r="AC478" s="933"/>
      <c r="AD478" s="933"/>
    </row>
    <row r="479" spans="1:30" ht="12.75">
      <c r="A479" s="933"/>
      <c r="B479" s="933"/>
      <c r="C479" s="933"/>
      <c r="D479" s="933"/>
      <c r="E479" s="933"/>
      <c r="F479" s="933"/>
      <c r="G479" s="933"/>
      <c r="H479" s="933"/>
      <c r="I479" s="933"/>
      <c r="J479" s="933"/>
      <c r="K479" s="935"/>
      <c r="L479" s="933"/>
      <c r="M479" s="933"/>
      <c r="N479" s="945"/>
      <c r="O479" s="933"/>
      <c r="P479" s="933"/>
      <c r="Q479" s="933"/>
      <c r="R479" s="933"/>
      <c r="S479" s="933"/>
      <c r="T479" s="933"/>
      <c r="U479" s="933"/>
      <c r="V479" s="933"/>
      <c r="W479" s="933"/>
      <c r="X479" s="933"/>
      <c r="Y479" s="933"/>
      <c r="Z479" s="933"/>
      <c r="AA479" s="933"/>
      <c r="AB479" s="933"/>
      <c r="AC479" s="933"/>
      <c r="AD479" s="933"/>
    </row>
    <row r="480" spans="1:30" ht="12.75">
      <c r="A480" s="933"/>
      <c r="B480" s="933"/>
      <c r="C480" s="933"/>
      <c r="D480" s="933"/>
      <c r="E480" s="933"/>
      <c r="F480" s="933"/>
      <c r="G480" s="933"/>
      <c r="H480" s="933"/>
      <c r="I480" s="933"/>
      <c r="J480" s="933"/>
      <c r="K480" s="935"/>
      <c r="L480" s="933"/>
      <c r="M480" s="933"/>
      <c r="N480" s="945"/>
      <c r="O480" s="933"/>
      <c r="P480" s="933"/>
      <c r="Q480" s="933"/>
      <c r="R480" s="933"/>
      <c r="S480" s="933"/>
      <c r="T480" s="933"/>
      <c r="U480" s="933"/>
      <c r="V480" s="933"/>
      <c r="W480" s="933"/>
      <c r="X480" s="933"/>
      <c r="Y480" s="933"/>
      <c r="Z480" s="933"/>
      <c r="AA480" s="933"/>
      <c r="AB480" s="933"/>
      <c r="AC480" s="933"/>
      <c r="AD480" s="933"/>
    </row>
    <row r="481" spans="1:30" ht="12.75">
      <c r="A481" s="933"/>
      <c r="B481" s="933"/>
      <c r="C481" s="933"/>
      <c r="D481" s="933"/>
      <c r="E481" s="933"/>
      <c r="F481" s="933"/>
      <c r="G481" s="933"/>
      <c r="H481" s="933"/>
      <c r="I481" s="933"/>
      <c r="J481" s="933"/>
      <c r="K481" s="935"/>
      <c r="L481" s="933"/>
      <c r="M481" s="933"/>
      <c r="N481" s="945"/>
      <c r="O481" s="933"/>
      <c r="P481" s="933"/>
      <c r="Q481" s="933"/>
      <c r="R481" s="933"/>
      <c r="S481" s="933"/>
      <c r="T481" s="933"/>
      <c r="U481" s="933"/>
      <c r="V481" s="933"/>
      <c r="W481" s="933"/>
      <c r="X481" s="933"/>
      <c r="Y481" s="933"/>
      <c r="Z481" s="933"/>
      <c r="AA481" s="933"/>
      <c r="AB481" s="933"/>
      <c r="AC481" s="933"/>
      <c r="AD481" s="933"/>
    </row>
    <row r="482" spans="1:30" ht="12.75">
      <c r="A482" s="933"/>
      <c r="B482" s="933"/>
      <c r="C482" s="933"/>
      <c r="D482" s="933"/>
      <c r="E482" s="933"/>
      <c r="F482" s="933"/>
      <c r="G482" s="933"/>
      <c r="H482" s="933"/>
      <c r="I482" s="933"/>
      <c r="J482" s="933"/>
      <c r="K482" s="935"/>
      <c r="L482" s="933"/>
      <c r="M482" s="933"/>
      <c r="N482" s="945"/>
      <c r="O482" s="933"/>
      <c r="P482" s="933"/>
      <c r="Q482" s="933"/>
      <c r="R482" s="933"/>
      <c r="S482" s="933"/>
      <c r="T482" s="933"/>
      <c r="U482" s="933"/>
      <c r="V482" s="933"/>
      <c r="W482" s="933"/>
      <c r="X482" s="933"/>
      <c r="Y482" s="933"/>
      <c r="Z482" s="933"/>
      <c r="AA482" s="933"/>
      <c r="AB482" s="933"/>
      <c r="AC482" s="933"/>
      <c r="AD482" s="933"/>
    </row>
    <row r="483" spans="1:30" ht="12.75">
      <c r="A483" s="933"/>
      <c r="B483" s="933"/>
      <c r="C483" s="933"/>
      <c r="D483" s="933"/>
      <c r="E483" s="933"/>
      <c r="F483" s="933"/>
      <c r="G483" s="933"/>
      <c r="H483" s="933"/>
      <c r="I483" s="933"/>
      <c r="J483" s="933"/>
      <c r="K483" s="935"/>
      <c r="L483" s="933"/>
      <c r="M483" s="933"/>
      <c r="N483" s="945"/>
      <c r="O483" s="933"/>
      <c r="P483" s="933"/>
      <c r="Q483" s="933"/>
      <c r="R483" s="933"/>
      <c r="S483" s="933"/>
      <c r="T483" s="933"/>
      <c r="U483" s="933"/>
      <c r="V483" s="933"/>
      <c r="W483" s="933"/>
      <c r="X483" s="933"/>
      <c r="Y483" s="933"/>
      <c r="Z483" s="933"/>
      <c r="AA483" s="933"/>
      <c r="AB483" s="933"/>
      <c r="AC483" s="933"/>
      <c r="AD483" s="933"/>
    </row>
    <row r="484" spans="1:30" ht="12.75">
      <c r="A484" s="933"/>
      <c r="B484" s="933"/>
      <c r="C484" s="933"/>
      <c r="D484" s="933"/>
      <c r="E484" s="933"/>
      <c r="F484" s="933"/>
      <c r="G484" s="933"/>
      <c r="H484" s="933"/>
      <c r="I484" s="933"/>
      <c r="J484" s="933"/>
      <c r="K484" s="935"/>
      <c r="L484" s="933"/>
      <c r="M484" s="933"/>
      <c r="N484" s="945"/>
      <c r="O484" s="933"/>
      <c r="P484" s="933"/>
      <c r="Q484" s="933"/>
      <c r="R484" s="933"/>
      <c r="S484" s="933"/>
      <c r="T484" s="933"/>
      <c r="U484" s="933"/>
      <c r="V484" s="933"/>
      <c r="W484" s="933"/>
      <c r="X484" s="933"/>
      <c r="Y484" s="933"/>
      <c r="Z484" s="933"/>
      <c r="AA484" s="933"/>
      <c r="AB484" s="933"/>
      <c r="AC484" s="933"/>
      <c r="AD484" s="933"/>
    </row>
    <row r="485" spans="1:30" ht="12.75">
      <c r="A485" s="933"/>
      <c r="B485" s="933"/>
      <c r="C485" s="933"/>
      <c r="D485" s="933"/>
      <c r="E485" s="933"/>
      <c r="F485" s="933"/>
      <c r="G485" s="933"/>
      <c r="H485" s="933"/>
      <c r="I485" s="933"/>
      <c r="J485" s="933"/>
      <c r="K485" s="935"/>
      <c r="L485" s="933"/>
      <c r="M485" s="933"/>
      <c r="N485" s="945"/>
      <c r="O485" s="933"/>
      <c r="P485" s="933"/>
      <c r="Q485" s="933"/>
      <c r="R485" s="933"/>
      <c r="S485" s="933"/>
      <c r="T485" s="933"/>
      <c r="U485" s="933"/>
      <c r="V485" s="933"/>
      <c r="W485" s="933"/>
      <c r="X485" s="933"/>
      <c r="Y485" s="933"/>
      <c r="Z485" s="933"/>
      <c r="AA485" s="933"/>
      <c r="AB485" s="933"/>
      <c r="AC485" s="933"/>
      <c r="AD485" s="933"/>
    </row>
    <row r="486" spans="1:30" ht="12.75">
      <c r="A486" s="933"/>
      <c r="B486" s="933"/>
      <c r="C486" s="933"/>
      <c r="D486" s="933"/>
      <c r="E486" s="933"/>
      <c r="F486" s="933"/>
      <c r="G486" s="933"/>
      <c r="H486" s="933"/>
      <c r="I486" s="933"/>
      <c r="J486" s="933"/>
      <c r="K486" s="935"/>
      <c r="L486" s="933"/>
      <c r="M486" s="933"/>
      <c r="N486" s="945"/>
      <c r="O486" s="933"/>
      <c r="P486" s="933"/>
      <c r="Q486" s="933"/>
      <c r="R486" s="933"/>
      <c r="S486" s="933"/>
      <c r="T486" s="933"/>
      <c r="U486" s="933"/>
      <c r="V486" s="933"/>
      <c r="W486" s="933"/>
      <c r="X486" s="933"/>
      <c r="Y486" s="933"/>
      <c r="Z486" s="933"/>
      <c r="AA486" s="933"/>
      <c r="AB486" s="933"/>
      <c r="AC486" s="933"/>
      <c r="AD486" s="933"/>
    </row>
    <row r="487" spans="1:30" ht="12.75">
      <c r="A487" s="933"/>
      <c r="B487" s="933"/>
      <c r="C487" s="933"/>
      <c r="D487" s="933"/>
      <c r="E487" s="933"/>
      <c r="F487" s="933"/>
      <c r="G487" s="933"/>
      <c r="H487" s="933"/>
      <c r="I487" s="933"/>
      <c r="J487" s="933"/>
      <c r="K487" s="935"/>
      <c r="L487" s="933"/>
      <c r="M487" s="933"/>
      <c r="N487" s="945"/>
      <c r="O487" s="933"/>
      <c r="P487" s="933"/>
      <c r="Q487" s="933"/>
      <c r="R487" s="933"/>
      <c r="S487" s="933"/>
      <c r="T487" s="933"/>
      <c r="U487" s="933"/>
      <c r="V487" s="933"/>
      <c r="W487" s="933"/>
      <c r="X487" s="933"/>
      <c r="Y487" s="933"/>
      <c r="Z487" s="933"/>
      <c r="AA487" s="933"/>
      <c r="AB487" s="933"/>
      <c r="AC487" s="933"/>
      <c r="AD487" s="933"/>
    </row>
    <row r="488" spans="1:30" ht="12.75">
      <c r="A488" s="933"/>
      <c r="B488" s="933"/>
      <c r="C488" s="933"/>
      <c r="D488" s="933"/>
      <c r="E488" s="933"/>
      <c r="F488" s="933"/>
      <c r="G488" s="933"/>
      <c r="H488" s="933"/>
      <c r="I488" s="933"/>
      <c r="J488" s="933"/>
      <c r="K488" s="935"/>
      <c r="L488" s="933"/>
      <c r="M488" s="933"/>
      <c r="N488" s="945"/>
      <c r="O488" s="933"/>
      <c r="P488" s="933"/>
      <c r="Q488" s="933"/>
      <c r="R488" s="933"/>
      <c r="S488" s="933"/>
      <c r="T488" s="933"/>
      <c r="U488" s="933"/>
      <c r="V488" s="933"/>
      <c r="W488" s="933"/>
      <c r="X488" s="933"/>
      <c r="Y488" s="933"/>
      <c r="Z488" s="933"/>
      <c r="AA488" s="933"/>
      <c r="AB488" s="933"/>
      <c r="AC488" s="933"/>
      <c r="AD488" s="933"/>
    </row>
    <row r="489" spans="1:30" ht="12.75">
      <c r="A489" s="933"/>
      <c r="B489" s="933"/>
      <c r="C489" s="933"/>
      <c r="D489" s="933"/>
      <c r="E489" s="933"/>
      <c r="F489" s="933"/>
      <c r="G489" s="933"/>
      <c r="H489" s="933"/>
      <c r="I489" s="933"/>
      <c r="J489" s="933"/>
      <c r="K489" s="935"/>
      <c r="L489" s="933"/>
      <c r="M489" s="933"/>
      <c r="N489" s="945"/>
      <c r="O489" s="933"/>
      <c r="P489" s="933"/>
      <c r="Q489" s="933"/>
      <c r="R489" s="933"/>
      <c r="S489" s="933"/>
      <c r="T489" s="933"/>
      <c r="U489" s="933"/>
      <c r="V489" s="933"/>
      <c r="W489" s="933"/>
      <c r="X489" s="933"/>
      <c r="Y489" s="933"/>
      <c r="Z489" s="933"/>
      <c r="AA489" s="933"/>
      <c r="AB489" s="933"/>
      <c r="AC489" s="933"/>
      <c r="AD489" s="933"/>
    </row>
    <row r="490" spans="1:30" ht="12.75">
      <c r="A490" s="933"/>
      <c r="B490" s="933"/>
      <c r="C490" s="933"/>
      <c r="D490" s="933"/>
      <c r="E490" s="933"/>
      <c r="F490" s="933"/>
      <c r="G490" s="933"/>
      <c r="H490" s="933"/>
      <c r="I490" s="933"/>
      <c r="J490" s="933"/>
      <c r="K490" s="935"/>
      <c r="L490" s="933"/>
      <c r="M490" s="933"/>
      <c r="N490" s="945"/>
      <c r="O490" s="933"/>
      <c r="P490" s="933"/>
      <c r="Q490" s="933"/>
      <c r="R490" s="933"/>
      <c r="S490" s="933"/>
      <c r="T490" s="933"/>
      <c r="U490" s="933"/>
      <c r="V490" s="933"/>
      <c r="W490" s="933"/>
      <c r="X490" s="933"/>
      <c r="Y490" s="933"/>
      <c r="Z490" s="933"/>
      <c r="AA490" s="933"/>
      <c r="AB490" s="933"/>
      <c r="AC490" s="933"/>
      <c r="AD490" s="933"/>
    </row>
    <row r="491" spans="1:30" ht="12.75">
      <c r="A491" s="933"/>
      <c r="B491" s="933"/>
      <c r="C491" s="933"/>
      <c r="D491" s="933"/>
      <c r="E491" s="933"/>
      <c r="F491" s="933"/>
      <c r="G491" s="933"/>
      <c r="H491" s="933"/>
      <c r="I491" s="933"/>
      <c r="J491" s="933"/>
      <c r="K491" s="935"/>
      <c r="L491" s="933"/>
      <c r="M491" s="933"/>
      <c r="N491" s="945"/>
      <c r="O491" s="933"/>
      <c r="P491" s="933"/>
      <c r="Q491" s="933"/>
      <c r="R491" s="933"/>
      <c r="S491" s="933"/>
      <c r="T491" s="933"/>
      <c r="U491" s="933"/>
      <c r="V491" s="933"/>
      <c r="W491" s="933"/>
      <c r="X491" s="933"/>
      <c r="Y491" s="933"/>
      <c r="Z491" s="933"/>
      <c r="AA491" s="933"/>
      <c r="AB491" s="933"/>
      <c r="AC491" s="933"/>
      <c r="AD491" s="933"/>
    </row>
    <row r="492" spans="1:30" ht="12.75">
      <c r="A492" s="933"/>
      <c r="B492" s="933"/>
      <c r="C492" s="933"/>
      <c r="D492" s="933"/>
      <c r="E492" s="933"/>
      <c r="F492" s="933"/>
      <c r="G492" s="933"/>
      <c r="H492" s="933"/>
      <c r="I492" s="933"/>
      <c r="J492" s="933"/>
      <c r="K492" s="935"/>
      <c r="L492" s="933"/>
      <c r="M492" s="933"/>
      <c r="N492" s="945"/>
      <c r="O492" s="933"/>
      <c r="P492" s="933"/>
      <c r="Q492" s="933"/>
      <c r="R492" s="933"/>
      <c r="S492" s="933"/>
      <c r="T492" s="933"/>
      <c r="U492" s="933"/>
      <c r="V492" s="933"/>
      <c r="W492" s="933"/>
      <c r="X492" s="933"/>
      <c r="Y492" s="933"/>
      <c r="Z492" s="933"/>
      <c r="AA492" s="933"/>
      <c r="AB492" s="933"/>
      <c r="AC492" s="933"/>
      <c r="AD492" s="933"/>
    </row>
    <row r="493" spans="1:30" ht="12.75">
      <c r="A493" s="933"/>
      <c r="B493" s="933"/>
      <c r="C493" s="933"/>
      <c r="D493" s="933"/>
      <c r="E493" s="933"/>
      <c r="F493" s="933"/>
      <c r="G493" s="933"/>
      <c r="H493" s="933"/>
      <c r="I493" s="933"/>
      <c r="J493" s="933"/>
      <c r="K493" s="935"/>
      <c r="L493" s="933"/>
      <c r="M493" s="933"/>
      <c r="N493" s="945"/>
      <c r="O493" s="933"/>
      <c r="P493" s="933"/>
      <c r="Q493" s="933"/>
      <c r="R493" s="933"/>
      <c r="S493" s="933"/>
      <c r="T493" s="933"/>
      <c r="U493" s="933"/>
      <c r="V493" s="933"/>
      <c r="W493" s="933"/>
      <c r="X493" s="933"/>
      <c r="Y493" s="933"/>
      <c r="Z493" s="933"/>
      <c r="AA493" s="933"/>
      <c r="AB493" s="933"/>
      <c r="AC493" s="933"/>
      <c r="AD493" s="933"/>
    </row>
    <row r="494" spans="1:30" ht="12.75">
      <c r="A494" s="933"/>
      <c r="B494" s="933"/>
      <c r="C494" s="933"/>
      <c r="D494" s="933"/>
      <c r="E494" s="933"/>
      <c r="F494" s="933"/>
      <c r="G494" s="933"/>
      <c r="H494" s="933"/>
      <c r="I494" s="933"/>
      <c r="J494" s="933"/>
      <c r="K494" s="935"/>
      <c r="L494" s="933"/>
      <c r="M494" s="933"/>
      <c r="N494" s="945"/>
      <c r="O494" s="933"/>
      <c r="P494" s="933"/>
      <c r="Q494" s="933"/>
      <c r="R494" s="933"/>
      <c r="S494" s="933"/>
      <c r="T494" s="933"/>
      <c r="U494" s="933"/>
      <c r="V494" s="933"/>
      <c r="W494" s="933"/>
      <c r="X494" s="933"/>
      <c r="Y494" s="933"/>
      <c r="Z494" s="933"/>
      <c r="AA494" s="933"/>
      <c r="AB494" s="933"/>
      <c r="AC494" s="933"/>
      <c r="AD494" s="933"/>
    </row>
    <row r="495" spans="1:30" ht="12.75">
      <c r="A495" s="933"/>
      <c r="B495" s="933"/>
      <c r="C495" s="933"/>
      <c r="D495" s="933"/>
      <c r="E495" s="933"/>
      <c r="F495" s="933"/>
      <c r="G495" s="933"/>
      <c r="H495" s="933"/>
      <c r="I495" s="933"/>
      <c r="J495" s="933"/>
      <c r="K495" s="935"/>
      <c r="L495" s="933"/>
      <c r="M495" s="933"/>
      <c r="N495" s="945"/>
      <c r="O495" s="933"/>
      <c r="P495" s="933"/>
      <c r="Q495" s="933"/>
      <c r="R495" s="933"/>
      <c r="S495" s="933"/>
      <c r="T495" s="933"/>
      <c r="U495" s="933"/>
      <c r="V495" s="933"/>
      <c r="W495" s="933"/>
      <c r="X495" s="933"/>
      <c r="Y495" s="933"/>
      <c r="Z495" s="933"/>
      <c r="AA495" s="933"/>
      <c r="AB495" s="933"/>
      <c r="AC495" s="933"/>
      <c r="AD495" s="933"/>
    </row>
    <row r="496" spans="1:30" ht="12.75">
      <c r="A496" s="933"/>
      <c r="B496" s="933"/>
      <c r="C496" s="933"/>
      <c r="D496" s="933"/>
      <c r="E496" s="933"/>
      <c r="F496" s="933"/>
      <c r="G496" s="933"/>
      <c r="H496" s="933"/>
      <c r="I496" s="933"/>
      <c r="J496" s="933"/>
      <c r="K496" s="935"/>
      <c r="L496" s="933"/>
      <c r="M496" s="933"/>
      <c r="N496" s="945"/>
      <c r="O496" s="933"/>
      <c r="P496" s="933"/>
      <c r="Q496" s="933"/>
      <c r="R496" s="933"/>
      <c r="S496" s="933"/>
      <c r="T496" s="933"/>
      <c r="U496" s="933"/>
      <c r="V496" s="933"/>
      <c r="W496" s="933"/>
      <c r="X496" s="933"/>
      <c r="Y496" s="933"/>
      <c r="Z496" s="933"/>
      <c r="AA496" s="933"/>
      <c r="AB496" s="933"/>
      <c r="AC496" s="933"/>
      <c r="AD496" s="933"/>
    </row>
    <row r="497" spans="1:30" ht="12.75">
      <c r="A497" s="933"/>
      <c r="B497" s="933"/>
      <c r="C497" s="933"/>
      <c r="D497" s="933"/>
      <c r="E497" s="933"/>
      <c r="F497" s="933"/>
      <c r="G497" s="933"/>
      <c r="H497" s="933"/>
      <c r="I497" s="933"/>
      <c r="J497" s="933"/>
      <c r="K497" s="935"/>
      <c r="L497" s="933"/>
      <c r="M497" s="933"/>
      <c r="N497" s="945"/>
      <c r="O497" s="933"/>
      <c r="P497" s="933"/>
      <c r="Q497" s="933"/>
      <c r="R497" s="933"/>
      <c r="S497" s="933"/>
      <c r="T497" s="933"/>
      <c r="U497" s="933"/>
      <c r="V497" s="933"/>
      <c r="W497" s="933"/>
      <c r="X497" s="933"/>
      <c r="Y497" s="933"/>
      <c r="Z497" s="933"/>
      <c r="AA497" s="933"/>
      <c r="AB497" s="933"/>
      <c r="AC497" s="933"/>
      <c r="AD497" s="933"/>
    </row>
    <row r="498" spans="1:30" ht="12.75">
      <c r="A498" s="933"/>
      <c r="B498" s="933"/>
      <c r="C498" s="933"/>
      <c r="D498" s="933"/>
      <c r="E498" s="933"/>
      <c r="F498" s="933"/>
      <c r="G498" s="933"/>
      <c r="H498" s="933"/>
      <c r="I498" s="933"/>
      <c r="J498" s="933"/>
      <c r="K498" s="935"/>
      <c r="L498" s="933"/>
      <c r="M498" s="933"/>
      <c r="N498" s="945"/>
      <c r="O498" s="933"/>
      <c r="P498" s="933"/>
      <c r="Q498" s="933"/>
      <c r="R498" s="933"/>
      <c r="S498" s="933"/>
      <c r="T498" s="933"/>
      <c r="U498" s="933"/>
      <c r="V498" s="933"/>
      <c r="W498" s="933"/>
      <c r="X498" s="933"/>
      <c r="Y498" s="933"/>
      <c r="Z498" s="933"/>
      <c r="AA498" s="933"/>
      <c r="AB498" s="933"/>
      <c r="AC498" s="933"/>
      <c r="AD498" s="933"/>
    </row>
    <row r="499" spans="1:30" ht="12.75">
      <c r="A499" s="933"/>
      <c r="B499" s="933"/>
      <c r="C499" s="933"/>
      <c r="D499" s="933"/>
      <c r="E499" s="933"/>
      <c r="F499" s="933"/>
      <c r="G499" s="933"/>
      <c r="H499" s="933"/>
      <c r="I499" s="933"/>
      <c r="J499" s="933"/>
      <c r="K499" s="935"/>
      <c r="L499" s="933"/>
      <c r="M499" s="933"/>
      <c r="N499" s="945"/>
      <c r="O499" s="933"/>
      <c r="P499" s="933"/>
      <c r="Q499" s="933"/>
      <c r="R499" s="933"/>
      <c r="S499" s="933"/>
      <c r="T499" s="933"/>
      <c r="U499" s="933"/>
      <c r="V499" s="933"/>
      <c r="W499" s="933"/>
      <c r="X499" s="933"/>
      <c r="Y499" s="933"/>
      <c r="Z499" s="933"/>
      <c r="AA499" s="933"/>
      <c r="AB499" s="933"/>
      <c r="AC499" s="933"/>
      <c r="AD499" s="933"/>
    </row>
    <row r="500" spans="1:30" ht="12.75">
      <c r="A500" s="933"/>
      <c r="B500" s="933"/>
      <c r="C500" s="933"/>
      <c r="D500" s="933"/>
      <c r="E500" s="933"/>
      <c r="F500" s="933"/>
      <c r="G500" s="933"/>
      <c r="H500" s="933"/>
      <c r="I500" s="933"/>
      <c r="J500" s="933"/>
      <c r="K500" s="935"/>
      <c r="L500" s="933"/>
      <c r="M500" s="933"/>
      <c r="N500" s="945"/>
      <c r="O500" s="933"/>
      <c r="P500" s="933"/>
      <c r="Q500" s="933"/>
      <c r="R500" s="933"/>
      <c r="S500" s="933"/>
      <c r="T500" s="933"/>
      <c r="U500" s="933"/>
      <c r="V500" s="933"/>
      <c r="W500" s="933"/>
      <c r="X500" s="933"/>
      <c r="Y500" s="933"/>
      <c r="Z500" s="933"/>
      <c r="AA500" s="933"/>
      <c r="AB500" s="933"/>
      <c r="AC500" s="933"/>
      <c r="AD500" s="933"/>
    </row>
    <row r="501" spans="1:30" ht="12.75">
      <c r="A501" s="933"/>
      <c r="B501" s="933"/>
      <c r="C501" s="933"/>
      <c r="D501" s="933"/>
      <c r="E501" s="933"/>
      <c r="F501" s="933"/>
      <c r="G501" s="933"/>
      <c r="H501" s="933"/>
      <c r="I501" s="933"/>
      <c r="J501" s="933"/>
      <c r="K501" s="935"/>
      <c r="L501" s="933"/>
      <c r="M501" s="933"/>
      <c r="N501" s="945"/>
      <c r="O501" s="933"/>
      <c r="P501" s="933"/>
      <c r="Q501" s="933"/>
      <c r="R501" s="933"/>
      <c r="S501" s="933"/>
      <c r="T501" s="933"/>
      <c r="U501" s="933"/>
      <c r="V501" s="933"/>
      <c r="W501" s="933"/>
      <c r="X501" s="933"/>
      <c r="Y501" s="933"/>
      <c r="Z501" s="933"/>
      <c r="AA501" s="933"/>
      <c r="AB501" s="933"/>
      <c r="AC501" s="933"/>
      <c r="AD501" s="933"/>
    </row>
    <row r="502" spans="1:30" ht="12.75">
      <c r="A502" s="933"/>
      <c r="B502" s="933"/>
      <c r="C502" s="933"/>
      <c r="D502" s="933"/>
      <c r="E502" s="933"/>
      <c r="F502" s="933"/>
      <c r="G502" s="933"/>
      <c r="H502" s="933"/>
      <c r="I502" s="933"/>
      <c r="J502" s="933"/>
      <c r="K502" s="935"/>
      <c r="L502" s="933"/>
      <c r="M502" s="933"/>
      <c r="N502" s="945"/>
      <c r="O502" s="933"/>
      <c r="P502" s="933"/>
      <c r="Q502" s="933"/>
      <c r="R502" s="933"/>
      <c r="S502" s="933"/>
      <c r="T502" s="933"/>
      <c r="U502" s="933"/>
      <c r="V502" s="933"/>
      <c r="W502" s="933"/>
      <c r="X502" s="933"/>
      <c r="Y502" s="933"/>
      <c r="Z502" s="933"/>
      <c r="AA502" s="933"/>
      <c r="AB502" s="933"/>
      <c r="AC502" s="933"/>
      <c r="AD502" s="933"/>
    </row>
    <row r="503" spans="1:30" ht="12.75">
      <c r="A503" s="933"/>
      <c r="B503" s="933"/>
      <c r="C503" s="933"/>
      <c r="D503" s="933"/>
      <c r="E503" s="933"/>
      <c r="F503" s="933"/>
      <c r="G503" s="933"/>
      <c r="H503" s="933"/>
      <c r="I503" s="933"/>
      <c r="J503" s="933"/>
      <c r="K503" s="935"/>
      <c r="L503" s="933"/>
      <c r="M503" s="933"/>
      <c r="N503" s="945"/>
      <c r="O503" s="933"/>
      <c r="P503" s="933"/>
      <c r="Q503" s="933"/>
      <c r="R503" s="933"/>
      <c r="S503" s="933"/>
      <c r="T503" s="933"/>
      <c r="U503" s="933"/>
      <c r="V503" s="933"/>
      <c r="W503" s="933"/>
      <c r="X503" s="933"/>
      <c r="Y503" s="933"/>
      <c r="Z503" s="933"/>
      <c r="AA503" s="933"/>
      <c r="AB503" s="933"/>
      <c r="AC503" s="933"/>
      <c r="AD503" s="933"/>
    </row>
    <row r="504" spans="1:30" ht="12.75">
      <c r="A504" s="933"/>
      <c r="B504" s="933"/>
      <c r="C504" s="933"/>
      <c r="D504" s="933"/>
      <c r="E504" s="933"/>
      <c r="F504" s="933"/>
      <c r="G504" s="933"/>
      <c r="H504" s="933"/>
      <c r="I504" s="933"/>
      <c r="J504" s="933"/>
      <c r="K504" s="935"/>
      <c r="L504" s="933"/>
      <c r="M504" s="933"/>
      <c r="N504" s="945"/>
      <c r="O504" s="933"/>
      <c r="P504" s="933"/>
      <c r="Q504" s="933"/>
      <c r="R504" s="933"/>
      <c r="S504" s="933"/>
      <c r="T504" s="933"/>
      <c r="U504" s="933"/>
      <c r="V504" s="933"/>
      <c r="W504" s="933"/>
      <c r="X504" s="933"/>
      <c r="Y504" s="933"/>
      <c r="Z504" s="933"/>
      <c r="AA504" s="933"/>
      <c r="AB504" s="933"/>
      <c r="AC504" s="933"/>
      <c r="AD504" s="933"/>
    </row>
    <row r="505" spans="1:30" ht="12.75">
      <c r="A505" s="933"/>
      <c r="B505" s="933"/>
      <c r="C505" s="933"/>
      <c r="D505" s="933"/>
      <c r="E505" s="933"/>
      <c r="F505" s="933"/>
      <c r="G505" s="933"/>
      <c r="H505" s="933"/>
      <c r="I505" s="933"/>
      <c r="J505" s="933"/>
      <c r="K505" s="935"/>
      <c r="L505" s="933"/>
      <c r="M505" s="933"/>
      <c r="N505" s="945"/>
      <c r="O505" s="933"/>
      <c r="P505" s="933"/>
      <c r="Q505" s="933"/>
      <c r="R505" s="933"/>
      <c r="S505" s="933"/>
      <c r="T505" s="933"/>
      <c r="U505" s="933"/>
      <c r="V505" s="933"/>
      <c r="W505" s="933"/>
      <c r="X505" s="933"/>
      <c r="Y505" s="933"/>
      <c r="Z505" s="933"/>
      <c r="AA505" s="933"/>
      <c r="AB505" s="933"/>
      <c r="AC505" s="933"/>
      <c r="AD505" s="933"/>
    </row>
    <row r="506" spans="1:30" ht="12.75">
      <c r="A506" s="933"/>
      <c r="B506" s="933"/>
      <c r="C506" s="933"/>
      <c r="D506" s="933"/>
      <c r="E506" s="933"/>
      <c r="F506" s="933"/>
      <c r="G506" s="933"/>
      <c r="H506" s="933"/>
      <c r="I506" s="933"/>
      <c r="J506" s="933"/>
      <c r="K506" s="935"/>
      <c r="L506" s="933"/>
      <c r="M506" s="933"/>
      <c r="N506" s="945"/>
      <c r="O506" s="933"/>
      <c r="P506" s="933"/>
      <c r="Q506" s="933"/>
      <c r="R506" s="933"/>
      <c r="S506" s="933"/>
      <c r="T506" s="933"/>
      <c r="U506" s="933"/>
      <c r="V506" s="933"/>
      <c r="W506" s="933"/>
      <c r="X506" s="933"/>
      <c r="Y506" s="933"/>
      <c r="Z506" s="933"/>
      <c r="AA506" s="933"/>
      <c r="AB506" s="933"/>
      <c r="AC506" s="933"/>
      <c r="AD506" s="933"/>
    </row>
    <row r="507" spans="1:30" ht="12.75">
      <c r="A507" s="933"/>
      <c r="B507" s="933"/>
      <c r="C507" s="933"/>
      <c r="D507" s="933"/>
      <c r="E507" s="933"/>
      <c r="F507" s="933"/>
      <c r="G507" s="933"/>
      <c r="H507" s="933"/>
      <c r="I507" s="933"/>
      <c r="J507" s="933"/>
      <c r="K507" s="935"/>
      <c r="L507" s="933"/>
      <c r="M507" s="933"/>
      <c r="N507" s="945"/>
      <c r="O507" s="933"/>
      <c r="P507" s="933"/>
      <c r="Q507" s="933"/>
      <c r="R507" s="933"/>
      <c r="S507" s="933"/>
      <c r="T507" s="933"/>
      <c r="U507" s="933"/>
      <c r="V507" s="933"/>
      <c r="W507" s="933"/>
      <c r="X507" s="933"/>
      <c r="Y507" s="933"/>
      <c r="Z507" s="933"/>
      <c r="AA507" s="933"/>
      <c r="AB507" s="933"/>
      <c r="AC507" s="933"/>
      <c r="AD507" s="933"/>
    </row>
    <row r="508" spans="1:30" ht="12.75">
      <c r="A508" s="933"/>
      <c r="B508" s="933"/>
      <c r="C508" s="933"/>
      <c r="D508" s="933"/>
      <c r="E508" s="933"/>
      <c r="F508" s="933"/>
      <c r="G508" s="933"/>
      <c r="H508" s="933"/>
      <c r="I508" s="933"/>
      <c r="J508" s="933"/>
      <c r="K508" s="935"/>
      <c r="L508" s="933"/>
      <c r="M508" s="933"/>
      <c r="N508" s="945"/>
      <c r="O508" s="933"/>
      <c r="P508" s="933"/>
      <c r="Q508" s="933"/>
      <c r="R508" s="933"/>
      <c r="S508" s="933"/>
      <c r="T508" s="933"/>
      <c r="U508" s="933"/>
      <c r="V508" s="933"/>
      <c r="W508" s="933"/>
      <c r="X508" s="933"/>
      <c r="Y508" s="933"/>
      <c r="Z508" s="933"/>
      <c r="AA508" s="933"/>
      <c r="AB508" s="933"/>
      <c r="AC508" s="933"/>
      <c r="AD508" s="933"/>
    </row>
    <row r="509" spans="1:30" ht="12.75">
      <c r="A509" s="933"/>
      <c r="B509" s="933"/>
      <c r="C509" s="933"/>
      <c r="D509" s="933"/>
      <c r="E509" s="933"/>
      <c r="F509" s="933"/>
      <c r="G509" s="933"/>
      <c r="H509" s="933"/>
      <c r="I509" s="933"/>
      <c r="J509" s="933"/>
      <c r="K509" s="935"/>
      <c r="L509" s="933"/>
      <c r="M509" s="933"/>
      <c r="N509" s="945"/>
      <c r="O509" s="933"/>
      <c r="P509" s="933"/>
      <c r="Q509" s="933"/>
      <c r="R509" s="933"/>
      <c r="S509" s="933"/>
      <c r="T509" s="933"/>
      <c r="U509" s="933"/>
      <c r="V509" s="933"/>
      <c r="W509" s="933"/>
      <c r="X509" s="933"/>
      <c r="Y509" s="933"/>
      <c r="Z509" s="933"/>
      <c r="AA509" s="933"/>
      <c r="AB509" s="933"/>
      <c r="AC509" s="933"/>
      <c r="AD509" s="933"/>
    </row>
    <row r="510" spans="1:30" ht="12.75">
      <c r="A510" s="933"/>
      <c r="B510" s="933"/>
      <c r="C510" s="933"/>
      <c r="D510" s="933"/>
      <c r="E510" s="933"/>
      <c r="F510" s="933"/>
      <c r="G510" s="933"/>
      <c r="H510" s="933"/>
      <c r="I510" s="933"/>
      <c r="J510" s="933"/>
      <c r="K510" s="935"/>
      <c r="L510" s="933"/>
      <c r="M510" s="933"/>
      <c r="N510" s="945"/>
      <c r="O510" s="933"/>
      <c r="P510" s="933"/>
      <c r="Q510" s="933"/>
      <c r="R510" s="933"/>
      <c r="S510" s="933"/>
      <c r="T510" s="933"/>
      <c r="U510" s="933"/>
      <c r="V510" s="933"/>
      <c r="W510" s="933"/>
      <c r="X510" s="933"/>
      <c r="Y510" s="933"/>
      <c r="Z510" s="933"/>
      <c r="AA510" s="933"/>
      <c r="AB510" s="933"/>
      <c r="AC510" s="933"/>
      <c r="AD510" s="933"/>
    </row>
    <row r="511" spans="1:30" ht="12.75">
      <c r="A511" s="933"/>
      <c r="B511" s="933"/>
      <c r="C511" s="933"/>
      <c r="D511" s="933"/>
      <c r="E511" s="933"/>
      <c r="F511" s="933"/>
      <c r="G511" s="933"/>
      <c r="H511" s="933"/>
      <c r="I511" s="933"/>
      <c r="J511" s="933"/>
      <c r="K511" s="935"/>
      <c r="L511" s="933"/>
      <c r="M511" s="933"/>
      <c r="N511" s="945"/>
      <c r="O511" s="933"/>
      <c r="P511" s="933"/>
      <c r="Q511" s="933"/>
      <c r="R511" s="933"/>
      <c r="S511" s="933"/>
      <c r="T511" s="933"/>
      <c r="U511" s="933"/>
      <c r="V511" s="933"/>
      <c r="W511" s="933"/>
      <c r="X511" s="933"/>
      <c r="Y511" s="933"/>
      <c r="Z511" s="933"/>
      <c r="AA511" s="933"/>
      <c r="AB511" s="933"/>
      <c r="AC511" s="933"/>
      <c r="AD511" s="933"/>
    </row>
    <row r="512" spans="1:30" ht="12.75">
      <c r="A512" s="933"/>
      <c r="B512" s="933"/>
      <c r="C512" s="933"/>
      <c r="D512" s="933"/>
      <c r="E512" s="933"/>
      <c r="F512" s="933"/>
      <c r="G512" s="933"/>
      <c r="H512" s="933"/>
      <c r="I512" s="933"/>
      <c r="J512" s="933"/>
      <c r="K512" s="935"/>
      <c r="L512" s="933"/>
      <c r="M512" s="933"/>
      <c r="N512" s="945"/>
      <c r="O512" s="933"/>
      <c r="P512" s="933"/>
      <c r="Q512" s="933"/>
      <c r="R512" s="933"/>
      <c r="S512" s="933"/>
      <c r="T512" s="933"/>
      <c r="U512" s="933"/>
      <c r="V512" s="933"/>
      <c r="W512" s="933"/>
      <c r="X512" s="933"/>
      <c r="Y512" s="933"/>
      <c r="Z512" s="933"/>
      <c r="AA512" s="933"/>
      <c r="AB512" s="933"/>
      <c r="AC512" s="933"/>
      <c r="AD512" s="933"/>
    </row>
    <row r="513" spans="1:30" ht="12.75">
      <c r="A513" s="933"/>
      <c r="B513" s="933"/>
      <c r="C513" s="933"/>
      <c r="D513" s="933"/>
      <c r="E513" s="933"/>
      <c r="F513" s="933"/>
      <c r="G513" s="933"/>
      <c r="H513" s="933"/>
      <c r="I513" s="933"/>
      <c r="J513" s="933"/>
      <c r="K513" s="935"/>
      <c r="L513" s="933"/>
      <c r="M513" s="933"/>
      <c r="N513" s="945"/>
      <c r="O513" s="933"/>
      <c r="P513" s="933"/>
      <c r="Q513" s="933"/>
      <c r="R513" s="933"/>
      <c r="S513" s="933"/>
      <c r="T513" s="933"/>
      <c r="U513" s="933"/>
      <c r="V513" s="933"/>
      <c r="W513" s="933"/>
      <c r="X513" s="933"/>
      <c r="Y513" s="933"/>
      <c r="Z513" s="933"/>
      <c r="AA513" s="933"/>
      <c r="AB513" s="933"/>
      <c r="AC513" s="933"/>
      <c r="AD513" s="933"/>
    </row>
    <row r="514" spans="1:30" ht="12.75">
      <c r="A514" s="933"/>
      <c r="B514" s="933"/>
      <c r="C514" s="933"/>
      <c r="D514" s="933"/>
      <c r="E514" s="933"/>
      <c r="F514" s="933"/>
      <c r="G514" s="933"/>
      <c r="H514" s="933"/>
      <c r="I514" s="933"/>
      <c r="J514" s="933"/>
      <c r="K514" s="935"/>
      <c r="L514" s="933"/>
      <c r="M514" s="933"/>
      <c r="N514" s="945"/>
      <c r="O514" s="933"/>
      <c r="P514" s="933"/>
      <c r="Q514" s="933"/>
      <c r="R514" s="933"/>
      <c r="S514" s="933"/>
      <c r="T514" s="933"/>
      <c r="U514" s="933"/>
      <c r="V514" s="933"/>
      <c r="W514" s="933"/>
      <c r="X514" s="933"/>
      <c r="Y514" s="933"/>
      <c r="Z514" s="933"/>
      <c r="AA514" s="933"/>
      <c r="AB514" s="933"/>
      <c r="AC514" s="933"/>
      <c r="AD514" s="933"/>
    </row>
    <row r="515" spans="1:30" ht="12.75">
      <c r="A515" s="933"/>
      <c r="B515" s="933"/>
      <c r="C515" s="933"/>
      <c r="D515" s="933"/>
      <c r="E515" s="933"/>
      <c r="F515" s="933"/>
      <c r="G515" s="933"/>
      <c r="H515" s="933"/>
      <c r="I515" s="933"/>
      <c r="J515" s="933"/>
      <c r="K515" s="935"/>
      <c r="L515" s="933"/>
      <c r="M515" s="933"/>
      <c r="N515" s="945"/>
      <c r="O515" s="933"/>
      <c r="P515" s="933"/>
      <c r="Q515" s="933"/>
      <c r="R515" s="933"/>
      <c r="S515" s="933"/>
      <c r="T515" s="933"/>
      <c r="U515" s="933"/>
      <c r="V515" s="933"/>
      <c r="W515" s="933"/>
      <c r="X515" s="933"/>
      <c r="Y515" s="933"/>
      <c r="Z515" s="933"/>
      <c r="AA515" s="933"/>
      <c r="AB515" s="933"/>
      <c r="AC515" s="933"/>
      <c r="AD515" s="933"/>
    </row>
    <row r="516" spans="1:30" ht="12.75">
      <c r="A516" s="933"/>
      <c r="B516" s="933"/>
      <c r="C516" s="933"/>
      <c r="D516" s="933"/>
      <c r="E516" s="933"/>
      <c r="F516" s="933"/>
      <c r="G516" s="933"/>
      <c r="H516" s="933"/>
      <c r="I516" s="933"/>
      <c r="J516" s="933"/>
      <c r="K516" s="935"/>
      <c r="L516" s="933"/>
      <c r="M516" s="933"/>
      <c r="N516" s="945"/>
      <c r="O516" s="933"/>
      <c r="P516" s="933"/>
      <c r="Q516" s="933"/>
      <c r="R516" s="933"/>
      <c r="S516" s="933"/>
      <c r="T516" s="933"/>
      <c r="U516" s="933"/>
      <c r="V516" s="933"/>
      <c r="W516" s="933"/>
      <c r="X516" s="933"/>
      <c r="Y516" s="933"/>
      <c r="Z516" s="933"/>
      <c r="AA516" s="933"/>
      <c r="AB516" s="933"/>
      <c r="AC516" s="933"/>
      <c r="AD516" s="933"/>
    </row>
    <row r="517" spans="1:30" ht="12.75">
      <c r="A517" s="933"/>
      <c r="B517" s="933"/>
      <c r="C517" s="933"/>
      <c r="D517" s="933"/>
      <c r="E517" s="933"/>
      <c r="F517" s="933"/>
      <c r="G517" s="933"/>
      <c r="H517" s="933"/>
      <c r="I517" s="933"/>
      <c r="J517" s="933"/>
      <c r="K517" s="935"/>
      <c r="L517" s="933"/>
      <c r="M517" s="933"/>
      <c r="N517" s="945"/>
      <c r="O517" s="933"/>
      <c r="P517" s="933"/>
      <c r="Q517" s="933"/>
      <c r="R517" s="933"/>
      <c r="S517" s="933"/>
      <c r="T517" s="933"/>
      <c r="U517" s="933"/>
      <c r="V517" s="933"/>
      <c r="W517" s="933"/>
      <c r="X517" s="933"/>
      <c r="Y517" s="933"/>
      <c r="Z517" s="933"/>
      <c r="AA517" s="933"/>
      <c r="AB517" s="933"/>
      <c r="AC517" s="933"/>
      <c r="AD517" s="933"/>
    </row>
    <row r="518" spans="1:30" ht="12.75">
      <c r="A518" s="933"/>
      <c r="B518" s="933"/>
      <c r="C518" s="933"/>
      <c r="D518" s="933"/>
      <c r="E518" s="933"/>
      <c r="F518" s="933"/>
      <c r="G518" s="933"/>
      <c r="H518" s="933"/>
      <c r="I518" s="933"/>
      <c r="J518" s="933"/>
      <c r="K518" s="935"/>
      <c r="L518" s="933"/>
      <c r="M518" s="933"/>
      <c r="N518" s="945"/>
      <c r="O518" s="933"/>
      <c r="P518" s="933"/>
      <c r="Q518" s="933"/>
      <c r="R518" s="933"/>
      <c r="S518" s="933"/>
      <c r="T518" s="933"/>
      <c r="U518" s="933"/>
      <c r="V518" s="933"/>
      <c r="W518" s="933"/>
      <c r="X518" s="933"/>
      <c r="Y518" s="933"/>
      <c r="Z518" s="933"/>
      <c r="AA518" s="933"/>
      <c r="AB518" s="933"/>
      <c r="AC518" s="933"/>
      <c r="AD518" s="933"/>
    </row>
    <row r="519" spans="1:30" ht="12.75">
      <c r="A519" s="933"/>
      <c r="B519" s="933"/>
      <c r="C519" s="933"/>
      <c r="D519" s="933"/>
      <c r="E519" s="933"/>
      <c r="F519" s="933"/>
      <c r="G519" s="933"/>
      <c r="H519" s="933"/>
      <c r="I519" s="933"/>
      <c r="J519" s="933"/>
      <c r="K519" s="935"/>
      <c r="L519" s="933"/>
      <c r="M519" s="933"/>
      <c r="N519" s="945"/>
      <c r="O519" s="933"/>
      <c r="P519" s="933"/>
      <c r="Q519" s="933"/>
      <c r="R519" s="933"/>
      <c r="S519" s="933"/>
      <c r="T519" s="933"/>
      <c r="U519" s="933"/>
      <c r="V519" s="933"/>
      <c r="W519" s="933"/>
      <c r="X519" s="933"/>
      <c r="Y519" s="933"/>
      <c r="Z519" s="933"/>
      <c r="AA519" s="933"/>
      <c r="AB519" s="933"/>
      <c r="AC519" s="933"/>
      <c r="AD519" s="933"/>
    </row>
    <row r="520" spans="1:30" ht="12.75">
      <c r="A520" s="933"/>
      <c r="B520" s="933"/>
      <c r="C520" s="933"/>
      <c r="D520" s="933"/>
      <c r="E520" s="933"/>
      <c r="F520" s="933"/>
      <c r="G520" s="933"/>
      <c r="H520" s="933"/>
      <c r="I520" s="933"/>
      <c r="J520" s="933"/>
      <c r="K520" s="935"/>
      <c r="L520" s="933"/>
      <c r="M520" s="933"/>
      <c r="N520" s="945"/>
      <c r="O520" s="933"/>
      <c r="P520" s="933"/>
      <c r="Q520" s="933"/>
      <c r="R520" s="933"/>
      <c r="S520" s="933"/>
      <c r="T520" s="933"/>
      <c r="U520" s="933"/>
      <c r="V520" s="933"/>
      <c r="W520" s="933"/>
      <c r="X520" s="933"/>
      <c r="Y520" s="933"/>
      <c r="Z520" s="933"/>
      <c r="AA520" s="933"/>
      <c r="AB520" s="933"/>
      <c r="AC520" s="933"/>
      <c r="AD520" s="933"/>
    </row>
    <row r="521" spans="1:30" ht="12.75">
      <c r="A521" s="933"/>
      <c r="B521" s="933"/>
      <c r="C521" s="933"/>
      <c r="D521" s="933"/>
      <c r="E521" s="933"/>
      <c r="F521" s="933"/>
      <c r="G521" s="933"/>
      <c r="H521" s="933"/>
      <c r="I521" s="933"/>
      <c r="J521" s="933"/>
      <c r="K521" s="935"/>
      <c r="L521" s="933"/>
      <c r="M521" s="933"/>
      <c r="N521" s="945"/>
      <c r="O521" s="933"/>
      <c r="P521" s="933"/>
      <c r="Q521" s="933"/>
      <c r="R521" s="933"/>
      <c r="S521" s="933"/>
      <c r="T521" s="933"/>
      <c r="U521" s="933"/>
      <c r="V521" s="933"/>
      <c r="W521" s="933"/>
      <c r="X521" s="933"/>
      <c r="Y521" s="933"/>
      <c r="Z521" s="933"/>
      <c r="AA521" s="933"/>
      <c r="AB521" s="933"/>
      <c r="AC521" s="933"/>
      <c r="AD521" s="933"/>
    </row>
    <row r="522" spans="1:30" ht="12.75">
      <c r="A522" s="933"/>
      <c r="B522" s="933"/>
      <c r="C522" s="933"/>
      <c r="D522" s="933"/>
      <c r="E522" s="933"/>
      <c r="F522" s="933"/>
      <c r="G522" s="933"/>
      <c r="H522" s="933"/>
      <c r="I522" s="933"/>
      <c r="J522" s="933"/>
      <c r="K522" s="935"/>
      <c r="L522" s="933"/>
      <c r="M522" s="933"/>
      <c r="N522" s="945"/>
      <c r="O522" s="933"/>
      <c r="P522" s="933"/>
      <c r="Q522" s="933"/>
      <c r="R522" s="933"/>
      <c r="S522" s="933"/>
      <c r="T522" s="933"/>
      <c r="U522" s="933"/>
      <c r="V522" s="933"/>
      <c r="W522" s="933"/>
      <c r="X522" s="933"/>
      <c r="Y522" s="933"/>
      <c r="Z522" s="933"/>
      <c r="AA522" s="933"/>
      <c r="AB522" s="933"/>
      <c r="AC522" s="933"/>
      <c r="AD522" s="933"/>
    </row>
    <row r="523" spans="1:30" ht="12.75">
      <c r="A523" s="933"/>
      <c r="B523" s="933"/>
      <c r="C523" s="933"/>
      <c r="D523" s="933"/>
      <c r="E523" s="933"/>
      <c r="F523" s="933"/>
      <c r="G523" s="933"/>
      <c r="H523" s="933"/>
      <c r="I523" s="933"/>
      <c r="J523" s="933"/>
      <c r="K523" s="935"/>
      <c r="L523" s="933"/>
      <c r="M523" s="933"/>
      <c r="N523" s="945"/>
      <c r="O523" s="933"/>
      <c r="P523" s="933"/>
      <c r="Q523" s="933"/>
      <c r="R523" s="933"/>
      <c r="S523" s="933"/>
      <c r="T523" s="933"/>
      <c r="U523" s="933"/>
      <c r="V523" s="933"/>
      <c r="W523" s="933"/>
      <c r="X523" s="933"/>
      <c r="Y523" s="933"/>
      <c r="Z523" s="933"/>
      <c r="AA523" s="933"/>
      <c r="AB523" s="933"/>
      <c r="AC523" s="933"/>
      <c r="AD523" s="933"/>
    </row>
    <row r="524" spans="1:30" ht="12.75">
      <c r="A524" s="933"/>
      <c r="B524" s="933"/>
      <c r="C524" s="933"/>
      <c r="D524" s="933"/>
      <c r="E524" s="933"/>
      <c r="F524" s="933"/>
      <c r="G524" s="933"/>
      <c r="H524" s="933"/>
      <c r="I524" s="933"/>
      <c r="J524" s="933"/>
      <c r="K524" s="935"/>
      <c r="L524" s="933"/>
      <c r="M524" s="933"/>
      <c r="N524" s="945"/>
      <c r="O524" s="933"/>
      <c r="P524" s="933"/>
      <c r="Q524" s="933"/>
      <c r="R524" s="933"/>
      <c r="S524" s="933"/>
      <c r="T524" s="933"/>
      <c r="U524" s="933"/>
      <c r="V524" s="933"/>
      <c r="W524" s="933"/>
      <c r="X524" s="933"/>
      <c r="Y524" s="933"/>
      <c r="Z524" s="933"/>
      <c r="AA524" s="933"/>
      <c r="AB524" s="933"/>
      <c r="AC524" s="933"/>
      <c r="AD524" s="933"/>
    </row>
    <row r="525" spans="1:30" ht="12.75">
      <c r="A525" s="933"/>
      <c r="B525" s="933"/>
      <c r="C525" s="933"/>
      <c r="D525" s="933"/>
      <c r="E525" s="933"/>
      <c r="F525" s="933"/>
      <c r="G525" s="933"/>
      <c r="H525" s="933"/>
      <c r="I525" s="933"/>
      <c r="J525" s="933"/>
      <c r="K525" s="935"/>
      <c r="L525" s="933"/>
      <c r="M525" s="933"/>
      <c r="N525" s="945"/>
      <c r="O525" s="933"/>
      <c r="P525" s="933"/>
      <c r="Q525" s="933"/>
      <c r="R525" s="933"/>
      <c r="S525" s="933"/>
      <c r="T525" s="933"/>
      <c r="U525" s="933"/>
      <c r="V525" s="933"/>
      <c r="W525" s="933"/>
      <c r="X525" s="933"/>
      <c r="Y525" s="933"/>
      <c r="Z525" s="933"/>
      <c r="AA525" s="933"/>
      <c r="AB525" s="933"/>
      <c r="AC525" s="933"/>
      <c r="AD525" s="933"/>
    </row>
    <row r="526" spans="1:30" ht="12.75">
      <c r="A526" s="933"/>
      <c r="B526" s="933"/>
      <c r="C526" s="933"/>
      <c r="D526" s="933"/>
      <c r="E526" s="933"/>
      <c r="F526" s="933"/>
      <c r="G526" s="933"/>
      <c r="H526" s="933"/>
      <c r="I526" s="933"/>
      <c r="J526" s="933"/>
      <c r="K526" s="935"/>
      <c r="L526" s="933"/>
      <c r="M526" s="933"/>
      <c r="N526" s="945"/>
      <c r="O526" s="933"/>
      <c r="P526" s="933"/>
      <c r="Q526" s="933"/>
      <c r="R526" s="933"/>
      <c r="S526" s="933"/>
      <c r="T526" s="933"/>
      <c r="U526" s="933"/>
      <c r="V526" s="933"/>
      <c r="W526" s="933"/>
      <c r="X526" s="933"/>
      <c r="Y526" s="933"/>
      <c r="Z526" s="933"/>
      <c r="AA526" s="933"/>
      <c r="AB526" s="933"/>
      <c r="AC526" s="933"/>
      <c r="AD526" s="933"/>
    </row>
    <row r="527" spans="1:30" ht="12.75">
      <c r="A527" s="933"/>
      <c r="B527" s="933"/>
      <c r="C527" s="933"/>
      <c r="D527" s="933"/>
      <c r="E527" s="933"/>
      <c r="F527" s="933"/>
      <c r="G527" s="933"/>
      <c r="H527" s="933"/>
      <c r="I527" s="933"/>
      <c r="J527" s="933"/>
      <c r="K527" s="935"/>
      <c r="L527" s="933"/>
      <c r="M527" s="933"/>
      <c r="N527" s="945"/>
      <c r="O527" s="933"/>
      <c r="P527" s="933"/>
      <c r="Q527" s="933"/>
      <c r="R527" s="933"/>
      <c r="S527" s="933"/>
      <c r="T527" s="933"/>
      <c r="U527" s="933"/>
      <c r="V527" s="933"/>
      <c r="W527" s="933"/>
      <c r="X527" s="933"/>
      <c r="Y527" s="933"/>
      <c r="Z527" s="933"/>
      <c r="AA527" s="933"/>
      <c r="AB527" s="933"/>
      <c r="AC527" s="933"/>
      <c r="AD527" s="933"/>
    </row>
    <row r="528" spans="1:30" ht="12.75">
      <c r="A528" s="933"/>
      <c r="B528" s="933"/>
      <c r="C528" s="933"/>
      <c r="D528" s="933"/>
      <c r="E528" s="933"/>
      <c r="F528" s="933"/>
      <c r="G528" s="933"/>
      <c r="H528" s="933"/>
      <c r="I528" s="933"/>
      <c r="J528" s="933"/>
      <c r="K528" s="935"/>
      <c r="L528" s="933"/>
      <c r="M528" s="933"/>
      <c r="N528" s="945"/>
      <c r="O528" s="933"/>
      <c r="P528" s="933"/>
      <c r="Q528" s="933"/>
      <c r="R528" s="933"/>
      <c r="S528" s="933"/>
      <c r="T528" s="933"/>
      <c r="U528" s="933"/>
      <c r="V528" s="933"/>
      <c r="W528" s="933"/>
      <c r="X528" s="933"/>
      <c r="Y528" s="933"/>
      <c r="Z528" s="933"/>
      <c r="AA528" s="933"/>
      <c r="AB528" s="933"/>
      <c r="AC528" s="933"/>
      <c r="AD528" s="933"/>
    </row>
    <row r="529" spans="1:30" ht="12.75">
      <c r="A529" s="933"/>
      <c r="B529" s="933"/>
      <c r="C529" s="933"/>
      <c r="D529" s="933"/>
      <c r="E529" s="933"/>
      <c r="F529" s="933"/>
      <c r="G529" s="933"/>
      <c r="H529" s="933"/>
      <c r="I529" s="933"/>
      <c r="J529" s="933"/>
      <c r="K529" s="935"/>
      <c r="L529" s="933"/>
      <c r="M529" s="933"/>
      <c r="N529" s="945"/>
      <c r="O529" s="933"/>
      <c r="P529" s="933"/>
      <c r="Q529" s="933"/>
      <c r="R529" s="933"/>
      <c r="S529" s="933"/>
      <c r="T529" s="933"/>
      <c r="U529" s="933"/>
      <c r="V529" s="933"/>
      <c r="W529" s="933"/>
      <c r="X529" s="933"/>
      <c r="Y529" s="933"/>
      <c r="Z529" s="933"/>
      <c r="AA529" s="933"/>
      <c r="AB529" s="933"/>
      <c r="AC529" s="933"/>
      <c r="AD529" s="933"/>
    </row>
    <row r="530" spans="1:30" ht="12.75">
      <c r="A530" s="933"/>
      <c r="B530" s="933"/>
      <c r="C530" s="933"/>
      <c r="D530" s="933"/>
      <c r="E530" s="933"/>
      <c r="F530" s="933"/>
      <c r="G530" s="933"/>
      <c r="H530" s="933"/>
      <c r="I530" s="933"/>
      <c r="J530" s="933"/>
      <c r="K530" s="935"/>
      <c r="L530" s="933"/>
      <c r="M530" s="933"/>
      <c r="N530" s="945"/>
      <c r="O530" s="933"/>
      <c r="P530" s="933"/>
      <c r="Q530" s="933"/>
      <c r="R530" s="933"/>
      <c r="S530" s="933"/>
      <c r="T530" s="933"/>
      <c r="U530" s="933"/>
      <c r="V530" s="933"/>
      <c r="W530" s="933"/>
      <c r="X530" s="933"/>
      <c r="Y530" s="933"/>
      <c r="Z530" s="933"/>
      <c r="AA530" s="933"/>
      <c r="AB530" s="933"/>
      <c r="AC530" s="933"/>
      <c r="AD530" s="933"/>
    </row>
    <row r="531" spans="1:30" ht="12.75">
      <c r="A531" s="933"/>
      <c r="B531" s="933"/>
      <c r="C531" s="933"/>
      <c r="D531" s="933"/>
      <c r="E531" s="933"/>
      <c r="F531" s="933"/>
      <c r="G531" s="933"/>
      <c r="H531" s="933"/>
      <c r="I531" s="933"/>
      <c r="J531" s="933"/>
      <c r="K531" s="935"/>
      <c r="L531" s="933"/>
      <c r="M531" s="933"/>
      <c r="N531" s="945"/>
      <c r="O531" s="933"/>
      <c r="P531" s="933"/>
      <c r="Q531" s="933"/>
      <c r="R531" s="933"/>
      <c r="S531" s="933"/>
      <c r="T531" s="933"/>
      <c r="U531" s="933"/>
      <c r="V531" s="933"/>
      <c r="W531" s="933"/>
      <c r="X531" s="933"/>
      <c r="Y531" s="933"/>
      <c r="Z531" s="933"/>
      <c r="AA531" s="933"/>
      <c r="AB531" s="933"/>
      <c r="AC531" s="933"/>
      <c r="AD531" s="933"/>
    </row>
    <row r="532" spans="1:30" ht="12.75">
      <c r="A532" s="933"/>
      <c r="B532" s="933"/>
      <c r="C532" s="933"/>
      <c r="D532" s="933"/>
      <c r="E532" s="933"/>
      <c r="F532" s="933"/>
      <c r="G532" s="933"/>
      <c r="H532" s="933"/>
      <c r="I532" s="933"/>
      <c r="J532" s="933"/>
      <c r="K532" s="935"/>
      <c r="L532" s="933"/>
      <c r="M532" s="933"/>
      <c r="N532" s="945"/>
      <c r="O532" s="933"/>
      <c r="P532" s="933"/>
      <c r="Q532" s="933"/>
      <c r="R532" s="933"/>
      <c r="S532" s="933"/>
      <c r="T532" s="933"/>
      <c r="U532" s="933"/>
      <c r="V532" s="933"/>
      <c r="W532" s="933"/>
      <c r="X532" s="933"/>
      <c r="Y532" s="933"/>
      <c r="Z532" s="933"/>
      <c r="AA532" s="933"/>
      <c r="AB532" s="933"/>
      <c r="AC532" s="933"/>
      <c r="AD532" s="933"/>
    </row>
    <row r="533" spans="1:30" ht="12.75">
      <c r="A533" s="933"/>
      <c r="B533" s="933"/>
      <c r="C533" s="933"/>
      <c r="D533" s="933"/>
      <c r="E533" s="933"/>
      <c r="F533" s="933"/>
      <c r="G533" s="933"/>
      <c r="H533" s="933"/>
      <c r="I533" s="933"/>
      <c r="J533" s="933"/>
      <c r="K533" s="935"/>
      <c r="L533" s="933"/>
      <c r="M533" s="933"/>
      <c r="N533" s="945"/>
      <c r="O533" s="933"/>
      <c r="P533" s="933"/>
      <c r="Q533" s="933"/>
      <c r="R533" s="933"/>
      <c r="S533" s="933"/>
      <c r="T533" s="933"/>
      <c r="U533" s="933"/>
      <c r="V533" s="933"/>
      <c r="W533" s="933"/>
      <c r="X533" s="933"/>
      <c r="Y533" s="933"/>
      <c r="Z533" s="933"/>
      <c r="AA533" s="933"/>
      <c r="AB533" s="933"/>
      <c r="AC533" s="933"/>
      <c r="AD533" s="933"/>
    </row>
    <row r="534" spans="1:30" ht="12.75">
      <c r="A534" s="933"/>
      <c r="B534" s="933"/>
      <c r="C534" s="933"/>
      <c r="D534" s="933"/>
      <c r="E534" s="933"/>
      <c r="F534" s="933"/>
      <c r="G534" s="933"/>
      <c r="H534" s="933"/>
      <c r="I534" s="933"/>
      <c r="J534" s="933"/>
      <c r="K534" s="935"/>
      <c r="L534" s="933"/>
      <c r="M534" s="933"/>
      <c r="N534" s="945"/>
      <c r="O534" s="933"/>
      <c r="P534" s="933"/>
      <c r="Q534" s="933"/>
      <c r="R534" s="933"/>
      <c r="S534" s="933"/>
      <c r="T534" s="933"/>
      <c r="U534" s="933"/>
      <c r="V534" s="933"/>
      <c r="W534" s="933"/>
      <c r="X534" s="933"/>
      <c r="Y534" s="933"/>
      <c r="Z534" s="933"/>
      <c r="AA534" s="933"/>
      <c r="AB534" s="933"/>
      <c r="AC534" s="933"/>
      <c r="AD534" s="933"/>
    </row>
    <row r="535" spans="1:30" ht="12.75">
      <c r="A535" s="933"/>
      <c r="B535" s="933"/>
      <c r="C535" s="933"/>
      <c r="D535" s="933"/>
      <c r="E535" s="933"/>
      <c r="F535" s="933"/>
      <c r="G535" s="933"/>
      <c r="H535" s="933"/>
      <c r="I535" s="933"/>
      <c r="J535" s="933"/>
      <c r="K535" s="935"/>
      <c r="L535" s="933"/>
      <c r="M535" s="933"/>
      <c r="N535" s="945"/>
      <c r="O535" s="933"/>
      <c r="P535" s="933"/>
      <c r="Q535" s="933"/>
      <c r="R535" s="933"/>
      <c r="S535" s="933"/>
      <c r="T535" s="933"/>
      <c r="U535" s="933"/>
      <c r="V535" s="933"/>
      <c r="W535" s="933"/>
      <c r="X535" s="933"/>
      <c r="Y535" s="933"/>
      <c r="Z535" s="933"/>
      <c r="AA535" s="933"/>
      <c r="AB535" s="933"/>
      <c r="AC535" s="933"/>
      <c r="AD535" s="933"/>
    </row>
    <row r="536" spans="1:30" ht="12.75">
      <c r="A536" s="933"/>
      <c r="B536" s="933"/>
      <c r="C536" s="933"/>
      <c r="D536" s="933"/>
      <c r="E536" s="933"/>
      <c r="F536" s="933"/>
      <c r="G536" s="933"/>
      <c r="H536" s="933"/>
      <c r="I536" s="933"/>
      <c r="J536" s="933"/>
      <c r="K536" s="935"/>
      <c r="L536" s="933"/>
      <c r="M536" s="933"/>
      <c r="N536" s="945"/>
      <c r="O536" s="933"/>
      <c r="P536" s="933"/>
      <c r="Q536" s="933"/>
      <c r="R536" s="933"/>
      <c r="S536" s="933"/>
      <c r="T536" s="933"/>
      <c r="U536" s="933"/>
      <c r="V536" s="933"/>
      <c r="W536" s="933"/>
      <c r="X536" s="933"/>
      <c r="Y536" s="933"/>
      <c r="Z536" s="933"/>
      <c r="AA536" s="933"/>
      <c r="AB536" s="933"/>
      <c r="AC536" s="933"/>
      <c r="AD536" s="933"/>
    </row>
    <row r="537" spans="1:30" ht="12.75">
      <c r="A537" s="933"/>
      <c r="B537" s="933"/>
      <c r="C537" s="933"/>
      <c r="D537" s="933"/>
      <c r="E537" s="933"/>
      <c r="F537" s="933"/>
      <c r="G537" s="933"/>
      <c r="H537" s="933"/>
      <c r="I537" s="933"/>
      <c r="J537" s="933"/>
      <c r="K537" s="935"/>
      <c r="L537" s="933"/>
      <c r="M537" s="933"/>
      <c r="N537" s="945"/>
      <c r="O537" s="933"/>
      <c r="P537" s="933"/>
      <c r="Q537" s="933"/>
      <c r="R537" s="933"/>
      <c r="S537" s="933"/>
      <c r="T537" s="933"/>
      <c r="U537" s="933"/>
      <c r="V537" s="933"/>
      <c r="W537" s="933"/>
      <c r="X537" s="933"/>
      <c r="Y537" s="933"/>
      <c r="Z537" s="933"/>
      <c r="AA537" s="933"/>
      <c r="AB537" s="933"/>
      <c r="AC537" s="933"/>
      <c r="AD537" s="933"/>
    </row>
    <row r="538" spans="1:30" ht="12.75">
      <c r="A538" s="933"/>
      <c r="B538" s="933"/>
      <c r="C538" s="933"/>
      <c r="D538" s="933"/>
      <c r="E538" s="933"/>
      <c r="F538" s="933"/>
      <c r="G538" s="933"/>
      <c r="H538" s="933"/>
      <c r="I538" s="933"/>
      <c r="J538" s="933"/>
      <c r="K538" s="935"/>
      <c r="L538" s="933"/>
      <c r="M538" s="933"/>
      <c r="N538" s="945"/>
      <c r="O538" s="933"/>
      <c r="P538" s="933"/>
      <c r="Q538" s="933"/>
      <c r="R538" s="933"/>
      <c r="S538" s="933"/>
      <c r="T538" s="933"/>
      <c r="U538" s="933"/>
      <c r="V538" s="933"/>
      <c r="W538" s="933"/>
      <c r="X538" s="933"/>
      <c r="Y538" s="933"/>
      <c r="Z538" s="933"/>
      <c r="AA538" s="933"/>
      <c r="AB538" s="933"/>
      <c r="AC538" s="933"/>
      <c r="AD538" s="933"/>
    </row>
    <row r="539" spans="1:30" ht="12.75">
      <c r="A539" s="933"/>
      <c r="B539" s="933"/>
      <c r="C539" s="933"/>
      <c r="D539" s="933"/>
      <c r="E539" s="933"/>
      <c r="F539" s="933"/>
      <c r="G539" s="933"/>
      <c r="H539" s="933"/>
      <c r="I539" s="933"/>
      <c r="J539" s="933"/>
      <c r="K539" s="935"/>
      <c r="L539" s="933"/>
      <c r="M539" s="933"/>
      <c r="N539" s="945"/>
      <c r="O539" s="933"/>
      <c r="P539" s="933"/>
      <c r="Q539" s="933"/>
      <c r="R539" s="933"/>
      <c r="S539" s="933"/>
      <c r="T539" s="933"/>
      <c r="U539" s="933"/>
      <c r="V539" s="933"/>
      <c r="W539" s="933"/>
      <c r="X539" s="933"/>
      <c r="Y539" s="933"/>
      <c r="Z539" s="933"/>
      <c r="AA539" s="933"/>
      <c r="AB539" s="933"/>
      <c r="AC539" s="933"/>
      <c r="AD539" s="933"/>
    </row>
    <row r="540" spans="1:30" ht="12.75">
      <c r="A540" s="933"/>
      <c r="B540" s="933"/>
      <c r="C540" s="933"/>
      <c r="D540" s="933"/>
      <c r="E540" s="933"/>
      <c r="F540" s="933"/>
      <c r="G540" s="933"/>
      <c r="H540" s="933"/>
      <c r="I540" s="933"/>
      <c r="J540" s="933"/>
      <c r="K540" s="935"/>
      <c r="L540" s="933"/>
      <c r="M540" s="933"/>
      <c r="N540" s="945"/>
      <c r="O540" s="933"/>
      <c r="P540" s="933"/>
      <c r="Q540" s="933"/>
      <c r="R540" s="933"/>
      <c r="S540" s="933"/>
      <c r="T540" s="933"/>
      <c r="U540" s="933"/>
      <c r="V540" s="933"/>
      <c r="W540" s="933"/>
      <c r="X540" s="933"/>
      <c r="Y540" s="933"/>
      <c r="Z540" s="933"/>
      <c r="AA540" s="933"/>
      <c r="AB540" s="933"/>
      <c r="AC540" s="933"/>
      <c r="AD540" s="933"/>
    </row>
    <row r="541" spans="1:30" ht="12.75">
      <c r="A541" s="933"/>
      <c r="B541" s="933"/>
      <c r="C541" s="933"/>
      <c r="D541" s="933"/>
      <c r="E541" s="933"/>
      <c r="F541" s="933"/>
      <c r="G541" s="933"/>
      <c r="H541" s="933"/>
      <c r="I541" s="933"/>
      <c r="J541" s="933"/>
      <c r="K541" s="935"/>
      <c r="L541" s="933"/>
      <c r="M541" s="933"/>
      <c r="N541" s="945"/>
      <c r="O541" s="933"/>
      <c r="P541" s="933"/>
      <c r="Q541" s="933"/>
      <c r="R541" s="933"/>
      <c r="S541" s="933"/>
      <c r="T541" s="933"/>
      <c r="U541" s="933"/>
      <c r="V541" s="933"/>
      <c r="W541" s="933"/>
      <c r="X541" s="933"/>
      <c r="Y541" s="933"/>
      <c r="Z541" s="933"/>
      <c r="AA541" s="933"/>
      <c r="AB541" s="933"/>
      <c r="AC541" s="933"/>
      <c r="AD541" s="933"/>
    </row>
    <row r="542" spans="1:30" ht="12.75">
      <c r="A542" s="933"/>
      <c r="B542" s="933"/>
      <c r="C542" s="933"/>
      <c r="D542" s="933"/>
      <c r="E542" s="933"/>
      <c r="F542" s="933"/>
      <c r="G542" s="933"/>
      <c r="H542" s="933"/>
      <c r="I542" s="933"/>
      <c r="J542" s="933"/>
      <c r="K542" s="935"/>
      <c r="L542" s="933"/>
      <c r="M542" s="933"/>
      <c r="N542" s="945"/>
      <c r="O542" s="933"/>
      <c r="P542" s="933"/>
      <c r="Q542" s="933"/>
      <c r="R542" s="933"/>
      <c r="S542" s="933"/>
      <c r="T542" s="933"/>
      <c r="U542" s="933"/>
      <c r="V542" s="933"/>
      <c r="W542" s="933"/>
      <c r="X542" s="933"/>
      <c r="Y542" s="933"/>
      <c r="Z542" s="933"/>
      <c r="AA542" s="933"/>
      <c r="AB542" s="933"/>
      <c r="AC542" s="933"/>
      <c r="AD542" s="933"/>
    </row>
    <row r="543" spans="1:30" ht="12.75">
      <c r="A543" s="933"/>
      <c r="B543" s="933"/>
      <c r="C543" s="933"/>
      <c r="D543" s="933"/>
      <c r="E543" s="933"/>
      <c r="F543" s="933"/>
      <c r="G543" s="933"/>
      <c r="H543" s="933"/>
      <c r="I543" s="933"/>
      <c r="J543" s="933"/>
      <c r="K543" s="935"/>
      <c r="L543" s="933"/>
      <c r="M543" s="933"/>
      <c r="N543" s="945"/>
      <c r="O543" s="933"/>
      <c r="P543" s="933"/>
      <c r="Q543" s="933"/>
      <c r="R543" s="933"/>
      <c r="S543" s="933"/>
      <c r="T543" s="933"/>
      <c r="U543" s="933"/>
      <c r="V543" s="933"/>
      <c r="W543" s="933"/>
      <c r="X543" s="933"/>
      <c r="Y543" s="933"/>
      <c r="Z543" s="933"/>
      <c r="AA543" s="933"/>
      <c r="AB543" s="933"/>
      <c r="AC543" s="933"/>
      <c r="AD543" s="933"/>
    </row>
    <row r="544" spans="1:30" ht="12.75">
      <c r="A544" s="933"/>
      <c r="B544" s="933"/>
      <c r="C544" s="933"/>
      <c r="D544" s="933"/>
      <c r="E544" s="933"/>
      <c r="F544" s="933"/>
      <c r="G544" s="933"/>
      <c r="H544" s="933"/>
      <c r="I544" s="933"/>
      <c r="J544" s="933"/>
      <c r="K544" s="935"/>
      <c r="L544" s="933"/>
      <c r="M544" s="933"/>
      <c r="N544" s="945"/>
      <c r="O544" s="933"/>
      <c r="P544" s="933"/>
      <c r="Q544" s="933"/>
      <c r="R544" s="933"/>
      <c r="S544" s="933"/>
      <c r="T544" s="933"/>
      <c r="U544" s="933"/>
      <c r="V544" s="933"/>
      <c r="W544" s="933"/>
      <c r="X544" s="933"/>
      <c r="Y544" s="933"/>
      <c r="Z544" s="933"/>
      <c r="AA544" s="933"/>
      <c r="AB544" s="933"/>
      <c r="AC544" s="933"/>
      <c r="AD544" s="933"/>
    </row>
    <row r="545" spans="1:30" ht="12.75">
      <c r="A545" s="933"/>
      <c r="B545" s="933"/>
      <c r="C545" s="933"/>
      <c r="D545" s="933"/>
      <c r="E545" s="933"/>
      <c r="F545" s="933"/>
      <c r="G545" s="933"/>
      <c r="H545" s="933"/>
      <c r="I545" s="933"/>
      <c r="J545" s="933"/>
      <c r="K545" s="935"/>
      <c r="L545" s="933"/>
      <c r="M545" s="933"/>
      <c r="N545" s="945"/>
      <c r="O545" s="933"/>
      <c r="P545" s="933"/>
      <c r="Q545" s="933"/>
      <c r="R545" s="933"/>
      <c r="S545" s="933"/>
      <c r="T545" s="933"/>
      <c r="U545" s="933"/>
      <c r="V545" s="933"/>
      <c r="W545" s="933"/>
      <c r="X545" s="933"/>
      <c r="Y545" s="933"/>
      <c r="Z545" s="933"/>
      <c r="AA545" s="933"/>
      <c r="AB545" s="933"/>
      <c r="AC545" s="933"/>
      <c r="AD545" s="933"/>
    </row>
    <row r="546" spans="1:30" ht="12.75">
      <c r="A546" s="933"/>
      <c r="B546" s="933"/>
      <c r="C546" s="933"/>
      <c r="D546" s="933"/>
      <c r="E546" s="933"/>
      <c r="F546" s="933"/>
      <c r="G546" s="933"/>
      <c r="H546" s="933"/>
      <c r="I546" s="933"/>
      <c r="J546" s="933"/>
      <c r="K546" s="935"/>
      <c r="L546" s="933"/>
      <c r="M546" s="933"/>
      <c r="N546" s="945"/>
      <c r="O546" s="933"/>
      <c r="P546" s="933"/>
      <c r="Q546" s="933"/>
      <c r="R546" s="933"/>
      <c r="S546" s="933"/>
      <c r="T546" s="933"/>
      <c r="U546" s="933"/>
      <c r="V546" s="933"/>
      <c r="W546" s="933"/>
      <c r="X546" s="933"/>
      <c r="Y546" s="933"/>
      <c r="Z546" s="933"/>
      <c r="AA546" s="933"/>
      <c r="AB546" s="933"/>
      <c r="AC546" s="933"/>
      <c r="AD546" s="933"/>
    </row>
    <row r="547" spans="1:30" ht="12.75">
      <c r="A547" s="933"/>
      <c r="B547" s="933"/>
      <c r="C547" s="933"/>
      <c r="D547" s="933"/>
      <c r="E547" s="933"/>
      <c r="F547" s="933"/>
      <c r="G547" s="933"/>
      <c r="H547" s="933"/>
      <c r="I547" s="933"/>
      <c r="J547" s="933"/>
      <c r="K547" s="935"/>
      <c r="L547" s="933"/>
      <c r="M547" s="933"/>
      <c r="N547" s="945"/>
      <c r="O547" s="933"/>
      <c r="P547" s="933"/>
      <c r="Q547" s="933"/>
      <c r="R547" s="933"/>
      <c r="S547" s="933"/>
      <c r="T547" s="933"/>
      <c r="U547" s="933"/>
      <c r="V547" s="933"/>
      <c r="W547" s="933"/>
      <c r="X547" s="933"/>
      <c r="Y547" s="933"/>
      <c r="Z547" s="933"/>
      <c r="AA547" s="933"/>
      <c r="AB547" s="933"/>
      <c r="AC547" s="933"/>
      <c r="AD547" s="933"/>
    </row>
    <row r="548" spans="1:30" ht="12.75">
      <c r="A548" s="933"/>
      <c r="B548" s="933"/>
      <c r="C548" s="933"/>
      <c r="D548" s="933"/>
      <c r="E548" s="933"/>
      <c r="F548" s="933"/>
      <c r="G548" s="933"/>
      <c r="H548" s="933"/>
      <c r="I548" s="933"/>
      <c r="J548" s="933"/>
      <c r="K548" s="935"/>
      <c r="L548" s="933"/>
      <c r="M548" s="933"/>
      <c r="N548" s="945"/>
      <c r="O548" s="933"/>
      <c r="P548" s="933"/>
      <c r="Q548" s="933"/>
      <c r="R548" s="933"/>
      <c r="S548" s="933"/>
      <c r="T548" s="933"/>
      <c r="U548" s="933"/>
      <c r="V548" s="933"/>
      <c r="W548" s="933"/>
      <c r="X548" s="933"/>
      <c r="Y548" s="933"/>
      <c r="Z548" s="933"/>
      <c r="AA548" s="933"/>
      <c r="AB548" s="933"/>
      <c r="AC548" s="933"/>
      <c r="AD548" s="933"/>
    </row>
    <row r="549" spans="1:30" ht="12.75">
      <c r="A549" s="933"/>
      <c r="B549" s="933"/>
      <c r="C549" s="933"/>
      <c r="D549" s="933"/>
      <c r="E549" s="933"/>
      <c r="F549" s="933"/>
      <c r="G549" s="933"/>
      <c r="H549" s="933"/>
      <c r="I549" s="933"/>
      <c r="J549" s="933"/>
      <c r="K549" s="935"/>
      <c r="L549" s="933"/>
      <c r="M549" s="933"/>
      <c r="N549" s="945"/>
      <c r="O549" s="933"/>
      <c r="P549" s="933"/>
      <c r="Q549" s="933"/>
      <c r="R549" s="933"/>
      <c r="S549" s="933"/>
      <c r="T549" s="933"/>
      <c r="U549" s="933"/>
      <c r="V549" s="933"/>
      <c r="W549" s="933"/>
      <c r="X549" s="933"/>
      <c r="Y549" s="933"/>
      <c r="Z549" s="933"/>
      <c r="AA549" s="933"/>
      <c r="AB549" s="933"/>
      <c r="AC549" s="933"/>
      <c r="AD549" s="933"/>
    </row>
    <row r="550" spans="1:30" ht="12.75">
      <c r="A550" s="933"/>
      <c r="B550" s="933"/>
      <c r="C550" s="933"/>
      <c r="D550" s="933"/>
      <c r="E550" s="933"/>
      <c r="F550" s="933"/>
      <c r="G550" s="933"/>
      <c r="H550" s="933"/>
      <c r="I550" s="933"/>
      <c r="J550" s="933"/>
      <c r="K550" s="935"/>
      <c r="L550" s="933"/>
      <c r="M550" s="933"/>
      <c r="N550" s="945"/>
      <c r="O550" s="933"/>
      <c r="P550" s="933"/>
      <c r="Q550" s="933"/>
      <c r="R550" s="933"/>
      <c r="S550" s="933"/>
      <c r="T550" s="933"/>
      <c r="U550" s="933"/>
      <c r="V550" s="933"/>
      <c r="W550" s="933"/>
      <c r="X550" s="933"/>
      <c r="Y550" s="933"/>
      <c r="Z550" s="933"/>
      <c r="AA550" s="933"/>
      <c r="AB550" s="933"/>
      <c r="AC550" s="933"/>
      <c r="AD550" s="933"/>
    </row>
    <row r="551" spans="1:30" ht="12.75">
      <c r="A551" s="933"/>
      <c r="B551" s="933"/>
      <c r="C551" s="933"/>
      <c r="D551" s="933"/>
      <c r="E551" s="933"/>
      <c r="F551" s="933"/>
      <c r="G551" s="933"/>
      <c r="H551" s="933"/>
      <c r="I551" s="933"/>
      <c r="J551" s="933"/>
      <c r="K551" s="935"/>
      <c r="L551" s="933"/>
      <c r="M551" s="933"/>
      <c r="N551" s="945"/>
      <c r="O551" s="933"/>
      <c r="P551" s="933"/>
      <c r="Q551" s="933"/>
      <c r="R551" s="933"/>
      <c r="S551" s="933"/>
      <c r="T551" s="933"/>
      <c r="U551" s="933"/>
      <c r="V551" s="933"/>
      <c r="W551" s="933"/>
      <c r="X551" s="933"/>
      <c r="Y551" s="933"/>
      <c r="Z551" s="933"/>
      <c r="AA551" s="933"/>
      <c r="AB551" s="933"/>
      <c r="AC551" s="933"/>
      <c r="AD551" s="933"/>
    </row>
    <row r="552" spans="1:30" ht="12.75">
      <c r="A552" s="933"/>
      <c r="B552" s="933"/>
      <c r="C552" s="933"/>
      <c r="D552" s="933"/>
      <c r="E552" s="933"/>
      <c r="F552" s="933"/>
      <c r="G552" s="933"/>
      <c r="H552" s="933"/>
      <c r="I552" s="933"/>
      <c r="J552" s="933"/>
      <c r="K552" s="935"/>
      <c r="L552" s="933"/>
      <c r="M552" s="933"/>
      <c r="N552" s="945"/>
      <c r="O552" s="933"/>
      <c r="P552" s="933"/>
      <c r="Q552" s="933"/>
      <c r="R552" s="933"/>
      <c r="S552" s="933"/>
      <c r="T552" s="933"/>
      <c r="U552" s="933"/>
      <c r="V552" s="933"/>
      <c r="W552" s="933"/>
      <c r="X552" s="933"/>
      <c r="Y552" s="933"/>
      <c r="Z552" s="933"/>
      <c r="AA552" s="933"/>
      <c r="AB552" s="933"/>
      <c r="AC552" s="933"/>
      <c r="AD552" s="933"/>
    </row>
    <row r="553" spans="1:30" ht="12.75">
      <c r="A553" s="933"/>
      <c r="B553" s="933"/>
      <c r="C553" s="933"/>
      <c r="D553" s="933"/>
      <c r="E553" s="933"/>
      <c r="F553" s="933"/>
      <c r="G553" s="933"/>
      <c r="H553" s="933"/>
      <c r="I553" s="933"/>
      <c r="J553" s="933"/>
      <c r="K553" s="935"/>
      <c r="L553" s="933"/>
      <c r="M553" s="933"/>
      <c r="N553" s="945"/>
      <c r="O553" s="933"/>
      <c r="P553" s="933"/>
      <c r="Q553" s="933"/>
      <c r="R553" s="933"/>
      <c r="S553" s="933"/>
      <c r="T553" s="933"/>
      <c r="U553" s="933"/>
      <c r="V553" s="933"/>
      <c r="W553" s="933"/>
      <c r="X553" s="933"/>
      <c r="Y553" s="933"/>
      <c r="Z553" s="933"/>
      <c r="AA553" s="933"/>
      <c r="AB553" s="933"/>
      <c r="AC553" s="933"/>
      <c r="AD553" s="933"/>
    </row>
    <row r="554" spans="1:30" ht="12.75">
      <c r="A554" s="933"/>
      <c r="B554" s="933"/>
      <c r="C554" s="933"/>
      <c r="D554" s="933"/>
      <c r="E554" s="933"/>
      <c r="F554" s="933"/>
      <c r="G554" s="933"/>
      <c r="H554" s="933"/>
      <c r="I554" s="933"/>
      <c r="J554" s="933"/>
      <c r="K554" s="935"/>
      <c r="L554" s="933"/>
      <c r="M554" s="933"/>
      <c r="N554" s="945"/>
      <c r="O554" s="933"/>
      <c r="P554" s="933"/>
      <c r="Q554" s="933"/>
      <c r="R554" s="933"/>
      <c r="S554" s="933"/>
      <c r="T554" s="933"/>
      <c r="U554" s="933"/>
      <c r="V554" s="933"/>
      <c r="W554" s="933"/>
      <c r="X554" s="933"/>
      <c r="Y554" s="933"/>
      <c r="Z554" s="933"/>
      <c r="AA554" s="933"/>
      <c r="AB554" s="933"/>
      <c r="AC554" s="933"/>
      <c r="AD554" s="933"/>
    </row>
    <row r="555" spans="1:30" ht="12.75">
      <c r="A555" s="933"/>
      <c r="B555" s="933"/>
      <c r="C555" s="933"/>
      <c r="D555" s="933"/>
      <c r="E555" s="933"/>
      <c r="F555" s="933"/>
      <c r="G555" s="933"/>
      <c r="H555" s="933"/>
      <c r="I555" s="933"/>
      <c r="J555" s="933"/>
      <c r="K555" s="935"/>
      <c r="L555" s="933"/>
      <c r="M555" s="933"/>
      <c r="N555" s="945"/>
      <c r="O555" s="933"/>
      <c r="P555" s="933"/>
      <c r="Q555" s="933"/>
      <c r="R555" s="933"/>
      <c r="S555" s="933"/>
      <c r="T555" s="933"/>
      <c r="U555" s="933"/>
      <c r="V555" s="933"/>
      <c r="W555" s="933"/>
      <c r="X555" s="933"/>
      <c r="Y555" s="933"/>
      <c r="Z555" s="933"/>
      <c r="AA555" s="933"/>
      <c r="AB555" s="933"/>
      <c r="AC555" s="933"/>
      <c r="AD555" s="933"/>
    </row>
    <row r="556" spans="1:30" ht="12.75">
      <c r="A556" s="933"/>
      <c r="B556" s="933"/>
      <c r="C556" s="933"/>
      <c r="D556" s="933"/>
      <c r="E556" s="933"/>
      <c r="F556" s="933"/>
      <c r="G556" s="933"/>
      <c r="H556" s="933"/>
      <c r="I556" s="933"/>
      <c r="J556" s="933"/>
      <c r="K556" s="935"/>
      <c r="L556" s="933"/>
      <c r="M556" s="933"/>
      <c r="N556" s="945"/>
      <c r="O556" s="933"/>
      <c r="P556" s="933"/>
      <c r="Q556" s="933"/>
      <c r="R556" s="933"/>
      <c r="S556" s="933"/>
      <c r="T556" s="933"/>
      <c r="U556" s="933"/>
      <c r="V556" s="933"/>
      <c r="W556" s="933"/>
      <c r="X556" s="933"/>
      <c r="Y556" s="933"/>
      <c r="Z556" s="933"/>
      <c r="AA556" s="933"/>
      <c r="AB556" s="933"/>
      <c r="AC556" s="933"/>
      <c r="AD556" s="933"/>
    </row>
    <row r="557" spans="1:30" ht="12.75">
      <c r="A557" s="933"/>
      <c r="B557" s="933"/>
      <c r="C557" s="933"/>
      <c r="D557" s="933"/>
      <c r="E557" s="933"/>
      <c r="F557" s="933"/>
      <c r="G557" s="933"/>
      <c r="H557" s="933"/>
      <c r="I557" s="933"/>
      <c r="J557" s="933"/>
      <c r="K557" s="935"/>
      <c r="L557" s="933"/>
      <c r="M557" s="933"/>
      <c r="N557" s="945"/>
      <c r="O557" s="933"/>
      <c r="P557" s="933"/>
      <c r="Q557" s="933"/>
      <c r="R557" s="933"/>
      <c r="S557" s="933"/>
      <c r="T557" s="933"/>
      <c r="U557" s="933"/>
      <c r="V557" s="933"/>
      <c r="W557" s="933"/>
      <c r="X557" s="933"/>
      <c r="Y557" s="933"/>
      <c r="Z557" s="933"/>
      <c r="AA557" s="933"/>
      <c r="AB557" s="933"/>
      <c r="AC557" s="933"/>
      <c r="AD557" s="933"/>
    </row>
    <row r="558" spans="1:30" ht="12.75">
      <c r="A558" s="933"/>
      <c r="B558" s="933"/>
      <c r="C558" s="933"/>
      <c r="D558" s="933"/>
      <c r="E558" s="933"/>
      <c r="F558" s="933"/>
      <c r="G558" s="933"/>
      <c r="H558" s="933"/>
      <c r="I558" s="933"/>
      <c r="J558" s="933"/>
      <c r="K558" s="935"/>
      <c r="L558" s="933"/>
      <c r="M558" s="933"/>
      <c r="N558" s="945"/>
      <c r="O558" s="933"/>
      <c r="P558" s="933"/>
      <c r="Q558" s="933"/>
      <c r="R558" s="933"/>
      <c r="S558" s="933"/>
      <c r="T558" s="933"/>
      <c r="U558" s="933"/>
      <c r="V558" s="933"/>
      <c r="W558" s="933"/>
      <c r="X558" s="933"/>
      <c r="Y558" s="933"/>
      <c r="Z558" s="933"/>
      <c r="AA558" s="933"/>
      <c r="AB558" s="933"/>
      <c r="AC558" s="933"/>
      <c r="AD558" s="933"/>
    </row>
    <row r="559" spans="1:30" ht="12.75">
      <c r="A559" s="933"/>
      <c r="B559" s="933"/>
      <c r="C559" s="933"/>
      <c r="D559" s="933"/>
      <c r="E559" s="933"/>
      <c r="F559" s="933"/>
      <c r="G559" s="933"/>
      <c r="H559" s="933"/>
      <c r="I559" s="933"/>
      <c r="J559" s="933"/>
      <c r="K559" s="935"/>
      <c r="L559" s="933"/>
      <c r="M559" s="933"/>
      <c r="N559" s="945"/>
      <c r="O559" s="933"/>
      <c r="P559" s="933"/>
      <c r="Q559" s="933"/>
      <c r="R559" s="933"/>
      <c r="S559" s="933"/>
      <c r="T559" s="933"/>
      <c r="U559" s="933"/>
      <c r="V559" s="933"/>
      <c r="W559" s="933"/>
      <c r="X559" s="933"/>
      <c r="Y559" s="933"/>
      <c r="Z559" s="933"/>
      <c r="AA559" s="933"/>
      <c r="AB559" s="933"/>
      <c r="AC559" s="933"/>
      <c r="AD559" s="933"/>
    </row>
    <row r="560" spans="1:30" ht="12.75">
      <c r="A560" s="933"/>
      <c r="B560" s="933"/>
      <c r="C560" s="933"/>
      <c r="D560" s="933"/>
      <c r="E560" s="933"/>
      <c r="F560" s="933"/>
      <c r="G560" s="933"/>
      <c r="H560" s="933"/>
      <c r="I560" s="933"/>
      <c r="J560" s="933"/>
      <c r="K560" s="935"/>
      <c r="L560" s="933"/>
      <c r="M560" s="933"/>
      <c r="N560" s="945"/>
      <c r="O560" s="933"/>
      <c r="P560" s="933"/>
      <c r="Q560" s="933"/>
      <c r="R560" s="933"/>
      <c r="S560" s="933"/>
      <c r="T560" s="933"/>
      <c r="U560" s="933"/>
      <c r="V560" s="933"/>
      <c r="W560" s="933"/>
      <c r="X560" s="933"/>
      <c r="Y560" s="933"/>
      <c r="Z560" s="933"/>
      <c r="AA560" s="933"/>
      <c r="AB560" s="933"/>
      <c r="AC560" s="933"/>
      <c r="AD560" s="933"/>
    </row>
    <row r="561" spans="1:30" ht="12.75">
      <c r="A561" s="933"/>
      <c r="B561" s="933"/>
      <c r="C561" s="933"/>
      <c r="D561" s="933"/>
      <c r="E561" s="933"/>
      <c r="F561" s="933"/>
      <c r="G561" s="933"/>
      <c r="H561" s="933"/>
      <c r="I561" s="933"/>
      <c r="J561" s="933"/>
      <c r="K561" s="935"/>
      <c r="L561" s="933"/>
      <c r="M561" s="933"/>
      <c r="N561" s="945"/>
      <c r="O561" s="933"/>
      <c r="P561" s="933"/>
      <c r="Q561" s="933"/>
      <c r="R561" s="933"/>
      <c r="S561" s="933"/>
      <c r="T561" s="933"/>
      <c r="U561" s="933"/>
      <c r="V561" s="933"/>
      <c r="W561" s="933"/>
      <c r="X561" s="933"/>
      <c r="Y561" s="933"/>
      <c r="Z561" s="933"/>
      <c r="AA561" s="933"/>
      <c r="AB561" s="933"/>
      <c r="AC561" s="933"/>
      <c r="AD561" s="933"/>
    </row>
    <row r="562" spans="1:30" ht="12.75">
      <c r="A562" s="933"/>
      <c r="B562" s="933"/>
      <c r="C562" s="933"/>
      <c r="D562" s="933"/>
      <c r="E562" s="933"/>
      <c r="F562" s="933"/>
      <c r="G562" s="933"/>
      <c r="H562" s="933"/>
      <c r="I562" s="933"/>
      <c r="J562" s="933"/>
      <c r="K562" s="935"/>
      <c r="L562" s="933"/>
      <c r="M562" s="933"/>
      <c r="N562" s="945"/>
      <c r="O562" s="933"/>
      <c r="P562" s="933"/>
      <c r="Q562" s="933"/>
      <c r="R562" s="933"/>
      <c r="S562" s="933"/>
      <c r="T562" s="933"/>
      <c r="U562" s="933"/>
      <c r="V562" s="933"/>
      <c r="W562" s="933"/>
      <c r="X562" s="933"/>
      <c r="Y562" s="933"/>
      <c r="Z562" s="933"/>
      <c r="AA562" s="933"/>
      <c r="AB562" s="933"/>
      <c r="AC562" s="933"/>
      <c r="AD562" s="933"/>
    </row>
    <row r="563" spans="1:30" ht="12.75">
      <c r="A563" s="933"/>
      <c r="B563" s="933"/>
      <c r="C563" s="933"/>
      <c r="D563" s="933"/>
      <c r="E563" s="933"/>
      <c r="F563" s="933"/>
      <c r="G563" s="933"/>
      <c r="H563" s="933"/>
      <c r="I563" s="933"/>
      <c r="J563" s="933"/>
      <c r="K563" s="935"/>
      <c r="L563" s="933"/>
      <c r="M563" s="933"/>
      <c r="N563" s="945"/>
      <c r="O563" s="933"/>
      <c r="P563" s="933"/>
      <c r="Q563" s="933"/>
      <c r="R563" s="933"/>
      <c r="S563" s="933"/>
      <c r="T563" s="933"/>
      <c r="U563" s="933"/>
      <c r="V563" s="933"/>
      <c r="W563" s="933"/>
      <c r="X563" s="933"/>
      <c r="Y563" s="933"/>
      <c r="Z563" s="933"/>
      <c r="AA563" s="933"/>
      <c r="AB563" s="933"/>
      <c r="AC563" s="933"/>
      <c r="AD563" s="933"/>
    </row>
    <row r="564" spans="1:30" ht="12.75">
      <c r="A564" s="933"/>
      <c r="B564" s="933"/>
      <c r="C564" s="933"/>
      <c r="D564" s="933"/>
      <c r="E564" s="933"/>
      <c r="F564" s="933"/>
      <c r="G564" s="933"/>
      <c r="H564" s="933"/>
      <c r="I564" s="933"/>
      <c r="J564" s="933"/>
      <c r="K564" s="935"/>
      <c r="L564" s="933"/>
      <c r="M564" s="933"/>
      <c r="N564" s="945"/>
      <c r="O564" s="933"/>
      <c r="P564" s="933"/>
      <c r="Q564" s="933"/>
      <c r="R564" s="933"/>
      <c r="S564" s="933"/>
      <c r="T564" s="933"/>
      <c r="U564" s="933"/>
      <c r="V564" s="933"/>
      <c r="W564" s="933"/>
      <c r="X564" s="933"/>
      <c r="Y564" s="933"/>
      <c r="Z564" s="933"/>
      <c r="AA564" s="933"/>
      <c r="AB564" s="933"/>
      <c r="AC564" s="933"/>
      <c r="AD564" s="933"/>
    </row>
    <row r="565" spans="1:30" ht="12.75">
      <c r="A565" s="933"/>
      <c r="B565" s="933"/>
      <c r="C565" s="933"/>
      <c r="D565" s="933"/>
      <c r="E565" s="933"/>
      <c r="F565" s="933"/>
      <c r="G565" s="933"/>
      <c r="H565" s="933"/>
      <c r="I565" s="933"/>
      <c r="J565" s="933"/>
      <c r="K565" s="935"/>
      <c r="L565" s="933"/>
      <c r="M565" s="933"/>
      <c r="N565" s="945"/>
      <c r="O565" s="933"/>
      <c r="P565" s="933"/>
      <c r="Q565" s="933"/>
      <c r="R565" s="933"/>
      <c r="S565" s="933"/>
      <c r="T565" s="933"/>
      <c r="U565" s="933"/>
      <c r="V565" s="933"/>
      <c r="W565" s="933"/>
      <c r="X565" s="933"/>
      <c r="Y565" s="933"/>
      <c r="Z565" s="933"/>
      <c r="AA565" s="933"/>
      <c r="AB565" s="933"/>
      <c r="AC565" s="933"/>
      <c r="AD565" s="933"/>
    </row>
    <row r="566" spans="1:30" ht="12.75">
      <c r="A566" s="933"/>
      <c r="B566" s="933"/>
      <c r="C566" s="933"/>
      <c r="D566" s="933"/>
      <c r="E566" s="933"/>
      <c r="F566" s="933"/>
      <c r="G566" s="933"/>
      <c r="H566" s="933"/>
      <c r="I566" s="933"/>
      <c r="J566" s="933"/>
      <c r="K566" s="935"/>
      <c r="L566" s="933"/>
      <c r="M566" s="933"/>
      <c r="N566" s="945"/>
      <c r="O566" s="933"/>
      <c r="P566" s="933"/>
      <c r="Q566" s="933"/>
      <c r="R566" s="933"/>
      <c r="S566" s="933"/>
      <c r="T566" s="933"/>
      <c r="U566" s="933"/>
      <c r="V566" s="933"/>
      <c r="W566" s="933"/>
      <c r="X566" s="933"/>
      <c r="Y566" s="933"/>
      <c r="Z566" s="933"/>
      <c r="AA566" s="933"/>
      <c r="AB566" s="933"/>
      <c r="AC566" s="933"/>
      <c r="AD566" s="933"/>
    </row>
    <row r="567" spans="1:30" ht="12.75">
      <c r="A567" s="933"/>
      <c r="B567" s="933"/>
      <c r="C567" s="933"/>
      <c r="D567" s="933"/>
      <c r="E567" s="933"/>
      <c r="F567" s="933"/>
      <c r="G567" s="933"/>
      <c r="H567" s="933"/>
      <c r="I567" s="933"/>
      <c r="J567" s="933"/>
      <c r="K567" s="935"/>
      <c r="L567" s="933"/>
      <c r="M567" s="933"/>
      <c r="N567" s="945"/>
      <c r="O567" s="933"/>
      <c r="P567" s="933"/>
      <c r="Q567" s="933"/>
      <c r="R567" s="933"/>
      <c r="S567" s="933"/>
      <c r="T567" s="933"/>
      <c r="U567" s="933"/>
      <c r="V567" s="933"/>
      <c r="W567" s="933"/>
      <c r="X567" s="933"/>
      <c r="Y567" s="933"/>
      <c r="Z567" s="933"/>
      <c r="AA567" s="933"/>
      <c r="AB567" s="933"/>
      <c r="AC567" s="933"/>
      <c r="AD567" s="933"/>
    </row>
    <row r="568" spans="1:30" ht="12.75">
      <c r="A568" s="933"/>
      <c r="B568" s="933"/>
      <c r="C568" s="933"/>
      <c r="D568" s="933"/>
      <c r="E568" s="933"/>
      <c r="F568" s="933"/>
      <c r="G568" s="933"/>
      <c r="H568" s="933"/>
      <c r="I568" s="933"/>
      <c r="J568" s="933"/>
      <c r="K568" s="935"/>
      <c r="L568" s="933"/>
      <c r="M568" s="933"/>
      <c r="N568" s="945"/>
      <c r="O568" s="933"/>
      <c r="P568" s="933"/>
      <c r="Q568" s="933"/>
      <c r="R568" s="933"/>
      <c r="S568" s="933"/>
      <c r="T568" s="933"/>
      <c r="U568" s="933"/>
      <c r="V568" s="933"/>
      <c r="W568" s="933"/>
      <c r="X568" s="933"/>
      <c r="Y568" s="933"/>
      <c r="Z568" s="933"/>
      <c r="AA568" s="933"/>
      <c r="AB568" s="933"/>
      <c r="AC568" s="933"/>
      <c r="AD568" s="933"/>
    </row>
    <row r="569" spans="1:30" ht="12.75">
      <c r="A569" s="933"/>
      <c r="B569" s="933"/>
      <c r="C569" s="933"/>
      <c r="D569" s="933"/>
      <c r="E569" s="933"/>
      <c r="F569" s="933"/>
      <c r="G569" s="933"/>
      <c r="H569" s="933"/>
      <c r="I569" s="933"/>
      <c r="J569" s="933"/>
      <c r="K569" s="935"/>
      <c r="L569" s="933"/>
      <c r="M569" s="933"/>
      <c r="N569" s="945"/>
      <c r="O569" s="933"/>
      <c r="P569" s="933"/>
      <c r="Q569" s="933"/>
      <c r="R569" s="933"/>
      <c r="S569" s="933"/>
      <c r="T569" s="933"/>
      <c r="U569" s="933"/>
      <c r="V569" s="933"/>
      <c r="W569" s="933"/>
      <c r="X569" s="933"/>
      <c r="Y569" s="933"/>
      <c r="Z569" s="933"/>
      <c r="AA569" s="933"/>
      <c r="AB569" s="933"/>
      <c r="AC569" s="933"/>
      <c r="AD569" s="933"/>
    </row>
    <row r="570" spans="1:30" ht="12.75">
      <c r="A570" s="933"/>
      <c r="B570" s="933"/>
      <c r="C570" s="933"/>
      <c r="D570" s="933"/>
      <c r="E570" s="933"/>
      <c r="F570" s="933"/>
      <c r="G570" s="933"/>
      <c r="H570" s="933"/>
      <c r="I570" s="933"/>
      <c r="J570" s="933"/>
      <c r="K570" s="935"/>
      <c r="L570" s="933"/>
      <c r="M570" s="933"/>
      <c r="N570" s="945"/>
      <c r="O570" s="933"/>
      <c r="P570" s="933"/>
      <c r="Q570" s="933"/>
      <c r="R570" s="933"/>
      <c r="S570" s="933"/>
      <c r="T570" s="933"/>
      <c r="U570" s="933"/>
      <c r="V570" s="933"/>
      <c r="W570" s="933"/>
      <c r="X570" s="933"/>
      <c r="Y570" s="933"/>
      <c r="Z570" s="933"/>
      <c r="AA570" s="933"/>
      <c r="AB570" s="933"/>
      <c r="AC570" s="933"/>
      <c r="AD570" s="933"/>
    </row>
    <row r="571" spans="1:30" ht="12.75">
      <c r="A571" s="933"/>
      <c r="B571" s="933"/>
      <c r="C571" s="933"/>
      <c r="D571" s="933"/>
      <c r="E571" s="933"/>
      <c r="F571" s="933"/>
      <c r="G571" s="933"/>
      <c r="H571" s="933"/>
      <c r="I571" s="933"/>
      <c r="J571" s="933"/>
      <c r="K571" s="935"/>
      <c r="L571" s="933"/>
      <c r="M571" s="933"/>
      <c r="N571" s="945"/>
      <c r="O571" s="933"/>
      <c r="P571" s="933"/>
      <c r="Q571" s="933"/>
      <c r="R571" s="933"/>
      <c r="S571" s="933"/>
      <c r="T571" s="933"/>
      <c r="U571" s="933"/>
      <c r="V571" s="933"/>
      <c r="W571" s="933"/>
      <c r="X571" s="933"/>
      <c r="Y571" s="933"/>
      <c r="Z571" s="933"/>
      <c r="AA571" s="933"/>
      <c r="AB571" s="933"/>
      <c r="AC571" s="933"/>
      <c r="AD571" s="933"/>
    </row>
    <row r="572" spans="1:30" ht="12.75">
      <c r="A572" s="933"/>
      <c r="B572" s="933"/>
      <c r="C572" s="933"/>
      <c r="D572" s="933"/>
      <c r="E572" s="933"/>
      <c r="F572" s="933"/>
      <c r="G572" s="933"/>
      <c r="H572" s="933"/>
      <c r="I572" s="933"/>
      <c r="J572" s="933"/>
      <c r="K572" s="935"/>
      <c r="L572" s="933"/>
      <c r="M572" s="933"/>
      <c r="N572" s="945"/>
      <c r="O572" s="933"/>
      <c r="P572" s="933"/>
      <c r="Q572" s="933"/>
      <c r="R572" s="933"/>
      <c r="S572" s="933"/>
      <c r="T572" s="933"/>
      <c r="U572" s="933"/>
      <c r="V572" s="933"/>
      <c r="W572" s="933"/>
      <c r="X572" s="933"/>
      <c r="Y572" s="933"/>
      <c r="Z572" s="933"/>
      <c r="AA572" s="933"/>
      <c r="AB572" s="933"/>
      <c r="AC572" s="933"/>
      <c r="AD572" s="933"/>
    </row>
    <row r="573" spans="1:30" ht="12.75">
      <c r="A573" s="933"/>
      <c r="B573" s="933"/>
      <c r="C573" s="933"/>
      <c r="D573" s="933"/>
      <c r="E573" s="933"/>
      <c r="F573" s="933"/>
      <c r="G573" s="933"/>
      <c r="H573" s="933"/>
      <c r="I573" s="933"/>
      <c r="J573" s="933"/>
      <c r="K573" s="935"/>
      <c r="L573" s="933"/>
      <c r="M573" s="933"/>
      <c r="N573" s="945"/>
      <c r="O573" s="933"/>
      <c r="P573" s="933"/>
      <c r="Q573" s="933"/>
      <c r="R573" s="933"/>
      <c r="S573" s="933"/>
      <c r="T573" s="933"/>
      <c r="U573" s="933"/>
      <c r="V573" s="933"/>
      <c r="W573" s="933"/>
      <c r="X573" s="933"/>
      <c r="Y573" s="933"/>
      <c r="Z573" s="933"/>
      <c r="AA573" s="933"/>
      <c r="AB573" s="933"/>
      <c r="AC573" s="933"/>
      <c r="AD573" s="933"/>
    </row>
    <row r="574" spans="1:30" ht="12.75">
      <c r="A574" s="933"/>
      <c r="B574" s="933"/>
      <c r="C574" s="933"/>
      <c r="D574" s="933"/>
      <c r="E574" s="933"/>
      <c r="F574" s="933"/>
      <c r="G574" s="933"/>
      <c r="H574" s="933"/>
      <c r="I574" s="933"/>
      <c r="J574" s="933"/>
      <c r="K574" s="935"/>
      <c r="L574" s="933"/>
      <c r="M574" s="933"/>
      <c r="N574" s="945"/>
      <c r="O574" s="933"/>
      <c r="P574" s="933"/>
      <c r="Q574" s="933"/>
      <c r="R574" s="933"/>
      <c r="S574" s="933"/>
      <c r="T574" s="933"/>
      <c r="U574" s="933"/>
      <c r="V574" s="933"/>
      <c r="W574" s="933"/>
      <c r="X574" s="933"/>
      <c r="Y574" s="933"/>
      <c r="Z574" s="933"/>
      <c r="AA574" s="933"/>
      <c r="AB574" s="933"/>
      <c r="AC574" s="933"/>
      <c r="AD574" s="933"/>
    </row>
    <row r="575" spans="1:30" ht="12.75">
      <c r="A575" s="933"/>
      <c r="B575" s="933"/>
      <c r="C575" s="933"/>
      <c r="D575" s="933"/>
      <c r="E575" s="933"/>
      <c r="F575" s="933"/>
      <c r="G575" s="933"/>
      <c r="H575" s="933"/>
      <c r="I575" s="933"/>
      <c r="J575" s="933"/>
      <c r="K575" s="935"/>
      <c r="L575" s="933"/>
      <c r="M575" s="933"/>
      <c r="N575" s="945"/>
      <c r="O575" s="933"/>
      <c r="P575" s="933"/>
      <c r="Q575" s="933"/>
      <c r="R575" s="933"/>
      <c r="S575" s="933"/>
      <c r="T575" s="933"/>
      <c r="U575" s="933"/>
      <c r="V575" s="933"/>
      <c r="W575" s="933"/>
      <c r="X575" s="933"/>
      <c r="Y575" s="933"/>
      <c r="Z575" s="933"/>
      <c r="AA575" s="933"/>
      <c r="AB575" s="933"/>
      <c r="AC575" s="933"/>
      <c r="AD575" s="933"/>
    </row>
    <row r="576" spans="1:30" ht="12.75">
      <c r="A576" s="933"/>
      <c r="B576" s="933"/>
      <c r="C576" s="933"/>
      <c r="D576" s="933"/>
      <c r="E576" s="933"/>
      <c r="F576" s="933"/>
      <c r="G576" s="933"/>
      <c r="H576" s="933"/>
      <c r="I576" s="933"/>
      <c r="J576" s="933"/>
      <c r="K576" s="935"/>
      <c r="L576" s="933"/>
      <c r="M576" s="933"/>
      <c r="N576" s="945"/>
      <c r="O576" s="933"/>
      <c r="P576" s="933"/>
      <c r="Q576" s="933"/>
      <c r="R576" s="933"/>
      <c r="S576" s="933"/>
      <c r="T576" s="933"/>
      <c r="U576" s="933"/>
      <c r="V576" s="933"/>
      <c r="W576" s="933"/>
      <c r="X576" s="933"/>
      <c r="Y576" s="933"/>
      <c r="Z576" s="933"/>
      <c r="AA576" s="933"/>
      <c r="AB576" s="933"/>
      <c r="AC576" s="933"/>
      <c r="AD576" s="933"/>
    </row>
    <row r="577" spans="1:30" ht="12.75">
      <c r="A577" s="933"/>
      <c r="B577" s="933"/>
      <c r="C577" s="933"/>
      <c r="D577" s="933"/>
      <c r="E577" s="933"/>
      <c r="F577" s="933"/>
      <c r="G577" s="933"/>
      <c r="H577" s="933"/>
      <c r="I577" s="933"/>
      <c r="J577" s="933"/>
      <c r="K577" s="935"/>
      <c r="L577" s="933"/>
      <c r="M577" s="933"/>
      <c r="N577" s="945"/>
      <c r="O577" s="933"/>
      <c r="P577" s="933"/>
      <c r="Q577" s="933"/>
      <c r="R577" s="933"/>
      <c r="S577" s="933"/>
      <c r="T577" s="933"/>
      <c r="U577" s="933"/>
      <c r="V577" s="933"/>
      <c r="W577" s="933"/>
      <c r="X577" s="933"/>
      <c r="Y577" s="933"/>
      <c r="Z577" s="933"/>
      <c r="AA577" s="933"/>
      <c r="AB577" s="933"/>
      <c r="AC577" s="933"/>
      <c r="AD577" s="933"/>
    </row>
    <row r="578" spans="1:30" ht="12.75">
      <c r="A578" s="933"/>
      <c r="B578" s="933"/>
      <c r="C578" s="933"/>
      <c r="D578" s="933"/>
      <c r="E578" s="933"/>
      <c r="F578" s="933"/>
      <c r="G578" s="933"/>
      <c r="H578" s="933"/>
      <c r="I578" s="933"/>
      <c r="J578" s="933"/>
      <c r="K578" s="935"/>
      <c r="L578" s="933"/>
      <c r="M578" s="933"/>
      <c r="N578" s="945"/>
      <c r="O578" s="933"/>
      <c r="P578" s="933"/>
      <c r="Q578" s="933"/>
      <c r="R578" s="933"/>
      <c r="S578" s="933"/>
      <c r="T578" s="933"/>
      <c r="U578" s="933"/>
      <c r="V578" s="933"/>
      <c r="W578" s="933"/>
      <c r="X578" s="933"/>
      <c r="Y578" s="933"/>
      <c r="Z578" s="933"/>
      <c r="AA578" s="933"/>
      <c r="AB578" s="933"/>
      <c r="AC578" s="933"/>
      <c r="AD578" s="933"/>
    </row>
    <row r="579" spans="1:30" ht="12.75">
      <c r="A579" s="933"/>
      <c r="B579" s="933"/>
      <c r="C579" s="933"/>
      <c r="D579" s="933"/>
      <c r="E579" s="933"/>
      <c r="F579" s="933"/>
      <c r="G579" s="933"/>
      <c r="H579" s="933"/>
      <c r="I579" s="933"/>
      <c r="J579" s="933"/>
      <c r="K579" s="935"/>
      <c r="L579" s="933"/>
      <c r="M579" s="933"/>
      <c r="N579" s="945"/>
      <c r="O579" s="933"/>
      <c r="P579" s="933"/>
      <c r="Q579" s="933"/>
      <c r="R579" s="933"/>
      <c r="S579" s="933"/>
      <c r="T579" s="933"/>
      <c r="U579" s="933"/>
      <c r="V579" s="933"/>
      <c r="W579" s="933"/>
      <c r="X579" s="933"/>
      <c r="Y579" s="933"/>
      <c r="Z579" s="933"/>
      <c r="AA579" s="933"/>
      <c r="AB579" s="933"/>
      <c r="AC579" s="933"/>
      <c r="AD579" s="933"/>
    </row>
    <row r="580" spans="1:30" ht="12.75">
      <c r="A580" s="933"/>
      <c r="B580" s="933"/>
      <c r="C580" s="933"/>
      <c r="D580" s="933"/>
      <c r="E580" s="933"/>
      <c r="F580" s="933"/>
      <c r="G580" s="933"/>
      <c r="H580" s="933"/>
      <c r="I580" s="933"/>
      <c r="J580" s="933"/>
      <c r="K580" s="935"/>
      <c r="L580" s="933"/>
      <c r="M580" s="933"/>
      <c r="N580" s="945"/>
      <c r="O580" s="933"/>
      <c r="P580" s="933"/>
      <c r="Q580" s="933"/>
      <c r="R580" s="933"/>
      <c r="S580" s="933"/>
      <c r="T580" s="933"/>
      <c r="U580" s="933"/>
      <c r="V580" s="933"/>
      <c r="W580" s="933"/>
      <c r="X580" s="933"/>
      <c r="Y580" s="933"/>
      <c r="Z580" s="933"/>
      <c r="AA580" s="933"/>
      <c r="AB580" s="933"/>
      <c r="AC580" s="933"/>
      <c r="AD580" s="933"/>
    </row>
    <row r="581" spans="1:30" ht="12.75">
      <c r="A581" s="933"/>
      <c r="B581" s="933"/>
      <c r="C581" s="933"/>
      <c r="D581" s="933"/>
      <c r="E581" s="933"/>
      <c r="F581" s="933"/>
      <c r="G581" s="933"/>
      <c r="H581" s="933"/>
      <c r="I581" s="933"/>
      <c r="J581" s="933"/>
      <c r="K581" s="935"/>
      <c r="L581" s="933"/>
      <c r="M581" s="933"/>
      <c r="N581" s="945"/>
      <c r="O581" s="933"/>
      <c r="P581" s="933"/>
      <c r="Q581" s="933"/>
      <c r="R581" s="933"/>
      <c r="S581" s="933"/>
      <c r="T581" s="933"/>
      <c r="U581" s="933"/>
      <c r="V581" s="933"/>
      <c r="W581" s="933"/>
      <c r="X581" s="933"/>
      <c r="Y581" s="933"/>
      <c r="Z581" s="933"/>
      <c r="AA581" s="933"/>
      <c r="AB581" s="933"/>
      <c r="AC581" s="933"/>
      <c r="AD581" s="933"/>
    </row>
    <row r="582" spans="1:30" ht="12.75">
      <c r="A582" s="933"/>
      <c r="B582" s="933"/>
      <c r="C582" s="933"/>
      <c r="D582" s="933"/>
      <c r="E582" s="933"/>
      <c r="F582" s="933"/>
      <c r="G582" s="933"/>
      <c r="H582" s="933"/>
      <c r="I582" s="933"/>
      <c r="J582" s="933"/>
      <c r="K582" s="935"/>
      <c r="L582" s="933"/>
      <c r="M582" s="933"/>
      <c r="N582" s="945"/>
      <c r="O582" s="933"/>
      <c r="P582" s="933"/>
      <c r="Q582" s="933"/>
      <c r="R582" s="933"/>
      <c r="S582" s="933"/>
      <c r="T582" s="933"/>
      <c r="U582" s="933"/>
      <c r="V582" s="933"/>
      <c r="W582" s="933"/>
      <c r="X582" s="933"/>
      <c r="Y582" s="933"/>
      <c r="Z582" s="933"/>
      <c r="AA582" s="933"/>
      <c r="AB582" s="933"/>
      <c r="AC582" s="933"/>
      <c r="AD582" s="933"/>
    </row>
    <row r="583" spans="1:30" ht="12.75">
      <c r="A583" s="933"/>
      <c r="B583" s="933"/>
      <c r="C583" s="933"/>
      <c r="D583" s="933"/>
      <c r="E583" s="933"/>
      <c r="F583" s="933"/>
      <c r="G583" s="933"/>
      <c r="H583" s="933"/>
      <c r="I583" s="933"/>
      <c r="J583" s="933"/>
      <c r="K583" s="935"/>
      <c r="L583" s="933"/>
      <c r="M583" s="933"/>
      <c r="N583" s="945"/>
      <c r="O583" s="933"/>
      <c r="P583" s="933"/>
      <c r="Q583" s="933"/>
      <c r="R583" s="933"/>
      <c r="S583" s="933"/>
      <c r="T583" s="933"/>
      <c r="U583" s="933"/>
      <c r="V583" s="933"/>
      <c r="W583" s="933"/>
      <c r="X583" s="933"/>
      <c r="Y583" s="933"/>
      <c r="Z583" s="933"/>
      <c r="AA583" s="933"/>
      <c r="AB583" s="933"/>
      <c r="AC583" s="933"/>
      <c r="AD583" s="933"/>
    </row>
    <row r="584" spans="1:30" ht="12.75">
      <c r="A584" s="933"/>
      <c r="B584" s="933"/>
      <c r="C584" s="933"/>
      <c r="D584" s="933"/>
      <c r="E584" s="933"/>
      <c r="F584" s="933"/>
      <c r="G584" s="933"/>
      <c r="H584" s="933"/>
      <c r="I584" s="933"/>
      <c r="J584" s="933"/>
      <c r="K584" s="935"/>
      <c r="L584" s="933"/>
      <c r="M584" s="933"/>
      <c r="N584" s="945"/>
      <c r="O584" s="933"/>
      <c r="P584" s="933"/>
      <c r="Q584" s="933"/>
      <c r="R584" s="933"/>
      <c r="S584" s="933"/>
      <c r="T584" s="933"/>
      <c r="U584" s="933"/>
      <c r="V584" s="933"/>
      <c r="W584" s="933"/>
      <c r="X584" s="933"/>
      <c r="Y584" s="933"/>
      <c r="Z584" s="933"/>
      <c r="AA584" s="933"/>
      <c r="AB584" s="933"/>
      <c r="AC584" s="933"/>
      <c r="AD584" s="933"/>
    </row>
    <row r="585" spans="1:30" ht="12.75">
      <c r="A585" s="933"/>
      <c r="B585" s="933"/>
      <c r="C585" s="933"/>
      <c r="D585" s="933"/>
      <c r="E585" s="933"/>
      <c r="F585" s="933"/>
      <c r="G585" s="933"/>
      <c r="H585" s="933"/>
      <c r="I585" s="933"/>
      <c r="J585" s="933"/>
      <c r="K585" s="935"/>
      <c r="L585" s="933"/>
      <c r="M585" s="933"/>
      <c r="N585" s="945"/>
      <c r="O585" s="933"/>
      <c r="P585" s="933"/>
      <c r="Q585" s="933"/>
      <c r="R585" s="933"/>
      <c r="S585" s="933"/>
      <c r="T585" s="933"/>
      <c r="U585" s="933"/>
      <c r="V585" s="933"/>
      <c r="W585" s="933"/>
      <c r="X585" s="933"/>
      <c r="Y585" s="933"/>
      <c r="Z585" s="933"/>
      <c r="AA585" s="933"/>
      <c r="AB585" s="933"/>
      <c r="AC585" s="933"/>
      <c r="AD585" s="933"/>
    </row>
    <row r="586" spans="1:30" ht="12.75">
      <c r="A586" s="933"/>
      <c r="B586" s="933"/>
      <c r="C586" s="933"/>
      <c r="D586" s="933"/>
      <c r="E586" s="933"/>
      <c r="F586" s="933"/>
      <c r="G586" s="933"/>
      <c r="H586" s="933"/>
      <c r="I586" s="933"/>
      <c r="J586" s="933"/>
      <c r="K586" s="935"/>
      <c r="L586" s="933"/>
      <c r="M586" s="933"/>
      <c r="N586" s="945"/>
      <c r="O586" s="933"/>
      <c r="P586" s="933"/>
      <c r="Q586" s="933"/>
      <c r="R586" s="933"/>
      <c r="S586" s="933"/>
      <c r="T586" s="933"/>
      <c r="U586" s="933"/>
      <c r="V586" s="933"/>
      <c r="W586" s="933"/>
      <c r="X586" s="933"/>
      <c r="Y586" s="933"/>
      <c r="Z586" s="933"/>
      <c r="AA586" s="933"/>
      <c r="AB586" s="933"/>
      <c r="AC586" s="933"/>
      <c r="AD586" s="933"/>
    </row>
    <row r="587" spans="1:30" ht="12.75">
      <c r="A587" s="933"/>
      <c r="B587" s="933"/>
      <c r="C587" s="933"/>
      <c r="D587" s="933"/>
      <c r="E587" s="933"/>
      <c r="F587" s="933"/>
      <c r="G587" s="933"/>
      <c r="H587" s="933"/>
      <c r="I587" s="933"/>
      <c r="J587" s="933"/>
      <c r="K587" s="935"/>
      <c r="L587" s="933"/>
      <c r="M587" s="933"/>
      <c r="N587" s="945"/>
      <c r="O587" s="933"/>
      <c r="P587" s="933"/>
      <c r="Q587" s="933"/>
      <c r="R587" s="933"/>
      <c r="S587" s="933"/>
      <c r="T587" s="933"/>
      <c r="U587" s="933"/>
      <c r="V587" s="933"/>
      <c r="W587" s="933"/>
      <c r="X587" s="933"/>
      <c r="Y587" s="933"/>
      <c r="Z587" s="933"/>
      <c r="AA587" s="933"/>
      <c r="AB587" s="933"/>
      <c r="AC587" s="933"/>
      <c r="AD587" s="933"/>
    </row>
    <row r="588" spans="1:30" ht="12.75">
      <c r="A588" s="933"/>
      <c r="B588" s="933"/>
      <c r="C588" s="933"/>
      <c r="D588" s="933"/>
      <c r="E588" s="933"/>
      <c r="F588" s="933"/>
      <c r="G588" s="933"/>
      <c r="H588" s="933"/>
      <c r="I588" s="933"/>
      <c r="J588" s="933"/>
      <c r="K588" s="935"/>
      <c r="L588" s="933"/>
      <c r="M588" s="933"/>
      <c r="N588" s="945"/>
      <c r="O588" s="933"/>
      <c r="P588" s="933"/>
      <c r="Q588" s="933"/>
      <c r="R588" s="933"/>
      <c r="S588" s="933"/>
      <c r="T588" s="933"/>
      <c r="U588" s="933"/>
      <c r="V588" s="933"/>
      <c r="W588" s="933"/>
      <c r="X588" s="933"/>
      <c r="Y588" s="933"/>
      <c r="Z588" s="933"/>
      <c r="AA588" s="933"/>
      <c r="AB588" s="933"/>
      <c r="AC588" s="933"/>
      <c r="AD588" s="933"/>
    </row>
    <row r="589" spans="1:30" ht="12.75">
      <c r="A589" s="933"/>
      <c r="B589" s="933"/>
      <c r="C589" s="933"/>
      <c r="D589" s="933"/>
      <c r="E589" s="933"/>
      <c r="F589" s="933"/>
      <c r="G589" s="933"/>
      <c r="H589" s="933"/>
      <c r="I589" s="933"/>
      <c r="J589" s="933"/>
      <c r="K589" s="935"/>
      <c r="L589" s="933"/>
      <c r="M589" s="933"/>
      <c r="N589" s="945"/>
      <c r="O589" s="933"/>
      <c r="P589" s="933"/>
      <c r="Q589" s="933"/>
      <c r="R589" s="933"/>
      <c r="S589" s="933"/>
      <c r="T589" s="933"/>
      <c r="U589" s="933"/>
      <c r="V589" s="933"/>
      <c r="W589" s="933"/>
      <c r="X589" s="933"/>
      <c r="Y589" s="933"/>
      <c r="Z589" s="933"/>
      <c r="AA589" s="933"/>
      <c r="AB589" s="933"/>
      <c r="AC589" s="933"/>
      <c r="AD589" s="933"/>
    </row>
    <row r="590" spans="1:30" ht="12.75">
      <c r="A590" s="933"/>
      <c r="B590" s="933"/>
      <c r="C590" s="933"/>
      <c r="D590" s="933"/>
      <c r="E590" s="933"/>
      <c r="F590" s="933"/>
      <c r="G590" s="933"/>
      <c r="H590" s="933"/>
      <c r="I590" s="933"/>
      <c r="J590" s="933"/>
      <c r="K590" s="935"/>
      <c r="L590" s="933"/>
      <c r="M590" s="933"/>
      <c r="N590" s="945"/>
      <c r="O590" s="933"/>
      <c r="P590" s="933"/>
      <c r="Q590" s="933"/>
      <c r="R590" s="933"/>
      <c r="S590" s="933"/>
      <c r="T590" s="933"/>
      <c r="U590" s="933"/>
      <c r="V590" s="933"/>
      <c r="W590" s="933"/>
      <c r="X590" s="933"/>
      <c r="Y590" s="933"/>
      <c r="Z590" s="933"/>
      <c r="AA590" s="933"/>
      <c r="AB590" s="933"/>
      <c r="AC590" s="933"/>
      <c r="AD590" s="933"/>
    </row>
    <row r="591" spans="1:30" ht="12.75">
      <c r="A591" s="933"/>
      <c r="B591" s="933"/>
      <c r="C591" s="933"/>
      <c r="D591" s="933"/>
      <c r="E591" s="933"/>
      <c r="F591" s="933"/>
      <c r="G591" s="933"/>
      <c r="H591" s="933"/>
      <c r="I591" s="933"/>
      <c r="J591" s="933"/>
      <c r="K591" s="935"/>
      <c r="L591" s="933"/>
      <c r="M591" s="933"/>
      <c r="N591" s="945"/>
      <c r="O591" s="933"/>
      <c r="P591" s="933"/>
      <c r="Q591" s="933"/>
      <c r="R591" s="933"/>
      <c r="S591" s="933"/>
      <c r="T591" s="933"/>
      <c r="U591" s="933"/>
      <c r="V591" s="933"/>
      <c r="W591" s="933"/>
      <c r="X591" s="933"/>
      <c r="Y591" s="933"/>
      <c r="Z591" s="933"/>
      <c r="AA591" s="933"/>
      <c r="AB591" s="933"/>
      <c r="AC591" s="933"/>
      <c r="AD591" s="933"/>
    </row>
    <row r="592" spans="1:30" ht="12.75">
      <c r="A592" s="933"/>
      <c r="B592" s="933"/>
      <c r="C592" s="933"/>
      <c r="D592" s="933"/>
      <c r="E592" s="933"/>
      <c r="F592" s="933"/>
      <c r="G592" s="933"/>
      <c r="H592" s="933"/>
      <c r="I592" s="933"/>
      <c r="J592" s="933"/>
      <c r="K592" s="935"/>
      <c r="L592" s="933"/>
      <c r="M592" s="933"/>
      <c r="N592" s="945"/>
      <c r="O592" s="933"/>
      <c r="P592" s="933"/>
      <c r="Q592" s="933"/>
      <c r="R592" s="933"/>
      <c r="S592" s="933"/>
      <c r="T592" s="933"/>
      <c r="U592" s="933"/>
      <c r="V592" s="933"/>
      <c r="W592" s="933"/>
      <c r="X592" s="933"/>
      <c r="Y592" s="933"/>
      <c r="Z592" s="933"/>
      <c r="AA592" s="933"/>
      <c r="AB592" s="933"/>
      <c r="AC592" s="933"/>
      <c r="AD592" s="933"/>
    </row>
    <row r="593" spans="1:30" ht="12.75">
      <c r="A593" s="933"/>
      <c r="B593" s="933"/>
      <c r="C593" s="933"/>
      <c r="D593" s="933"/>
      <c r="E593" s="933"/>
      <c r="F593" s="933"/>
      <c r="G593" s="933"/>
      <c r="H593" s="933"/>
      <c r="I593" s="933"/>
      <c r="J593" s="933"/>
      <c r="K593" s="935"/>
      <c r="L593" s="933"/>
      <c r="M593" s="933"/>
      <c r="N593" s="945"/>
      <c r="O593" s="933"/>
      <c r="P593" s="933"/>
      <c r="Q593" s="933"/>
      <c r="R593" s="933"/>
      <c r="S593" s="933"/>
      <c r="T593" s="933"/>
      <c r="U593" s="933"/>
      <c r="V593" s="933"/>
      <c r="W593" s="933"/>
      <c r="X593" s="933"/>
      <c r="Y593" s="933"/>
      <c r="Z593" s="933"/>
      <c r="AA593" s="933"/>
      <c r="AB593" s="933"/>
      <c r="AC593" s="933"/>
      <c r="AD593" s="933"/>
    </row>
    <row r="594" spans="1:30" ht="12.75">
      <c r="A594" s="933"/>
      <c r="B594" s="933"/>
      <c r="C594" s="933"/>
      <c r="D594" s="933"/>
      <c r="E594" s="933"/>
      <c r="F594" s="933"/>
      <c r="G594" s="933"/>
      <c r="H594" s="933"/>
      <c r="I594" s="933"/>
      <c r="J594" s="933"/>
      <c r="K594" s="935"/>
      <c r="L594" s="933"/>
      <c r="M594" s="933"/>
      <c r="N594" s="945"/>
      <c r="O594" s="933"/>
      <c r="P594" s="933"/>
      <c r="Q594" s="933"/>
      <c r="R594" s="933"/>
      <c r="S594" s="933"/>
      <c r="T594" s="933"/>
      <c r="U594" s="933"/>
      <c r="V594" s="933"/>
      <c r="W594" s="933"/>
      <c r="X594" s="933"/>
      <c r="Y594" s="933"/>
      <c r="Z594" s="933"/>
      <c r="AA594" s="933"/>
      <c r="AB594" s="933"/>
      <c r="AC594" s="933"/>
      <c r="AD594" s="933"/>
    </row>
    <row r="595" spans="1:30" ht="12.75">
      <c r="A595" s="933"/>
      <c r="B595" s="933"/>
      <c r="C595" s="933"/>
      <c r="D595" s="933"/>
      <c r="E595" s="933"/>
      <c r="F595" s="933"/>
      <c r="G595" s="933"/>
      <c r="H595" s="933"/>
      <c r="I595" s="933"/>
      <c r="J595" s="933"/>
      <c r="K595" s="935"/>
      <c r="L595" s="933"/>
      <c r="M595" s="933"/>
      <c r="N595" s="945"/>
      <c r="O595" s="933"/>
      <c r="P595" s="933"/>
      <c r="Q595" s="933"/>
      <c r="R595" s="933"/>
      <c r="S595" s="933"/>
      <c r="T595" s="933"/>
      <c r="U595" s="933"/>
      <c r="V595" s="933"/>
      <c r="W595" s="933"/>
      <c r="X595" s="933"/>
      <c r="Y595" s="933"/>
      <c r="Z595" s="933"/>
      <c r="AA595" s="933"/>
      <c r="AB595" s="933"/>
      <c r="AC595" s="933"/>
      <c r="AD595" s="933"/>
    </row>
    <row r="596" spans="1:30" ht="12.75">
      <c r="A596" s="933"/>
      <c r="B596" s="933"/>
      <c r="C596" s="933"/>
      <c r="D596" s="933"/>
      <c r="E596" s="933"/>
      <c r="F596" s="933"/>
      <c r="G596" s="933"/>
      <c r="H596" s="933"/>
      <c r="I596" s="933"/>
      <c r="J596" s="933"/>
      <c r="K596" s="935"/>
      <c r="L596" s="933"/>
      <c r="M596" s="933"/>
      <c r="N596" s="945"/>
      <c r="O596" s="933"/>
      <c r="P596" s="933"/>
      <c r="Q596" s="933"/>
      <c r="R596" s="933"/>
      <c r="S596" s="933"/>
      <c r="T596" s="933"/>
      <c r="U596" s="933"/>
      <c r="V596" s="933"/>
      <c r="W596" s="933"/>
      <c r="X596" s="933"/>
      <c r="Y596" s="933"/>
      <c r="Z596" s="933"/>
      <c r="AA596" s="933"/>
      <c r="AB596" s="933"/>
      <c r="AC596" s="933"/>
      <c r="AD596" s="933"/>
    </row>
    <row r="597" spans="1:30" ht="12.75">
      <c r="A597" s="933"/>
      <c r="B597" s="933"/>
      <c r="C597" s="933"/>
      <c r="D597" s="933"/>
      <c r="E597" s="933"/>
      <c r="F597" s="933"/>
      <c r="G597" s="933"/>
      <c r="H597" s="933"/>
      <c r="I597" s="933"/>
      <c r="J597" s="933"/>
      <c r="K597" s="935"/>
      <c r="L597" s="933"/>
      <c r="M597" s="933"/>
      <c r="N597" s="945"/>
      <c r="O597" s="933"/>
      <c r="P597" s="933"/>
      <c r="Q597" s="933"/>
      <c r="R597" s="933"/>
      <c r="S597" s="933"/>
      <c r="T597" s="933"/>
      <c r="U597" s="933"/>
      <c r="V597" s="933"/>
      <c r="W597" s="933"/>
      <c r="X597" s="933"/>
      <c r="Y597" s="933"/>
      <c r="Z597" s="933"/>
      <c r="AA597" s="933"/>
      <c r="AB597" s="933"/>
      <c r="AC597" s="933"/>
      <c r="AD597" s="933"/>
    </row>
    <row r="598" spans="1:30" ht="12.75">
      <c r="A598" s="933"/>
      <c r="B598" s="933"/>
      <c r="C598" s="933"/>
      <c r="D598" s="933"/>
      <c r="E598" s="933"/>
      <c r="F598" s="933"/>
      <c r="G598" s="933"/>
      <c r="H598" s="933"/>
      <c r="I598" s="933"/>
      <c r="J598" s="933"/>
      <c r="K598" s="935"/>
      <c r="L598" s="933"/>
      <c r="M598" s="933"/>
      <c r="N598" s="945"/>
      <c r="O598" s="933"/>
      <c r="P598" s="933"/>
      <c r="Q598" s="933"/>
      <c r="R598" s="933"/>
      <c r="S598" s="933"/>
      <c r="T598" s="933"/>
      <c r="U598" s="933"/>
      <c r="V598" s="933"/>
      <c r="W598" s="933"/>
      <c r="X598" s="933"/>
      <c r="Y598" s="933"/>
      <c r="Z598" s="933"/>
      <c r="AA598" s="933"/>
      <c r="AB598" s="933"/>
      <c r="AC598" s="933"/>
      <c r="AD598" s="933"/>
    </row>
    <row r="599" spans="1:30" ht="12.75">
      <c r="A599" s="933"/>
      <c r="B599" s="933"/>
      <c r="C599" s="933"/>
      <c r="D599" s="933"/>
      <c r="E599" s="933"/>
      <c r="F599" s="933"/>
      <c r="G599" s="933"/>
      <c r="H599" s="933"/>
      <c r="I599" s="933"/>
      <c r="J599" s="933"/>
      <c r="K599" s="935"/>
      <c r="L599" s="933"/>
      <c r="M599" s="933"/>
      <c r="N599" s="945"/>
      <c r="O599" s="933"/>
      <c r="P599" s="933"/>
      <c r="Q599" s="933"/>
      <c r="R599" s="933"/>
      <c r="S599" s="933"/>
      <c r="T599" s="933"/>
      <c r="U599" s="933"/>
      <c r="V599" s="933"/>
      <c r="W599" s="933"/>
      <c r="X599" s="933"/>
      <c r="Y599" s="933"/>
      <c r="Z599" s="933"/>
      <c r="AA599" s="933"/>
      <c r="AB599" s="933"/>
      <c r="AC599" s="933"/>
      <c r="AD599" s="933"/>
    </row>
    <row r="600" spans="1:30" ht="12.75">
      <c r="A600" s="933"/>
      <c r="B600" s="933"/>
      <c r="C600" s="933"/>
      <c r="D600" s="933"/>
      <c r="E600" s="933"/>
      <c r="F600" s="933"/>
      <c r="G600" s="933"/>
      <c r="H600" s="933"/>
      <c r="I600" s="933"/>
      <c r="J600" s="933"/>
      <c r="K600" s="935"/>
      <c r="L600" s="933"/>
      <c r="M600" s="933"/>
      <c r="N600" s="945"/>
      <c r="O600" s="933"/>
      <c r="P600" s="933"/>
      <c r="Q600" s="933"/>
      <c r="R600" s="933"/>
      <c r="S600" s="933"/>
      <c r="T600" s="933"/>
      <c r="U600" s="933"/>
      <c r="V600" s="933"/>
      <c r="W600" s="933"/>
      <c r="X600" s="933"/>
      <c r="Y600" s="933"/>
      <c r="Z600" s="933"/>
      <c r="AA600" s="933"/>
      <c r="AB600" s="933"/>
      <c r="AC600" s="933"/>
      <c r="AD600" s="933"/>
    </row>
    <row r="601" spans="1:30" ht="12.75">
      <c r="A601" s="933"/>
      <c r="B601" s="933"/>
      <c r="C601" s="933"/>
      <c r="D601" s="933"/>
      <c r="E601" s="933"/>
      <c r="F601" s="933"/>
      <c r="G601" s="933"/>
      <c r="H601" s="933"/>
      <c r="I601" s="933"/>
      <c r="J601" s="933"/>
      <c r="K601" s="935"/>
      <c r="L601" s="933"/>
      <c r="M601" s="933"/>
      <c r="N601" s="945"/>
      <c r="O601" s="933"/>
      <c r="P601" s="933"/>
      <c r="Q601" s="933"/>
      <c r="R601" s="933"/>
      <c r="S601" s="933"/>
      <c r="T601" s="933"/>
      <c r="U601" s="933"/>
      <c r="V601" s="933"/>
      <c r="W601" s="933"/>
      <c r="X601" s="933"/>
      <c r="Y601" s="933"/>
      <c r="Z601" s="933"/>
      <c r="AA601" s="933"/>
      <c r="AB601" s="933"/>
      <c r="AC601" s="933"/>
      <c r="AD601" s="933"/>
    </row>
    <row r="602" spans="1:30" ht="12.75">
      <c r="A602" s="933"/>
      <c r="B602" s="933"/>
      <c r="C602" s="933"/>
      <c r="D602" s="933"/>
      <c r="E602" s="933"/>
      <c r="F602" s="933"/>
      <c r="G602" s="933"/>
      <c r="H602" s="933"/>
      <c r="I602" s="933"/>
      <c r="J602" s="933"/>
      <c r="K602" s="935"/>
      <c r="L602" s="933"/>
      <c r="M602" s="933"/>
      <c r="N602" s="945"/>
      <c r="O602" s="933"/>
      <c r="P602" s="933"/>
      <c r="Q602" s="933"/>
      <c r="R602" s="933"/>
      <c r="S602" s="933"/>
      <c r="T602" s="933"/>
      <c r="U602" s="933"/>
      <c r="V602" s="933"/>
      <c r="W602" s="933"/>
      <c r="X602" s="933"/>
      <c r="Y602" s="933"/>
      <c r="Z602" s="933"/>
      <c r="AA602" s="933"/>
      <c r="AB602" s="933"/>
      <c r="AC602" s="933"/>
      <c r="AD602" s="933"/>
    </row>
    <row r="603" spans="1:30" ht="12.75">
      <c r="A603" s="933"/>
      <c r="B603" s="933"/>
      <c r="C603" s="933"/>
      <c r="D603" s="933"/>
      <c r="E603" s="933"/>
      <c r="F603" s="933"/>
      <c r="G603" s="933"/>
      <c r="H603" s="933"/>
      <c r="I603" s="933"/>
      <c r="J603" s="933"/>
      <c r="K603" s="935"/>
      <c r="L603" s="933"/>
      <c r="M603" s="933"/>
      <c r="N603" s="945"/>
      <c r="O603" s="933"/>
      <c r="P603" s="933"/>
      <c r="Q603" s="933"/>
      <c r="R603" s="933"/>
      <c r="S603" s="933"/>
      <c r="T603" s="933"/>
      <c r="U603" s="933"/>
      <c r="V603" s="933"/>
      <c r="W603" s="933"/>
      <c r="X603" s="933"/>
      <c r="Y603" s="933"/>
      <c r="Z603" s="933"/>
      <c r="AA603" s="933"/>
      <c r="AB603" s="933"/>
      <c r="AC603" s="933"/>
      <c r="AD603" s="933"/>
    </row>
    <row r="604" spans="1:30" ht="12.75">
      <c r="A604" s="933"/>
      <c r="B604" s="933"/>
      <c r="C604" s="933"/>
      <c r="D604" s="933"/>
      <c r="E604" s="933"/>
      <c r="F604" s="933"/>
      <c r="G604" s="933"/>
      <c r="H604" s="933"/>
      <c r="I604" s="933"/>
      <c r="J604" s="933"/>
      <c r="K604" s="935"/>
      <c r="L604" s="933"/>
      <c r="M604" s="933"/>
      <c r="N604" s="945"/>
      <c r="O604" s="933"/>
      <c r="P604" s="933"/>
      <c r="Q604" s="933"/>
      <c r="R604" s="933"/>
      <c r="S604" s="933"/>
      <c r="T604" s="933"/>
      <c r="U604" s="933"/>
      <c r="V604" s="933"/>
      <c r="W604" s="933"/>
      <c r="X604" s="933"/>
      <c r="Y604" s="933"/>
      <c r="Z604" s="933"/>
      <c r="AA604" s="933"/>
      <c r="AB604" s="933"/>
      <c r="AC604" s="933"/>
      <c r="AD604" s="933"/>
    </row>
    <row r="605" spans="1:30" ht="12.75">
      <c r="A605" s="933"/>
      <c r="B605" s="933"/>
      <c r="C605" s="933"/>
      <c r="D605" s="933"/>
      <c r="E605" s="933"/>
      <c r="F605" s="933"/>
      <c r="G605" s="933"/>
      <c r="H605" s="933"/>
      <c r="I605" s="933"/>
      <c r="J605" s="933"/>
      <c r="K605" s="935"/>
      <c r="L605" s="933"/>
      <c r="M605" s="933"/>
      <c r="N605" s="945"/>
      <c r="O605" s="933"/>
      <c r="P605" s="933"/>
      <c r="Q605" s="933"/>
      <c r="R605" s="933"/>
      <c r="S605" s="933"/>
      <c r="T605" s="933"/>
      <c r="U605" s="933"/>
      <c r="V605" s="933"/>
      <c r="W605" s="933"/>
      <c r="X605" s="933"/>
      <c r="Y605" s="933"/>
      <c r="Z605" s="933"/>
      <c r="AA605" s="933"/>
      <c r="AB605" s="933"/>
      <c r="AC605" s="933"/>
      <c r="AD605" s="933"/>
    </row>
    <row r="606" spans="1:30" ht="12.75">
      <c r="A606" s="933"/>
      <c r="B606" s="933"/>
      <c r="C606" s="933"/>
      <c r="D606" s="933"/>
      <c r="E606" s="933"/>
      <c r="F606" s="933"/>
      <c r="G606" s="933"/>
      <c r="H606" s="933"/>
      <c r="I606" s="933"/>
      <c r="J606" s="933"/>
      <c r="K606" s="935"/>
      <c r="L606" s="933"/>
      <c r="M606" s="933"/>
      <c r="N606" s="945"/>
      <c r="O606" s="933"/>
      <c r="P606" s="933"/>
      <c r="Q606" s="933"/>
      <c r="R606" s="933"/>
      <c r="S606" s="933"/>
      <c r="T606" s="933"/>
      <c r="U606" s="933"/>
      <c r="V606" s="933"/>
      <c r="W606" s="933"/>
      <c r="X606" s="933"/>
      <c r="Y606" s="933"/>
      <c r="Z606" s="933"/>
      <c r="AA606" s="933"/>
      <c r="AB606" s="933"/>
      <c r="AC606" s="933"/>
      <c r="AD606" s="933"/>
    </row>
    <row r="607" spans="1:30" ht="12.75">
      <c r="A607" s="933"/>
      <c r="B607" s="933"/>
      <c r="C607" s="933"/>
      <c r="D607" s="933"/>
      <c r="E607" s="933"/>
      <c r="F607" s="933"/>
      <c r="G607" s="933"/>
      <c r="H607" s="933"/>
      <c r="I607" s="933"/>
      <c r="J607" s="933"/>
      <c r="K607" s="935"/>
      <c r="L607" s="933"/>
      <c r="M607" s="933"/>
      <c r="N607" s="945"/>
      <c r="O607" s="933"/>
      <c r="P607" s="933"/>
      <c r="Q607" s="933"/>
      <c r="R607" s="933"/>
      <c r="S607" s="933"/>
      <c r="T607" s="933"/>
      <c r="U607" s="933"/>
      <c r="V607" s="933"/>
      <c r="W607" s="933"/>
      <c r="X607" s="933"/>
      <c r="Y607" s="933"/>
      <c r="Z607" s="933"/>
      <c r="AA607" s="933"/>
      <c r="AB607" s="933"/>
      <c r="AC607" s="933"/>
      <c r="AD607" s="933"/>
    </row>
    <row r="608" spans="1:30" ht="12.75">
      <c r="A608" s="933"/>
      <c r="B608" s="933"/>
      <c r="C608" s="933"/>
      <c r="D608" s="933"/>
      <c r="E608" s="933"/>
      <c r="F608" s="933"/>
      <c r="G608" s="933"/>
      <c r="H608" s="933"/>
      <c r="I608" s="933"/>
      <c r="J608" s="933"/>
      <c r="K608" s="935"/>
      <c r="L608" s="933"/>
      <c r="M608" s="933"/>
      <c r="N608" s="945"/>
      <c r="O608" s="933"/>
      <c r="P608" s="933"/>
      <c r="Q608" s="933"/>
      <c r="R608" s="933"/>
      <c r="S608" s="933"/>
      <c r="T608" s="933"/>
      <c r="U608" s="933"/>
      <c r="V608" s="933"/>
      <c r="W608" s="933"/>
      <c r="X608" s="933"/>
      <c r="Y608" s="933"/>
      <c r="Z608" s="933"/>
      <c r="AA608" s="933"/>
      <c r="AB608" s="933"/>
      <c r="AC608" s="933"/>
      <c r="AD608" s="933"/>
    </row>
    <row r="609" spans="1:30" ht="12.75">
      <c r="A609" s="933"/>
      <c r="B609" s="933"/>
      <c r="C609" s="933"/>
      <c r="D609" s="933"/>
      <c r="E609" s="933"/>
      <c r="F609" s="933"/>
      <c r="G609" s="933"/>
      <c r="H609" s="933"/>
      <c r="I609" s="933"/>
      <c r="J609" s="933"/>
      <c r="K609" s="935"/>
      <c r="L609" s="933"/>
      <c r="M609" s="933"/>
      <c r="N609" s="945"/>
      <c r="O609" s="933"/>
      <c r="P609" s="933"/>
      <c r="Q609" s="933"/>
      <c r="R609" s="933"/>
      <c r="S609" s="933"/>
      <c r="T609" s="933"/>
      <c r="U609" s="933"/>
      <c r="V609" s="933"/>
      <c r="W609" s="933"/>
      <c r="X609" s="933"/>
      <c r="Y609" s="933"/>
      <c r="Z609" s="933"/>
      <c r="AA609" s="933"/>
      <c r="AB609" s="933"/>
      <c r="AC609" s="933"/>
      <c r="AD609" s="933"/>
    </row>
    <row r="610" spans="1:30" ht="12.75">
      <c r="A610" s="933"/>
      <c r="B610" s="933"/>
      <c r="C610" s="933"/>
      <c r="D610" s="933"/>
      <c r="E610" s="933"/>
      <c r="F610" s="933"/>
      <c r="G610" s="933"/>
      <c r="H610" s="933"/>
      <c r="I610" s="933"/>
      <c r="J610" s="933"/>
      <c r="K610" s="935"/>
      <c r="L610" s="933"/>
      <c r="M610" s="933"/>
      <c r="N610" s="945"/>
      <c r="O610" s="933"/>
      <c r="P610" s="933"/>
      <c r="Q610" s="933"/>
      <c r="R610" s="933"/>
      <c r="S610" s="933"/>
      <c r="T610" s="933"/>
      <c r="U610" s="933"/>
      <c r="V610" s="933"/>
      <c r="W610" s="933"/>
      <c r="X610" s="933"/>
      <c r="Y610" s="933"/>
      <c r="Z610" s="933"/>
      <c r="AA610" s="933"/>
      <c r="AB610" s="933"/>
      <c r="AC610" s="933"/>
      <c r="AD610" s="933"/>
    </row>
    <row r="611" spans="1:30" ht="12.75">
      <c r="A611" s="933"/>
      <c r="B611" s="933"/>
      <c r="C611" s="933"/>
      <c r="D611" s="933"/>
      <c r="E611" s="933"/>
      <c r="F611" s="933"/>
      <c r="G611" s="933"/>
      <c r="H611" s="933"/>
      <c r="I611" s="933"/>
      <c r="J611" s="933"/>
      <c r="K611" s="935"/>
      <c r="L611" s="933"/>
      <c r="M611" s="933"/>
      <c r="N611" s="945"/>
      <c r="O611" s="933"/>
      <c r="P611" s="933"/>
      <c r="Q611" s="933"/>
      <c r="R611" s="933"/>
      <c r="S611" s="933"/>
      <c r="T611" s="933"/>
      <c r="U611" s="933"/>
      <c r="V611" s="933"/>
      <c r="W611" s="933"/>
      <c r="X611" s="933"/>
      <c r="Y611" s="933"/>
      <c r="Z611" s="933"/>
      <c r="AA611" s="933"/>
      <c r="AB611" s="933"/>
      <c r="AC611" s="933"/>
      <c r="AD611" s="933"/>
    </row>
    <row r="612" spans="1:30" ht="12.75">
      <c r="A612" s="933"/>
      <c r="B612" s="933"/>
      <c r="C612" s="933"/>
      <c r="D612" s="933"/>
      <c r="E612" s="933"/>
      <c r="F612" s="933"/>
      <c r="G612" s="933"/>
      <c r="H612" s="933"/>
      <c r="I612" s="933"/>
      <c r="J612" s="933"/>
      <c r="K612" s="935"/>
      <c r="L612" s="933"/>
      <c r="M612" s="933"/>
      <c r="N612" s="945"/>
      <c r="O612" s="933"/>
      <c r="P612" s="933"/>
      <c r="Q612" s="933"/>
      <c r="R612" s="933"/>
      <c r="S612" s="933"/>
      <c r="T612" s="933"/>
      <c r="U612" s="933"/>
      <c r="V612" s="933"/>
      <c r="W612" s="933"/>
      <c r="X612" s="933"/>
      <c r="Y612" s="933"/>
      <c r="Z612" s="933"/>
      <c r="AA612" s="933"/>
      <c r="AB612" s="933"/>
      <c r="AC612" s="933"/>
      <c r="AD612" s="933"/>
    </row>
    <row r="613" spans="1:30" ht="12.75">
      <c r="A613" s="933"/>
      <c r="B613" s="933"/>
      <c r="C613" s="933"/>
      <c r="D613" s="933"/>
      <c r="E613" s="933"/>
      <c r="F613" s="933"/>
      <c r="G613" s="933"/>
      <c r="H613" s="933"/>
      <c r="I613" s="933"/>
      <c r="J613" s="933"/>
      <c r="K613" s="935"/>
      <c r="L613" s="933"/>
      <c r="M613" s="933"/>
      <c r="N613" s="945"/>
      <c r="O613" s="933"/>
      <c r="P613" s="933"/>
      <c r="Q613" s="933"/>
      <c r="R613" s="933"/>
      <c r="S613" s="933"/>
      <c r="T613" s="933"/>
      <c r="U613" s="933"/>
      <c r="V613" s="933"/>
      <c r="W613" s="933"/>
      <c r="X613" s="933"/>
      <c r="Y613" s="933"/>
      <c r="Z613" s="933"/>
      <c r="AA613" s="933"/>
      <c r="AB613" s="933"/>
      <c r="AC613" s="933"/>
      <c r="AD613" s="933"/>
    </row>
    <row r="614" spans="1:30" ht="12.75">
      <c r="A614" s="933"/>
      <c r="B614" s="933"/>
      <c r="C614" s="933"/>
      <c r="D614" s="933"/>
      <c r="E614" s="933"/>
      <c r="F614" s="933"/>
      <c r="G614" s="933"/>
      <c r="H614" s="933"/>
      <c r="I614" s="933"/>
      <c r="J614" s="933"/>
      <c r="K614" s="935"/>
      <c r="L614" s="933"/>
      <c r="M614" s="933"/>
      <c r="N614" s="945"/>
      <c r="O614" s="933"/>
      <c r="P614" s="933"/>
      <c r="Q614" s="933"/>
      <c r="R614" s="933"/>
      <c r="S614" s="933"/>
      <c r="T614" s="933"/>
      <c r="U614" s="933"/>
      <c r="V614" s="933"/>
      <c r="W614" s="933"/>
      <c r="X614" s="933"/>
      <c r="Y614" s="933"/>
      <c r="Z614" s="933"/>
      <c r="AA614" s="933"/>
      <c r="AB614" s="933"/>
      <c r="AC614" s="933"/>
      <c r="AD614" s="933"/>
    </row>
    <row r="615" spans="1:30" ht="12.75">
      <c r="A615" s="933"/>
      <c r="B615" s="933"/>
      <c r="C615" s="933"/>
      <c r="D615" s="933"/>
      <c r="E615" s="933"/>
      <c r="F615" s="933"/>
      <c r="G615" s="933"/>
      <c r="H615" s="933"/>
      <c r="I615" s="933"/>
      <c r="J615" s="933"/>
      <c r="K615" s="935"/>
      <c r="L615" s="933"/>
      <c r="M615" s="933"/>
      <c r="N615" s="945"/>
      <c r="O615" s="933"/>
      <c r="P615" s="933"/>
      <c r="Q615" s="933"/>
      <c r="R615" s="933"/>
      <c r="S615" s="933"/>
      <c r="T615" s="933"/>
      <c r="U615" s="933"/>
      <c r="V615" s="933"/>
      <c r="W615" s="933"/>
      <c r="X615" s="933"/>
      <c r="Y615" s="933"/>
      <c r="Z615" s="933"/>
      <c r="AA615" s="933"/>
      <c r="AB615" s="933"/>
      <c r="AC615" s="933"/>
      <c r="AD615" s="933"/>
    </row>
    <row r="616" spans="1:30" ht="12.75">
      <c r="A616" s="933"/>
      <c r="B616" s="933"/>
      <c r="C616" s="933"/>
      <c r="D616" s="933"/>
      <c r="E616" s="933"/>
      <c r="F616" s="933"/>
      <c r="G616" s="933"/>
      <c r="H616" s="933"/>
      <c r="I616" s="933"/>
      <c r="J616" s="933"/>
      <c r="K616" s="935"/>
      <c r="L616" s="933"/>
      <c r="M616" s="933"/>
      <c r="N616" s="945"/>
      <c r="O616" s="933"/>
      <c r="P616" s="933"/>
      <c r="Q616" s="933"/>
      <c r="R616" s="933"/>
      <c r="S616" s="933"/>
      <c r="T616" s="933"/>
      <c r="U616" s="933"/>
      <c r="V616" s="933"/>
      <c r="W616" s="933"/>
      <c r="X616" s="933"/>
      <c r="Y616" s="933"/>
      <c r="Z616" s="933"/>
      <c r="AA616" s="933"/>
      <c r="AB616" s="933"/>
      <c r="AC616" s="933"/>
      <c r="AD616" s="933"/>
    </row>
    <row r="617" spans="1:30" ht="12.75">
      <c r="A617" s="933"/>
      <c r="B617" s="933"/>
      <c r="C617" s="933"/>
      <c r="D617" s="933"/>
      <c r="E617" s="933"/>
      <c r="F617" s="933"/>
      <c r="G617" s="933"/>
      <c r="H617" s="933"/>
      <c r="I617" s="933"/>
      <c r="J617" s="933"/>
      <c r="K617" s="935"/>
      <c r="L617" s="933"/>
      <c r="M617" s="933"/>
      <c r="N617" s="945"/>
      <c r="O617" s="933"/>
      <c r="P617" s="933"/>
      <c r="Q617" s="933"/>
      <c r="R617" s="933"/>
      <c r="S617" s="933"/>
      <c r="T617" s="933"/>
      <c r="U617" s="933"/>
      <c r="V617" s="933"/>
      <c r="W617" s="933"/>
      <c r="X617" s="933"/>
      <c r="Y617" s="933"/>
      <c r="Z617" s="933"/>
      <c r="AA617" s="933"/>
      <c r="AB617" s="933"/>
      <c r="AC617" s="933"/>
      <c r="AD617" s="933"/>
    </row>
    <row r="618" spans="1:30" ht="12.75">
      <c r="A618" s="933"/>
      <c r="B618" s="933"/>
      <c r="C618" s="933"/>
      <c r="D618" s="933"/>
      <c r="E618" s="933"/>
      <c r="F618" s="933"/>
      <c r="G618" s="933"/>
      <c r="H618" s="933"/>
      <c r="I618" s="933"/>
      <c r="J618" s="933"/>
      <c r="K618" s="935"/>
      <c r="L618" s="933"/>
      <c r="M618" s="933"/>
      <c r="N618" s="945"/>
      <c r="O618" s="933"/>
      <c r="P618" s="933"/>
      <c r="Q618" s="933"/>
      <c r="R618" s="933"/>
      <c r="S618" s="933"/>
      <c r="T618" s="933"/>
      <c r="U618" s="933"/>
      <c r="V618" s="933"/>
      <c r="W618" s="933"/>
      <c r="X618" s="933"/>
      <c r="Y618" s="933"/>
      <c r="Z618" s="933"/>
      <c r="AA618" s="933"/>
      <c r="AB618" s="933"/>
      <c r="AC618" s="933"/>
      <c r="AD618" s="933"/>
    </row>
    <row r="619" spans="1:30" ht="12.75">
      <c r="A619" s="933"/>
      <c r="B619" s="933"/>
      <c r="C619" s="933"/>
      <c r="D619" s="933"/>
      <c r="E619" s="933"/>
      <c r="F619" s="933"/>
      <c r="G619" s="933"/>
      <c r="H619" s="933"/>
      <c r="I619" s="933"/>
      <c r="J619" s="933"/>
      <c r="K619" s="935"/>
      <c r="L619" s="933"/>
      <c r="M619" s="933"/>
      <c r="N619" s="945"/>
      <c r="O619" s="933"/>
      <c r="P619" s="933"/>
      <c r="Q619" s="933"/>
      <c r="R619" s="933"/>
      <c r="S619" s="933"/>
      <c r="T619" s="933"/>
      <c r="U619" s="933"/>
      <c r="V619" s="933"/>
      <c r="W619" s="933"/>
      <c r="X619" s="933"/>
      <c r="Y619" s="933"/>
      <c r="Z619" s="933"/>
      <c r="AA619" s="933"/>
      <c r="AB619" s="933"/>
      <c r="AC619" s="933"/>
      <c r="AD619" s="933"/>
    </row>
    <row r="620" spans="1:30" ht="12.75">
      <c r="A620" s="933"/>
      <c r="B620" s="933"/>
      <c r="C620" s="933"/>
      <c r="D620" s="933"/>
      <c r="E620" s="933"/>
      <c r="F620" s="933"/>
      <c r="G620" s="933"/>
      <c r="H620" s="933"/>
      <c r="I620" s="933"/>
      <c r="J620" s="933"/>
      <c r="K620" s="935"/>
      <c r="L620" s="933"/>
      <c r="M620" s="933"/>
      <c r="N620" s="945"/>
      <c r="O620" s="933"/>
      <c r="P620" s="933"/>
      <c r="Q620" s="933"/>
      <c r="R620" s="933"/>
      <c r="S620" s="933"/>
      <c r="T620" s="933"/>
      <c r="U620" s="933"/>
      <c r="V620" s="933"/>
      <c r="W620" s="933"/>
      <c r="X620" s="933"/>
      <c r="Y620" s="933"/>
      <c r="Z620" s="933"/>
      <c r="AA620" s="933"/>
      <c r="AB620" s="933"/>
      <c r="AC620" s="933"/>
      <c r="AD620" s="933"/>
    </row>
    <row r="621" spans="1:30" ht="12.75">
      <c r="A621" s="933"/>
      <c r="B621" s="933"/>
      <c r="C621" s="933"/>
      <c r="D621" s="933"/>
      <c r="E621" s="933"/>
      <c r="F621" s="933"/>
      <c r="G621" s="933"/>
      <c r="H621" s="933"/>
      <c r="I621" s="933"/>
      <c r="J621" s="933"/>
      <c r="K621" s="935"/>
      <c r="L621" s="933"/>
      <c r="M621" s="933"/>
      <c r="N621" s="945"/>
      <c r="O621" s="933"/>
      <c r="P621" s="933"/>
      <c r="Q621" s="933"/>
      <c r="R621" s="933"/>
      <c r="S621" s="933"/>
      <c r="T621" s="933"/>
      <c r="U621" s="933"/>
      <c r="V621" s="933"/>
      <c r="W621" s="933"/>
      <c r="X621" s="933"/>
      <c r="Y621" s="933"/>
      <c r="Z621" s="933"/>
      <c r="AA621" s="933"/>
      <c r="AB621" s="933"/>
      <c r="AC621" s="933"/>
      <c r="AD621" s="933"/>
    </row>
    <row r="622" spans="1:30" ht="12.75">
      <c r="A622" s="933"/>
      <c r="B622" s="933"/>
      <c r="C622" s="933"/>
      <c r="D622" s="933"/>
      <c r="E622" s="933"/>
      <c r="F622" s="933"/>
      <c r="G622" s="933"/>
      <c r="H622" s="933"/>
      <c r="I622" s="933"/>
      <c r="J622" s="933"/>
      <c r="K622" s="935"/>
      <c r="L622" s="933"/>
      <c r="M622" s="933"/>
      <c r="N622" s="945"/>
      <c r="O622" s="933"/>
      <c r="P622" s="933"/>
      <c r="Q622" s="933"/>
      <c r="R622" s="933"/>
      <c r="S622" s="933"/>
      <c r="T622" s="933"/>
      <c r="U622" s="933"/>
      <c r="V622" s="933"/>
      <c r="W622" s="933"/>
      <c r="X622" s="933"/>
      <c r="Y622" s="933"/>
      <c r="Z622" s="933"/>
      <c r="AA622" s="933"/>
      <c r="AB622" s="933"/>
      <c r="AC622" s="933"/>
      <c r="AD622" s="933"/>
    </row>
    <row r="623" spans="1:30" ht="12.75">
      <c r="A623" s="933"/>
      <c r="B623" s="933"/>
      <c r="C623" s="933"/>
      <c r="D623" s="933"/>
      <c r="E623" s="933"/>
      <c r="F623" s="933"/>
      <c r="G623" s="933"/>
      <c r="H623" s="933"/>
      <c r="I623" s="933"/>
      <c r="J623" s="933"/>
      <c r="K623" s="935"/>
      <c r="L623" s="933"/>
      <c r="M623" s="933"/>
      <c r="N623" s="945"/>
      <c r="O623" s="933"/>
      <c r="P623" s="933"/>
      <c r="Q623" s="933"/>
      <c r="R623" s="933"/>
      <c r="S623" s="933"/>
      <c r="T623" s="933"/>
      <c r="U623" s="933"/>
      <c r="V623" s="933"/>
      <c r="W623" s="933"/>
      <c r="X623" s="933"/>
      <c r="Y623" s="933"/>
      <c r="Z623" s="933"/>
      <c r="AA623" s="933"/>
      <c r="AB623" s="933"/>
      <c r="AC623" s="933"/>
      <c r="AD623" s="933"/>
    </row>
    <row r="624" spans="1:30" ht="12.75">
      <c r="A624" s="933"/>
      <c r="B624" s="933"/>
      <c r="C624" s="933"/>
      <c r="D624" s="933"/>
      <c r="E624" s="933"/>
      <c r="F624" s="933"/>
      <c r="G624" s="933"/>
      <c r="H624" s="933"/>
      <c r="I624" s="933"/>
      <c r="J624" s="933"/>
      <c r="K624" s="935"/>
      <c r="L624" s="933"/>
      <c r="M624" s="933"/>
      <c r="N624" s="945"/>
      <c r="O624" s="933"/>
      <c r="P624" s="933"/>
      <c r="Q624" s="933"/>
      <c r="R624" s="933"/>
      <c r="S624" s="933"/>
      <c r="T624" s="933"/>
      <c r="U624" s="933"/>
      <c r="V624" s="933"/>
      <c r="W624" s="933"/>
      <c r="X624" s="933"/>
      <c r="Y624" s="933"/>
      <c r="Z624" s="933"/>
      <c r="AA624" s="933"/>
      <c r="AB624" s="933"/>
      <c r="AC624" s="933"/>
      <c r="AD624" s="933"/>
    </row>
    <row r="625" spans="1:30" ht="12.75">
      <c r="A625" s="933"/>
      <c r="B625" s="933"/>
      <c r="C625" s="933"/>
      <c r="D625" s="933"/>
      <c r="E625" s="933"/>
      <c r="F625" s="933"/>
      <c r="G625" s="933"/>
      <c r="H625" s="933"/>
      <c r="I625" s="933"/>
      <c r="J625" s="933"/>
      <c r="K625" s="935"/>
      <c r="L625" s="933"/>
      <c r="M625" s="933"/>
      <c r="N625" s="945"/>
      <c r="O625" s="933"/>
      <c r="P625" s="933"/>
      <c r="Q625" s="933"/>
      <c r="R625" s="933"/>
      <c r="S625" s="933"/>
      <c r="T625" s="933"/>
      <c r="U625" s="933"/>
      <c r="V625" s="933"/>
      <c r="W625" s="933"/>
      <c r="X625" s="933"/>
      <c r="Y625" s="933"/>
      <c r="Z625" s="933"/>
      <c r="AA625" s="933"/>
      <c r="AB625" s="933"/>
      <c r="AC625" s="933"/>
      <c r="AD625" s="933"/>
    </row>
    <row r="626" spans="1:30" ht="12.75">
      <c r="A626" s="933"/>
      <c r="B626" s="933"/>
      <c r="C626" s="933"/>
      <c r="D626" s="933"/>
      <c r="E626" s="933"/>
      <c r="F626" s="933"/>
      <c r="G626" s="933"/>
      <c r="H626" s="933"/>
      <c r="I626" s="933"/>
      <c r="J626" s="933"/>
      <c r="K626" s="935"/>
      <c r="L626" s="933"/>
      <c r="M626" s="933"/>
      <c r="N626" s="945"/>
      <c r="O626" s="933"/>
      <c r="P626" s="933"/>
      <c r="Q626" s="933"/>
      <c r="R626" s="933"/>
      <c r="S626" s="933"/>
      <c r="T626" s="933"/>
      <c r="U626" s="933"/>
      <c r="V626" s="933"/>
      <c r="W626" s="933"/>
      <c r="X626" s="933"/>
      <c r="Y626" s="933"/>
      <c r="Z626" s="933"/>
      <c r="AA626" s="933"/>
      <c r="AB626" s="933"/>
      <c r="AC626" s="933"/>
      <c r="AD626" s="933"/>
    </row>
    <row r="627" spans="1:30" ht="12.75">
      <c r="A627" s="933"/>
      <c r="B627" s="933"/>
      <c r="C627" s="933"/>
      <c r="D627" s="933"/>
      <c r="E627" s="933"/>
      <c r="F627" s="933"/>
      <c r="G627" s="933"/>
      <c r="H627" s="933"/>
      <c r="I627" s="933"/>
      <c r="J627" s="933"/>
      <c r="K627" s="935"/>
      <c r="L627" s="933"/>
      <c r="M627" s="933"/>
      <c r="N627" s="945"/>
      <c r="O627" s="933"/>
      <c r="P627" s="933"/>
      <c r="Q627" s="933"/>
      <c r="R627" s="933"/>
      <c r="S627" s="933"/>
      <c r="T627" s="933"/>
      <c r="U627" s="933"/>
      <c r="V627" s="933"/>
      <c r="W627" s="933"/>
      <c r="X627" s="933"/>
      <c r="Y627" s="933"/>
      <c r="Z627" s="933"/>
      <c r="AA627" s="933"/>
      <c r="AB627" s="933"/>
      <c r="AC627" s="933"/>
      <c r="AD627" s="933"/>
    </row>
    <row r="628" spans="1:30" ht="12.75">
      <c r="A628" s="933"/>
      <c r="B628" s="933"/>
      <c r="C628" s="933"/>
      <c r="D628" s="933"/>
      <c r="E628" s="933"/>
      <c r="F628" s="933"/>
      <c r="G628" s="933"/>
      <c r="H628" s="933"/>
      <c r="I628" s="933"/>
      <c r="J628" s="933"/>
      <c r="K628" s="935"/>
      <c r="L628" s="933"/>
      <c r="M628" s="933"/>
      <c r="N628" s="945"/>
      <c r="O628" s="933"/>
      <c r="P628" s="933"/>
      <c r="Q628" s="933"/>
      <c r="R628" s="933"/>
      <c r="S628" s="933"/>
      <c r="T628" s="933"/>
      <c r="U628" s="933"/>
      <c r="V628" s="933"/>
      <c r="W628" s="933"/>
      <c r="X628" s="933"/>
      <c r="Y628" s="933"/>
      <c r="Z628" s="933"/>
      <c r="AA628" s="933"/>
      <c r="AB628" s="933"/>
      <c r="AC628" s="933"/>
      <c r="AD628" s="933"/>
    </row>
    <row r="629" spans="1:30" ht="12.75">
      <c r="A629" s="933"/>
      <c r="B629" s="933"/>
      <c r="C629" s="933"/>
      <c r="D629" s="933"/>
      <c r="E629" s="933"/>
      <c r="F629" s="933"/>
      <c r="G629" s="933"/>
      <c r="H629" s="933"/>
      <c r="I629" s="933"/>
      <c r="J629" s="933"/>
      <c r="K629" s="935"/>
      <c r="L629" s="933"/>
      <c r="M629" s="933"/>
      <c r="N629" s="945"/>
      <c r="O629" s="933"/>
      <c r="P629" s="933"/>
      <c r="Q629" s="933"/>
      <c r="R629" s="933"/>
      <c r="S629" s="933"/>
      <c r="T629" s="933"/>
      <c r="U629" s="933"/>
      <c r="V629" s="933"/>
      <c r="W629" s="933"/>
      <c r="X629" s="933"/>
      <c r="Y629" s="933"/>
      <c r="Z629" s="933"/>
      <c r="AA629" s="933"/>
      <c r="AB629" s="933"/>
      <c r="AC629" s="933"/>
      <c r="AD629" s="933"/>
    </row>
    <row r="630" spans="1:30" ht="12.75">
      <c r="A630" s="933"/>
      <c r="B630" s="933"/>
      <c r="C630" s="933"/>
      <c r="D630" s="933"/>
      <c r="E630" s="933"/>
      <c r="F630" s="933"/>
      <c r="G630" s="933"/>
      <c r="H630" s="933"/>
      <c r="I630" s="933"/>
      <c r="J630" s="933"/>
      <c r="K630" s="935"/>
      <c r="L630" s="933"/>
      <c r="M630" s="933"/>
      <c r="N630" s="945"/>
      <c r="O630" s="933"/>
      <c r="P630" s="933"/>
      <c r="Q630" s="933"/>
      <c r="R630" s="933"/>
      <c r="S630" s="933"/>
      <c r="T630" s="933"/>
      <c r="U630" s="933"/>
      <c r="V630" s="933"/>
      <c r="W630" s="933"/>
      <c r="X630" s="933"/>
      <c r="Y630" s="933"/>
      <c r="Z630" s="933"/>
      <c r="AA630" s="933"/>
      <c r="AB630" s="933"/>
      <c r="AC630" s="933"/>
      <c r="AD630" s="933"/>
    </row>
    <row r="631" spans="1:30" ht="12.75">
      <c r="A631" s="933"/>
      <c r="B631" s="933"/>
      <c r="C631" s="933"/>
      <c r="D631" s="933"/>
      <c r="E631" s="933"/>
      <c r="F631" s="933"/>
      <c r="G631" s="933"/>
      <c r="H631" s="933"/>
      <c r="I631" s="933"/>
      <c r="J631" s="933"/>
      <c r="K631" s="935"/>
      <c r="L631" s="933"/>
      <c r="M631" s="933"/>
      <c r="N631" s="945"/>
      <c r="O631" s="933"/>
      <c r="P631" s="933"/>
      <c r="Q631" s="933"/>
      <c r="R631" s="933"/>
      <c r="S631" s="933"/>
      <c r="T631" s="933"/>
      <c r="U631" s="933"/>
      <c r="V631" s="933"/>
      <c r="W631" s="933"/>
      <c r="X631" s="933"/>
      <c r="Y631" s="933"/>
      <c r="Z631" s="933"/>
      <c r="AA631" s="933"/>
      <c r="AB631" s="933"/>
      <c r="AC631" s="933"/>
      <c r="AD631" s="933"/>
    </row>
    <row r="632" spans="1:30" ht="12.75">
      <c r="A632" s="933"/>
      <c r="B632" s="933"/>
      <c r="C632" s="933"/>
      <c r="D632" s="933"/>
      <c r="E632" s="933"/>
      <c r="F632" s="933"/>
      <c r="G632" s="933"/>
      <c r="H632" s="933"/>
      <c r="I632" s="933"/>
      <c r="J632" s="933"/>
      <c r="K632" s="935"/>
      <c r="L632" s="933"/>
      <c r="M632" s="933"/>
      <c r="N632" s="945"/>
      <c r="O632" s="933"/>
      <c r="P632" s="933"/>
      <c r="Q632" s="933"/>
      <c r="R632" s="933"/>
      <c r="S632" s="933"/>
      <c r="T632" s="933"/>
      <c r="U632" s="933"/>
      <c r="V632" s="933"/>
      <c r="W632" s="933"/>
      <c r="X632" s="933"/>
      <c r="Y632" s="933"/>
      <c r="Z632" s="933"/>
      <c r="AA632" s="933"/>
      <c r="AB632" s="933"/>
      <c r="AC632" s="933"/>
      <c r="AD632" s="933"/>
    </row>
    <row r="633" spans="1:30" ht="12.75">
      <c r="A633" s="933"/>
      <c r="B633" s="933"/>
      <c r="C633" s="933"/>
      <c r="D633" s="933"/>
      <c r="E633" s="933"/>
      <c r="F633" s="933"/>
      <c r="G633" s="933"/>
      <c r="H633" s="933"/>
      <c r="I633" s="933"/>
      <c r="J633" s="933"/>
      <c r="K633" s="935"/>
      <c r="L633" s="933"/>
      <c r="M633" s="933"/>
      <c r="N633" s="945"/>
      <c r="O633" s="933"/>
      <c r="P633" s="933"/>
      <c r="Q633" s="933"/>
      <c r="R633" s="933"/>
      <c r="S633" s="933"/>
      <c r="T633" s="933"/>
      <c r="U633" s="933"/>
      <c r="V633" s="933"/>
      <c r="W633" s="933"/>
      <c r="X633" s="933"/>
      <c r="Y633" s="933"/>
      <c r="Z633" s="933"/>
      <c r="AA633" s="933"/>
      <c r="AB633" s="933"/>
      <c r="AC633" s="933"/>
      <c r="AD633" s="933"/>
    </row>
    <row r="634" spans="1:30" ht="12.75">
      <c r="A634" s="933"/>
      <c r="B634" s="933"/>
      <c r="C634" s="933"/>
      <c r="D634" s="933"/>
      <c r="E634" s="933"/>
      <c r="F634" s="933"/>
      <c r="G634" s="933"/>
      <c r="H634" s="933"/>
      <c r="I634" s="933"/>
      <c r="J634" s="933"/>
      <c r="K634" s="935"/>
      <c r="L634" s="933"/>
      <c r="M634" s="933"/>
      <c r="N634" s="945"/>
      <c r="O634" s="933"/>
      <c r="P634" s="933"/>
      <c r="Q634" s="933"/>
      <c r="R634" s="933"/>
      <c r="S634" s="933"/>
      <c r="T634" s="933"/>
      <c r="U634" s="933"/>
      <c r="V634" s="933"/>
      <c r="W634" s="933"/>
      <c r="X634" s="933"/>
      <c r="Y634" s="933"/>
      <c r="Z634" s="933"/>
      <c r="AA634" s="933"/>
      <c r="AB634" s="933"/>
      <c r="AC634" s="933"/>
      <c r="AD634" s="933"/>
    </row>
    <row r="635" spans="1:30" ht="12.75">
      <c r="A635" s="933"/>
      <c r="B635" s="933"/>
      <c r="C635" s="933"/>
      <c r="D635" s="933"/>
      <c r="E635" s="933"/>
      <c r="F635" s="933"/>
      <c r="G635" s="933"/>
      <c r="H635" s="933"/>
      <c r="I635" s="933"/>
      <c r="J635" s="933"/>
      <c r="K635" s="935"/>
      <c r="L635" s="933"/>
      <c r="M635" s="933"/>
      <c r="N635" s="945"/>
      <c r="O635" s="933"/>
      <c r="P635" s="933"/>
      <c r="Q635" s="933"/>
      <c r="R635" s="933"/>
      <c r="S635" s="933"/>
      <c r="T635" s="933"/>
      <c r="U635" s="933"/>
      <c r="V635" s="933"/>
      <c r="W635" s="933"/>
      <c r="X635" s="933"/>
      <c r="Y635" s="933"/>
      <c r="Z635" s="933"/>
      <c r="AA635" s="933"/>
      <c r="AB635" s="933"/>
      <c r="AC635" s="933"/>
      <c r="AD635" s="933"/>
    </row>
    <row r="636" spans="1:30" ht="12.75">
      <c r="A636" s="933"/>
      <c r="B636" s="933"/>
      <c r="C636" s="933"/>
      <c r="D636" s="933"/>
      <c r="E636" s="933"/>
      <c r="F636" s="933"/>
      <c r="G636" s="933"/>
      <c r="H636" s="933"/>
      <c r="I636" s="933"/>
      <c r="J636" s="933"/>
      <c r="K636" s="935"/>
      <c r="L636" s="933"/>
      <c r="M636" s="933"/>
      <c r="N636" s="945"/>
      <c r="O636" s="933"/>
      <c r="P636" s="933"/>
      <c r="Q636" s="933"/>
      <c r="R636" s="933"/>
      <c r="S636" s="933"/>
      <c r="T636" s="933"/>
      <c r="U636" s="933"/>
      <c r="V636" s="933"/>
      <c r="W636" s="933"/>
      <c r="X636" s="933"/>
      <c r="Y636" s="933"/>
      <c r="Z636" s="933"/>
      <c r="AA636" s="933"/>
      <c r="AB636" s="933"/>
      <c r="AC636" s="933"/>
      <c r="AD636" s="933"/>
    </row>
    <row r="637" spans="1:30" ht="12.75">
      <c r="A637" s="933"/>
      <c r="B637" s="933"/>
      <c r="C637" s="933"/>
      <c r="D637" s="933"/>
      <c r="E637" s="933"/>
      <c r="F637" s="933"/>
      <c r="G637" s="933"/>
      <c r="H637" s="933"/>
      <c r="I637" s="933"/>
      <c r="J637" s="933"/>
      <c r="K637" s="935"/>
      <c r="L637" s="933"/>
      <c r="M637" s="933"/>
      <c r="N637" s="945"/>
      <c r="O637" s="933"/>
      <c r="P637" s="933"/>
      <c r="Q637" s="933"/>
      <c r="R637" s="933"/>
      <c r="S637" s="933"/>
      <c r="T637" s="933"/>
      <c r="U637" s="933"/>
      <c r="V637" s="933"/>
      <c r="W637" s="933"/>
      <c r="X637" s="933"/>
      <c r="Y637" s="933"/>
      <c r="Z637" s="933"/>
      <c r="AA637" s="933"/>
      <c r="AB637" s="933"/>
      <c r="AC637" s="933"/>
      <c r="AD637" s="933"/>
    </row>
    <row r="638" spans="1:30" ht="12.75">
      <c r="A638" s="933"/>
      <c r="B638" s="933"/>
      <c r="C638" s="933"/>
      <c r="D638" s="933"/>
      <c r="E638" s="933"/>
      <c r="F638" s="933"/>
      <c r="G638" s="933"/>
      <c r="H638" s="933"/>
      <c r="I638" s="933"/>
      <c r="J638" s="933"/>
      <c r="K638" s="935"/>
      <c r="L638" s="933"/>
      <c r="M638" s="933"/>
      <c r="N638" s="945"/>
      <c r="O638" s="933"/>
      <c r="P638" s="933"/>
      <c r="Q638" s="933"/>
      <c r="R638" s="933"/>
      <c r="S638" s="933"/>
      <c r="T638" s="933"/>
      <c r="U638" s="933"/>
      <c r="V638" s="933"/>
      <c r="W638" s="933"/>
      <c r="X638" s="933"/>
      <c r="Y638" s="933"/>
      <c r="Z638" s="933"/>
      <c r="AA638" s="933"/>
      <c r="AB638" s="933"/>
      <c r="AC638" s="933"/>
      <c r="AD638" s="933"/>
    </row>
    <row r="639" spans="1:30" ht="12.75">
      <c r="A639" s="933"/>
      <c r="B639" s="933"/>
      <c r="C639" s="933"/>
      <c r="D639" s="933"/>
      <c r="E639" s="933"/>
      <c r="F639" s="933"/>
      <c r="G639" s="933"/>
      <c r="H639" s="933"/>
      <c r="I639" s="933"/>
      <c r="J639" s="933"/>
      <c r="K639" s="935"/>
      <c r="L639" s="933"/>
      <c r="M639" s="933"/>
      <c r="N639" s="945"/>
      <c r="O639" s="933"/>
      <c r="P639" s="933"/>
      <c r="Q639" s="933"/>
      <c r="R639" s="933"/>
      <c r="S639" s="933"/>
      <c r="T639" s="933"/>
      <c r="U639" s="933"/>
      <c r="V639" s="933"/>
      <c r="W639" s="933"/>
      <c r="X639" s="933"/>
      <c r="Y639" s="933"/>
      <c r="Z639" s="933"/>
      <c r="AA639" s="933"/>
      <c r="AB639" s="933"/>
      <c r="AC639" s="933"/>
      <c r="AD639" s="933"/>
    </row>
    <row r="640" spans="1:30" ht="12.75">
      <c r="A640" s="933"/>
      <c r="B640" s="933"/>
      <c r="C640" s="933"/>
      <c r="D640" s="933"/>
      <c r="E640" s="933"/>
      <c r="F640" s="933"/>
      <c r="G640" s="933"/>
      <c r="H640" s="933"/>
      <c r="I640" s="933"/>
      <c r="J640" s="933"/>
      <c r="K640" s="935"/>
      <c r="L640" s="933"/>
      <c r="M640" s="933"/>
      <c r="N640" s="945"/>
      <c r="O640" s="933"/>
      <c r="P640" s="933"/>
      <c r="Q640" s="933"/>
      <c r="R640" s="933"/>
      <c r="S640" s="933"/>
      <c r="T640" s="933"/>
      <c r="U640" s="933"/>
      <c r="V640" s="933"/>
      <c r="W640" s="933"/>
      <c r="X640" s="933"/>
      <c r="Y640" s="933"/>
      <c r="Z640" s="933"/>
      <c r="AA640" s="933"/>
      <c r="AB640" s="933"/>
      <c r="AC640" s="933"/>
      <c r="AD640" s="933"/>
    </row>
    <row r="641" spans="1:30" ht="12.75">
      <c r="A641" s="933"/>
      <c r="B641" s="933"/>
      <c r="C641" s="933"/>
      <c r="D641" s="933"/>
      <c r="E641" s="933"/>
      <c r="F641" s="933"/>
      <c r="G641" s="933"/>
      <c r="H641" s="933"/>
      <c r="I641" s="933"/>
      <c r="J641" s="933"/>
      <c r="K641" s="935"/>
      <c r="L641" s="933"/>
      <c r="M641" s="933"/>
      <c r="N641" s="945"/>
      <c r="O641" s="933"/>
      <c r="P641" s="933"/>
      <c r="Q641" s="933"/>
      <c r="R641" s="933"/>
      <c r="S641" s="933"/>
      <c r="T641" s="933"/>
      <c r="U641" s="933"/>
      <c r="V641" s="933"/>
      <c r="W641" s="933"/>
      <c r="X641" s="933"/>
      <c r="Y641" s="933"/>
      <c r="Z641" s="933"/>
      <c r="AA641" s="933"/>
      <c r="AB641" s="933"/>
      <c r="AC641" s="933"/>
      <c r="AD641" s="933"/>
    </row>
    <row r="642" spans="1:30" ht="12.75">
      <c r="A642" s="933"/>
      <c r="B642" s="933"/>
      <c r="C642" s="933"/>
      <c r="D642" s="933"/>
      <c r="E642" s="933"/>
      <c r="F642" s="933"/>
      <c r="G642" s="933"/>
      <c r="H642" s="933"/>
      <c r="I642" s="933"/>
      <c r="J642" s="933"/>
      <c r="K642" s="935"/>
      <c r="L642" s="933"/>
      <c r="M642" s="933"/>
      <c r="N642" s="945"/>
      <c r="O642" s="933"/>
      <c r="P642" s="933"/>
      <c r="Q642" s="933"/>
      <c r="R642" s="933"/>
      <c r="S642" s="933"/>
      <c r="T642" s="933"/>
      <c r="U642" s="933"/>
      <c r="V642" s="933"/>
      <c r="W642" s="933"/>
      <c r="X642" s="933"/>
      <c r="Y642" s="933"/>
      <c r="Z642" s="933"/>
      <c r="AA642" s="933"/>
      <c r="AB642" s="933"/>
      <c r="AC642" s="933"/>
      <c r="AD642" s="933"/>
    </row>
    <row r="643" spans="1:30" ht="12.75">
      <c r="A643" s="933"/>
      <c r="B643" s="933"/>
      <c r="C643" s="933"/>
      <c r="D643" s="933"/>
      <c r="E643" s="933"/>
      <c r="F643" s="933"/>
      <c r="G643" s="933"/>
      <c r="H643" s="933"/>
      <c r="I643" s="933"/>
      <c r="J643" s="933"/>
      <c r="K643" s="935"/>
      <c r="L643" s="933"/>
      <c r="M643" s="933"/>
      <c r="N643" s="945"/>
      <c r="O643" s="933"/>
      <c r="P643" s="933"/>
      <c r="Q643" s="933"/>
      <c r="R643" s="933"/>
      <c r="S643" s="933"/>
      <c r="T643" s="933"/>
      <c r="U643" s="933"/>
      <c r="V643" s="933"/>
      <c r="W643" s="933"/>
      <c r="X643" s="933"/>
      <c r="Y643" s="933"/>
      <c r="Z643" s="933"/>
      <c r="AA643" s="933"/>
      <c r="AB643" s="933"/>
      <c r="AC643" s="933"/>
      <c r="AD643" s="933"/>
    </row>
    <row r="644" spans="1:30" ht="12.75">
      <c r="A644" s="933"/>
      <c r="B644" s="933"/>
      <c r="C644" s="933"/>
      <c r="D644" s="933"/>
      <c r="E644" s="933"/>
      <c r="F644" s="933"/>
      <c r="G644" s="933"/>
      <c r="H644" s="933"/>
      <c r="I644" s="933"/>
      <c r="J644" s="933"/>
      <c r="K644" s="935"/>
      <c r="L644" s="933"/>
      <c r="M644" s="933"/>
      <c r="N644" s="945"/>
      <c r="O644" s="933"/>
      <c r="P644" s="933"/>
      <c r="Q644" s="933"/>
      <c r="R644" s="933"/>
      <c r="S644" s="933"/>
      <c r="T644" s="933"/>
      <c r="U644" s="933"/>
      <c r="V644" s="933"/>
      <c r="W644" s="933"/>
      <c r="X644" s="933"/>
      <c r="Y644" s="933"/>
      <c r="Z644" s="933"/>
      <c r="AA644" s="933"/>
      <c r="AB644" s="933"/>
      <c r="AC644" s="933"/>
      <c r="AD644" s="933"/>
    </row>
    <row r="645" spans="1:30" ht="12.75">
      <c r="A645" s="933"/>
      <c r="B645" s="933"/>
      <c r="C645" s="933"/>
      <c r="D645" s="933"/>
      <c r="E645" s="933"/>
      <c r="F645" s="933"/>
      <c r="G645" s="933"/>
      <c r="H645" s="933"/>
      <c r="I645" s="933"/>
      <c r="J645" s="933"/>
      <c r="K645" s="935"/>
      <c r="L645" s="933"/>
      <c r="M645" s="933"/>
      <c r="N645" s="945"/>
      <c r="O645" s="933"/>
      <c r="P645" s="933"/>
      <c r="Q645" s="933"/>
      <c r="R645" s="933"/>
      <c r="S645" s="933"/>
      <c r="T645" s="933"/>
      <c r="U645" s="933"/>
      <c r="V645" s="933"/>
      <c r="W645" s="933"/>
      <c r="X645" s="933"/>
      <c r="Y645" s="933"/>
      <c r="Z645" s="933"/>
      <c r="AA645" s="933"/>
      <c r="AB645" s="933"/>
      <c r="AC645" s="933"/>
      <c r="AD645" s="933"/>
    </row>
    <row r="646" spans="1:30" ht="12.75">
      <c r="A646" s="933"/>
      <c r="B646" s="933"/>
      <c r="C646" s="933"/>
      <c r="D646" s="933"/>
      <c r="E646" s="933"/>
      <c r="F646" s="933"/>
      <c r="G646" s="933"/>
      <c r="H646" s="933"/>
      <c r="I646" s="933"/>
      <c r="J646" s="933"/>
      <c r="K646" s="935"/>
      <c r="L646" s="933"/>
      <c r="M646" s="933"/>
      <c r="N646" s="945"/>
      <c r="O646" s="933"/>
      <c r="P646" s="933"/>
      <c r="Q646" s="933"/>
      <c r="R646" s="933"/>
      <c r="S646" s="933"/>
      <c r="T646" s="933"/>
      <c r="U646" s="933"/>
      <c r="V646" s="933"/>
      <c r="W646" s="933"/>
      <c r="X646" s="933"/>
      <c r="Y646" s="933"/>
      <c r="Z646" s="933"/>
      <c r="AA646" s="933"/>
      <c r="AB646" s="933"/>
      <c r="AC646" s="933"/>
      <c r="AD646" s="933"/>
    </row>
    <row r="647" spans="1:30" ht="12.75">
      <c r="A647" s="933"/>
      <c r="B647" s="933"/>
      <c r="C647" s="933"/>
      <c r="D647" s="933"/>
      <c r="E647" s="933"/>
      <c r="F647" s="933"/>
      <c r="G647" s="933"/>
      <c r="H647" s="933"/>
      <c r="I647" s="933"/>
      <c r="J647" s="933"/>
      <c r="K647" s="935"/>
      <c r="L647" s="933"/>
      <c r="M647" s="933"/>
      <c r="N647" s="945"/>
      <c r="O647" s="933"/>
      <c r="P647" s="933"/>
      <c r="Q647" s="933"/>
      <c r="R647" s="933"/>
      <c r="S647" s="933"/>
      <c r="T647" s="933"/>
      <c r="U647" s="933"/>
      <c r="V647" s="933"/>
      <c r="W647" s="933"/>
      <c r="X647" s="933"/>
      <c r="Y647" s="933"/>
      <c r="Z647" s="933"/>
      <c r="AA647" s="933"/>
      <c r="AB647" s="933"/>
      <c r="AC647" s="933"/>
      <c r="AD647" s="933"/>
    </row>
    <row r="648" spans="1:30" ht="12.75">
      <c r="A648" s="933"/>
      <c r="B648" s="933"/>
      <c r="C648" s="933"/>
      <c r="D648" s="933"/>
      <c r="E648" s="933"/>
      <c r="F648" s="933"/>
      <c r="G648" s="933"/>
      <c r="H648" s="933"/>
      <c r="I648" s="933"/>
      <c r="J648" s="933"/>
      <c r="K648" s="935"/>
      <c r="L648" s="933"/>
      <c r="M648" s="933"/>
      <c r="N648" s="945"/>
      <c r="O648" s="933"/>
      <c r="P648" s="933"/>
      <c r="Q648" s="933"/>
      <c r="R648" s="933"/>
      <c r="S648" s="933"/>
      <c r="T648" s="933"/>
      <c r="U648" s="933"/>
      <c r="V648" s="933"/>
      <c r="W648" s="933"/>
      <c r="X648" s="933"/>
      <c r="Y648" s="933"/>
      <c r="Z648" s="933"/>
      <c r="AA648" s="933"/>
      <c r="AB648" s="933"/>
      <c r="AC648" s="933"/>
      <c r="AD648" s="933"/>
    </row>
    <row r="649" spans="1:30" ht="12.75">
      <c r="A649" s="933"/>
      <c r="B649" s="933"/>
      <c r="C649" s="933"/>
      <c r="D649" s="933"/>
      <c r="E649" s="933"/>
      <c r="F649" s="933"/>
      <c r="G649" s="933"/>
      <c r="H649" s="933"/>
      <c r="I649" s="933"/>
      <c r="J649" s="933"/>
      <c r="K649" s="935"/>
      <c r="L649" s="933"/>
      <c r="M649" s="933"/>
      <c r="N649" s="945"/>
      <c r="O649" s="933"/>
      <c r="P649" s="933"/>
      <c r="Q649" s="933"/>
      <c r="R649" s="933"/>
      <c r="S649" s="933"/>
      <c r="T649" s="933"/>
      <c r="U649" s="933"/>
      <c r="V649" s="933"/>
      <c r="W649" s="933"/>
      <c r="X649" s="933"/>
      <c r="Y649" s="933"/>
      <c r="Z649" s="933"/>
      <c r="AA649" s="933"/>
      <c r="AB649" s="933"/>
      <c r="AC649" s="933"/>
      <c r="AD649" s="933"/>
    </row>
    <row r="650" spans="1:30" ht="12.75">
      <c r="A650" s="933"/>
      <c r="B650" s="933"/>
      <c r="C650" s="933"/>
      <c r="D650" s="933"/>
      <c r="E650" s="933"/>
      <c r="F650" s="933"/>
      <c r="G650" s="933"/>
      <c r="H650" s="933"/>
      <c r="I650" s="933"/>
      <c r="J650" s="933"/>
      <c r="K650" s="935"/>
      <c r="L650" s="933"/>
      <c r="M650" s="933"/>
      <c r="N650" s="945"/>
      <c r="O650" s="933"/>
      <c r="P650" s="933"/>
      <c r="Q650" s="933"/>
      <c r="R650" s="933"/>
      <c r="S650" s="933"/>
      <c r="T650" s="933"/>
      <c r="U650" s="933"/>
      <c r="V650" s="933"/>
      <c r="W650" s="933"/>
      <c r="X650" s="933"/>
      <c r="Y650" s="933"/>
      <c r="Z650" s="933"/>
      <c r="AA650" s="933"/>
      <c r="AB650" s="933"/>
      <c r="AC650" s="933"/>
      <c r="AD650" s="933"/>
    </row>
    <row r="651" spans="1:30" ht="12.75">
      <c r="A651" s="933"/>
      <c r="B651" s="933"/>
      <c r="C651" s="933"/>
      <c r="D651" s="933"/>
      <c r="E651" s="933"/>
      <c r="F651" s="933"/>
      <c r="G651" s="933"/>
      <c r="H651" s="933"/>
      <c r="I651" s="933"/>
      <c r="J651" s="933"/>
      <c r="K651" s="935"/>
      <c r="L651" s="933"/>
      <c r="M651" s="933"/>
      <c r="N651" s="945"/>
      <c r="O651" s="933"/>
      <c r="P651" s="933"/>
      <c r="Q651" s="933"/>
      <c r="R651" s="933"/>
      <c r="S651" s="933"/>
      <c r="T651" s="933"/>
      <c r="U651" s="933"/>
      <c r="V651" s="933"/>
      <c r="W651" s="933"/>
      <c r="X651" s="933"/>
      <c r="Y651" s="933"/>
      <c r="Z651" s="933"/>
      <c r="AA651" s="933"/>
      <c r="AB651" s="933"/>
      <c r="AC651" s="933"/>
      <c r="AD651" s="933"/>
    </row>
    <row r="652" spans="1:30" ht="12.75">
      <c r="A652" s="933"/>
      <c r="B652" s="933"/>
      <c r="C652" s="933"/>
      <c r="D652" s="933"/>
      <c r="E652" s="933"/>
      <c r="F652" s="933"/>
      <c r="G652" s="933"/>
      <c r="H652" s="933"/>
      <c r="I652" s="933"/>
      <c r="J652" s="933"/>
      <c r="K652" s="935"/>
      <c r="L652" s="933"/>
      <c r="M652" s="933"/>
      <c r="N652" s="945"/>
      <c r="O652" s="933"/>
      <c r="P652" s="933"/>
      <c r="Q652" s="933"/>
      <c r="R652" s="933"/>
      <c r="S652" s="933"/>
      <c r="T652" s="933"/>
      <c r="U652" s="933"/>
      <c r="V652" s="933"/>
      <c r="W652" s="933"/>
      <c r="X652" s="933"/>
      <c r="Y652" s="933"/>
      <c r="Z652" s="933"/>
      <c r="AA652" s="933"/>
      <c r="AB652" s="933"/>
      <c r="AC652" s="933"/>
      <c r="AD652" s="933"/>
    </row>
    <row r="653" spans="1:30" ht="12.75">
      <c r="A653" s="933"/>
      <c r="B653" s="933"/>
      <c r="C653" s="933"/>
      <c r="D653" s="933"/>
      <c r="E653" s="933"/>
      <c r="F653" s="933"/>
      <c r="G653" s="933"/>
      <c r="H653" s="933"/>
      <c r="I653" s="933"/>
      <c r="J653" s="933"/>
      <c r="K653" s="935"/>
      <c r="L653" s="933"/>
      <c r="M653" s="933"/>
      <c r="N653" s="945"/>
      <c r="O653" s="933"/>
      <c r="P653" s="933"/>
      <c r="Q653" s="933"/>
      <c r="R653" s="933"/>
      <c r="S653" s="933"/>
      <c r="T653" s="933"/>
      <c r="U653" s="933"/>
      <c r="V653" s="933"/>
      <c r="W653" s="933"/>
      <c r="X653" s="933"/>
      <c r="Y653" s="933"/>
      <c r="Z653" s="933"/>
      <c r="AA653" s="933"/>
      <c r="AB653" s="933"/>
      <c r="AC653" s="933"/>
      <c r="AD653" s="933"/>
    </row>
    <row r="654" spans="1:30" ht="12.75">
      <c r="A654" s="933"/>
      <c r="B654" s="933"/>
      <c r="C654" s="933"/>
      <c r="D654" s="933"/>
      <c r="E654" s="933"/>
      <c r="F654" s="933"/>
      <c r="G654" s="933"/>
      <c r="H654" s="933"/>
      <c r="I654" s="933"/>
      <c r="J654" s="933"/>
      <c r="K654" s="935"/>
      <c r="L654" s="933"/>
      <c r="M654" s="933"/>
      <c r="N654" s="945"/>
      <c r="O654" s="933"/>
      <c r="P654" s="933"/>
      <c r="Q654" s="933"/>
      <c r="R654" s="933"/>
      <c r="S654" s="933"/>
      <c r="T654" s="933"/>
      <c r="U654" s="933"/>
      <c r="V654" s="933"/>
      <c r="W654" s="933"/>
      <c r="X654" s="933"/>
      <c r="Y654" s="933"/>
      <c r="Z654" s="933"/>
      <c r="AA654" s="933"/>
      <c r="AB654" s="933"/>
      <c r="AC654" s="933"/>
      <c r="AD654" s="933"/>
    </row>
    <row r="655" spans="1:30" ht="12.75">
      <c r="A655" s="933"/>
      <c r="B655" s="933"/>
      <c r="C655" s="933"/>
      <c r="D655" s="933"/>
      <c r="E655" s="933"/>
      <c r="F655" s="933"/>
      <c r="G655" s="933"/>
      <c r="H655" s="933"/>
      <c r="I655" s="933"/>
      <c r="J655" s="933"/>
      <c r="K655" s="935"/>
      <c r="L655" s="933"/>
      <c r="M655" s="933"/>
      <c r="N655" s="945"/>
      <c r="O655" s="933"/>
      <c r="P655" s="933"/>
      <c r="Q655" s="933"/>
      <c r="R655" s="933"/>
      <c r="S655" s="933"/>
      <c r="T655" s="933"/>
      <c r="U655" s="933"/>
      <c r="V655" s="933"/>
      <c r="W655" s="933"/>
      <c r="X655" s="933"/>
      <c r="Y655" s="933"/>
      <c r="Z655" s="933"/>
      <c r="AA655" s="933"/>
      <c r="AB655" s="933"/>
      <c r="AC655" s="933"/>
      <c r="AD655" s="933"/>
    </row>
    <row r="656" spans="1:30" ht="12.75">
      <c r="A656" s="933"/>
      <c r="B656" s="933"/>
      <c r="C656" s="933"/>
      <c r="D656" s="933"/>
      <c r="E656" s="933"/>
      <c r="F656" s="933"/>
      <c r="G656" s="933"/>
      <c r="H656" s="933"/>
      <c r="I656" s="933"/>
      <c r="J656" s="933"/>
      <c r="K656" s="935"/>
      <c r="L656" s="933"/>
      <c r="M656" s="933"/>
      <c r="N656" s="945"/>
      <c r="O656" s="933"/>
      <c r="P656" s="933"/>
      <c r="Q656" s="933"/>
      <c r="R656" s="933"/>
      <c r="S656" s="933"/>
      <c r="T656" s="933"/>
      <c r="U656" s="933"/>
      <c r="V656" s="933"/>
      <c r="W656" s="933"/>
      <c r="X656" s="933"/>
      <c r="Y656" s="933"/>
      <c r="Z656" s="933"/>
      <c r="AA656" s="933"/>
      <c r="AB656" s="933"/>
      <c r="AC656" s="933"/>
      <c r="AD656" s="933"/>
    </row>
    <row r="657" spans="1:30" ht="12.75">
      <c r="A657" s="933"/>
      <c r="B657" s="933"/>
      <c r="C657" s="933"/>
      <c r="D657" s="933"/>
      <c r="E657" s="933"/>
      <c r="F657" s="933"/>
      <c r="G657" s="933"/>
      <c r="H657" s="933"/>
      <c r="I657" s="933"/>
      <c r="J657" s="933"/>
      <c r="K657" s="935"/>
      <c r="L657" s="933"/>
      <c r="M657" s="933"/>
      <c r="N657" s="945"/>
      <c r="O657" s="933"/>
      <c r="P657" s="933"/>
      <c r="Q657" s="933"/>
      <c r="R657" s="933"/>
      <c r="S657" s="933"/>
      <c r="T657" s="933"/>
      <c r="U657" s="933"/>
      <c r="V657" s="933"/>
      <c r="W657" s="933"/>
      <c r="X657" s="933"/>
      <c r="Y657" s="933"/>
      <c r="Z657" s="933"/>
      <c r="AA657" s="933"/>
      <c r="AB657" s="933"/>
      <c r="AC657" s="933"/>
      <c r="AD657" s="933"/>
    </row>
    <row r="658" spans="1:30" ht="12.75">
      <c r="A658" s="933"/>
      <c r="B658" s="933"/>
      <c r="C658" s="933"/>
      <c r="D658" s="933"/>
      <c r="E658" s="933"/>
      <c r="F658" s="933"/>
      <c r="G658" s="933"/>
      <c r="H658" s="933"/>
      <c r="I658" s="933"/>
      <c r="J658" s="933"/>
      <c r="K658" s="935"/>
      <c r="L658" s="933"/>
      <c r="M658" s="933"/>
      <c r="N658" s="945"/>
      <c r="O658" s="933"/>
      <c r="P658" s="933"/>
      <c r="Q658" s="933"/>
      <c r="R658" s="933"/>
      <c r="S658" s="933"/>
      <c r="T658" s="933"/>
      <c r="U658" s="933"/>
      <c r="V658" s="933"/>
      <c r="W658" s="933"/>
      <c r="X658" s="933"/>
      <c r="Y658" s="933"/>
      <c r="Z658" s="933"/>
      <c r="AA658" s="933"/>
      <c r="AB658" s="933"/>
      <c r="AC658" s="933"/>
      <c r="AD658" s="933"/>
    </row>
    <row r="659" spans="1:30" ht="12.75">
      <c r="A659" s="933"/>
      <c r="B659" s="933"/>
      <c r="C659" s="933"/>
      <c r="D659" s="933"/>
      <c r="E659" s="933"/>
      <c r="F659" s="933"/>
      <c r="G659" s="933"/>
      <c r="H659" s="933"/>
      <c r="I659" s="933"/>
      <c r="J659" s="933"/>
      <c r="K659" s="935"/>
      <c r="L659" s="933"/>
      <c r="M659" s="933"/>
      <c r="N659" s="945"/>
      <c r="O659" s="933"/>
      <c r="P659" s="933"/>
      <c r="Q659" s="933"/>
      <c r="R659" s="933"/>
      <c r="S659" s="933"/>
      <c r="T659" s="933"/>
      <c r="U659" s="933"/>
      <c r="V659" s="933"/>
      <c r="W659" s="933"/>
      <c r="X659" s="933"/>
      <c r="Y659" s="933"/>
      <c r="Z659" s="933"/>
      <c r="AA659" s="933"/>
      <c r="AB659" s="933"/>
      <c r="AC659" s="933"/>
      <c r="AD659" s="933"/>
    </row>
    <row r="660" spans="1:30" ht="12.75">
      <c r="A660" s="933"/>
      <c r="B660" s="933"/>
      <c r="C660" s="933"/>
      <c r="D660" s="933"/>
      <c r="E660" s="933"/>
      <c r="F660" s="933"/>
      <c r="G660" s="933"/>
      <c r="H660" s="933"/>
      <c r="I660" s="933"/>
      <c r="J660" s="933"/>
      <c r="K660" s="935"/>
      <c r="L660" s="933"/>
      <c r="M660" s="933"/>
      <c r="N660" s="945"/>
      <c r="O660" s="933"/>
      <c r="P660" s="933"/>
      <c r="Q660" s="933"/>
      <c r="R660" s="933"/>
      <c r="S660" s="933"/>
      <c r="T660" s="933"/>
      <c r="U660" s="933"/>
      <c r="V660" s="933"/>
      <c r="W660" s="933"/>
      <c r="X660" s="933"/>
      <c r="Y660" s="933"/>
      <c r="Z660" s="933"/>
      <c r="AA660" s="933"/>
      <c r="AB660" s="933"/>
      <c r="AC660" s="933"/>
      <c r="AD660" s="933"/>
    </row>
    <row r="661" spans="1:30" ht="12.75">
      <c r="A661" s="933"/>
      <c r="B661" s="933"/>
      <c r="C661" s="933"/>
      <c r="D661" s="933"/>
      <c r="E661" s="933"/>
      <c r="F661" s="933"/>
      <c r="G661" s="933"/>
      <c r="H661" s="933"/>
      <c r="I661" s="933"/>
      <c r="J661" s="933"/>
      <c r="K661" s="935"/>
      <c r="L661" s="933"/>
      <c r="M661" s="933"/>
      <c r="N661" s="945"/>
      <c r="O661" s="933"/>
      <c r="P661" s="933"/>
      <c r="Q661" s="933"/>
      <c r="R661" s="933"/>
      <c r="S661" s="933"/>
      <c r="T661" s="933"/>
      <c r="U661" s="933"/>
      <c r="V661" s="933"/>
      <c r="W661" s="933"/>
      <c r="X661" s="933"/>
      <c r="Y661" s="933"/>
      <c r="Z661" s="933"/>
      <c r="AA661" s="933"/>
      <c r="AB661" s="933"/>
      <c r="AC661" s="933"/>
      <c r="AD661" s="933"/>
    </row>
    <row r="662" spans="1:30" ht="12.75">
      <c r="A662" s="933"/>
      <c r="B662" s="933"/>
      <c r="C662" s="933"/>
      <c r="D662" s="933"/>
      <c r="E662" s="933"/>
      <c r="F662" s="933"/>
      <c r="G662" s="933"/>
      <c r="H662" s="933"/>
      <c r="I662" s="933"/>
      <c r="J662" s="933"/>
      <c r="K662" s="935"/>
      <c r="L662" s="933"/>
      <c r="M662" s="933"/>
      <c r="N662" s="945"/>
      <c r="O662" s="933"/>
      <c r="P662" s="933"/>
      <c r="Q662" s="933"/>
      <c r="R662" s="933"/>
      <c r="S662" s="933"/>
      <c r="T662" s="933"/>
      <c r="U662" s="933"/>
      <c r="V662" s="933"/>
      <c r="W662" s="933"/>
      <c r="X662" s="933"/>
      <c r="Y662" s="933"/>
      <c r="Z662" s="933"/>
      <c r="AA662" s="933"/>
      <c r="AB662" s="933"/>
      <c r="AC662" s="933"/>
      <c r="AD662" s="933"/>
    </row>
    <row r="663" spans="1:30" ht="12.75">
      <c r="A663" s="933"/>
      <c r="B663" s="933"/>
      <c r="C663" s="933"/>
      <c r="D663" s="933"/>
      <c r="E663" s="933"/>
      <c r="F663" s="933"/>
      <c r="G663" s="933"/>
      <c r="H663" s="933"/>
      <c r="I663" s="933"/>
      <c r="J663" s="933"/>
      <c r="K663" s="935"/>
      <c r="L663" s="933"/>
      <c r="M663" s="933"/>
      <c r="N663" s="945"/>
      <c r="O663" s="933"/>
      <c r="P663" s="933"/>
      <c r="Q663" s="933"/>
      <c r="R663" s="933"/>
      <c r="S663" s="933"/>
      <c r="T663" s="933"/>
      <c r="U663" s="933"/>
      <c r="V663" s="933"/>
      <c r="W663" s="933"/>
      <c r="X663" s="933"/>
      <c r="Y663" s="933"/>
      <c r="Z663" s="933"/>
      <c r="AA663" s="933"/>
      <c r="AB663" s="933"/>
      <c r="AC663" s="933"/>
      <c r="AD663" s="933"/>
    </row>
    <row r="664" spans="1:30" ht="12.75">
      <c r="A664" s="933"/>
      <c r="B664" s="933"/>
      <c r="C664" s="933"/>
      <c r="D664" s="933"/>
      <c r="E664" s="933"/>
      <c r="F664" s="933"/>
      <c r="G664" s="933"/>
      <c r="H664" s="933"/>
      <c r="I664" s="933"/>
      <c r="J664" s="933"/>
      <c r="K664" s="935"/>
      <c r="L664" s="933"/>
      <c r="M664" s="933"/>
      <c r="N664" s="945"/>
      <c r="O664" s="933"/>
      <c r="P664" s="933"/>
      <c r="Q664" s="933"/>
      <c r="R664" s="933"/>
      <c r="S664" s="933"/>
      <c r="T664" s="933"/>
      <c r="U664" s="933"/>
      <c r="V664" s="933"/>
      <c r="W664" s="933"/>
      <c r="X664" s="933"/>
      <c r="Y664" s="933"/>
      <c r="Z664" s="933"/>
      <c r="AA664" s="933"/>
      <c r="AB664" s="933"/>
      <c r="AC664" s="933"/>
      <c r="AD664" s="933"/>
    </row>
    <row r="665" spans="1:30" ht="12.75">
      <c r="A665" s="933"/>
      <c r="B665" s="933"/>
      <c r="C665" s="933"/>
      <c r="D665" s="933"/>
      <c r="E665" s="933"/>
      <c r="F665" s="933"/>
      <c r="G665" s="933"/>
      <c r="H665" s="933"/>
      <c r="I665" s="933"/>
      <c r="J665" s="933"/>
      <c r="K665" s="935"/>
      <c r="L665" s="933"/>
      <c r="M665" s="933"/>
      <c r="N665" s="945"/>
      <c r="O665" s="933"/>
      <c r="P665" s="933"/>
      <c r="Q665" s="933"/>
      <c r="R665" s="933"/>
      <c r="S665" s="933"/>
      <c r="T665" s="933"/>
      <c r="U665" s="933"/>
      <c r="V665" s="933"/>
      <c r="W665" s="933"/>
      <c r="X665" s="933"/>
      <c r="Y665" s="933"/>
      <c r="Z665" s="933"/>
      <c r="AA665" s="933"/>
      <c r="AB665" s="933"/>
      <c r="AC665" s="933"/>
      <c r="AD665" s="933"/>
    </row>
    <row r="666" spans="1:30" ht="12.75">
      <c r="A666" s="933"/>
      <c r="B666" s="933"/>
      <c r="C666" s="933"/>
      <c r="D666" s="933"/>
      <c r="E666" s="933"/>
      <c r="F666" s="933"/>
      <c r="G666" s="933"/>
      <c r="H666" s="933"/>
      <c r="I666" s="933"/>
      <c r="J666" s="933"/>
      <c r="K666" s="935"/>
      <c r="L666" s="933"/>
      <c r="M666" s="933"/>
      <c r="N666" s="945"/>
      <c r="O666" s="933"/>
      <c r="P666" s="933"/>
      <c r="Q666" s="933"/>
      <c r="R666" s="933"/>
      <c r="S666" s="933"/>
      <c r="T666" s="933"/>
      <c r="U666" s="933"/>
      <c r="V666" s="933"/>
      <c r="W666" s="933"/>
      <c r="X666" s="933"/>
      <c r="Y666" s="933"/>
      <c r="Z666" s="933"/>
      <c r="AA666" s="933"/>
      <c r="AB666" s="933"/>
      <c r="AC666" s="933"/>
      <c r="AD666" s="933"/>
    </row>
    <row r="667" spans="1:30" ht="12.75">
      <c r="A667" s="933"/>
      <c r="B667" s="933"/>
      <c r="C667" s="933"/>
      <c r="D667" s="933"/>
      <c r="E667" s="933"/>
      <c r="F667" s="933"/>
      <c r="G667" s="933"/>
      <c r="H667" s="933"/>
      <c r="I667" s="933"/>
      <c r="J667" s="933"/>
      <c r="K667" s="935"/>
      <c r="L667" s="933"/>
      <c r="M667" s="933"/>
      <c r="N667" s="945"/>
      <c r="O667" s="933"/>
      <c r="P667" s="933"/>
      <c r="Q667" s="933"/>
      <c r="R667" s="933"/>
      <c r="S667" s="933"/>
      <c r="T667" s="933"/>
      <c r="U667" s="933"/>
      <c r="V667" s="933"/>
      <c r="W667" s="933"/>
      <c r="X667" s="933"/>
      <c r="Y667" s="933"/>
      <c r="Z667" s="933"/>
      <c r="AA667" s="933"/>
      <c r="AB667" s="933"/>
      <c r="AC667" s="933"/>
      <c r="AD667" s="933"/>
    </row>
    <row r="668" spans="1:30" ht="12.75">
      <c r="A668" s="933"/>
      <c r="B668" s="933"/>
      <c r="C668" s="933"/>
      <c r="D668" s="933"/>
      <c r="E668" s="933"/>
      <c r="F668" s="933"/>
      <c r="G668" s="933"/>
      <c r="H668" s="933"/>
      <c r="I668" s="933"/>
      <c r="J668" s="933"/>
      <c r="K668" s="935"/>
      <c r="L668" s="933"/>
      <c r="M668" s="933"/>
      <c r="N668" s="945"/>
      <c r="O668" s="933"/>
      <c r="P668" s="933"/>
      <c r="Q668" s="933"/>
      <c r="R668" s="933"/>
      <c r="S668" s="933"/>
      <c r="T668" s="933"/>
      <c r="U668" s="933"/>
      <c r="V668" s="933"/>
      <c r="W668" s="933"/>
      <c r="X668" s="933"/>
      <c r="Y668" s="933"/>
      <c r="Z668" s="933"/>
      <c r="AA668" s="933"/>
      <c r="AB668" s="933"/>
      <c r="AC668" s="933"/>
      <c r="AD668" s="933"/>
    </row>
    <row r="669" spans="1:30" ht="12.75">
      <c r="A669" s="933"/>
      <c r="B669" s="933"/>
      <c r="C669" s="933"/>
      <c r="D669" s="933"/>
      <c r="E669" s="933"/>
      <c r="F669" s="933"/>
      <c r="G669" s="933"/>
      <c r="H669" s="933"/>
      <c r="I669" s="933"/>
      <c r="J669" s="933"/>
      <c r="K669" s="935"/>
      <c r="L669" s="933"/>
      <c r="M669" s="933"/>
      <c r="N669" s="945"/>
      <c r="O669" s="933"/>
      <c r="P669" s="933"/>
      <c r="Q669" s="933"/>
      <c r="R669" s="933"/>
      <c r="S669" s="933"/>
      <c r="T669" s="933"/>
      <c r="U669" s="933"/>
      <c r="V669" s="933"/>
      <c r="W669" s="933"/>
      <c r="X669" s="933"/>
      <c r="Y669" s="933"/>
      <c r="Z669" s="933"/>
      <c r="AA669" s="933"/>
      <c r="AB669" s="933"/>
      <c r="AC669" s="933"/>
      <c r="AD669" s="933"/>
    </row>
    <row r="670" spans="1:30" ht="12.75">
      <c r="A670" s="933"/>
      <c r="B670" s="933"/>
      <c r="C670" s="933"/>
      <c r="D670" s="933"/>
      <c r="E670" s="933"/>
      <c r="F670" s="933"/>
      <c r="G670" s="933"/>
      <c r="H670" s="933"/>
      <c r="I670" s="933"/>
      <c r="J670" s="933"/>
      <c r="K670" s="935"/>
      <c r="L670" s="933"/>
      <c r="M670" s="933"/>
      <c r="N670" s="945"/>
      <c r="O670" s="933"/>
      <c r="P670" s="933"/>
      <c r="Q670" s="933"/>
      <c r="R670" s="933"/>
      <c r="S670" s="933"/>
      <c r="T670" s="933"/>
      <c r="U670" s="933"/>
      <c r="V670" s="933"/>
      <c r="W670" s="933"/>
      <c r="X670" s="933"/>
      <c r="Y670" s="933"/>
      <c r="Z670" s="933"/>
      <c r="AA670" s="933"/>
      <c r="AB670" s="933"/>
      <c r="AC670" s="933"/>
      <c r="AD670" s="933"/>
    </row>
    <row r="671" spans="1:30" ht="12.75">
      <c r="A671" s="933"/>
      <c r="B671" s="933"/>
      <c r="C671" s="933"/>
      <c r="D671" s="933"/>
      <c r="E671" s="933"/>
      <c r="F671" s="933"/>
      <c r="G671" s="933"/>
      <c r="H671" s="933"/>
      <c r="I671" s="933"/>
      <c r="J671" s="933"/>
      <c r="K671" s="935"/>
      <c r="L671" s="933"/>
      <c r="M671" s="933"/>
      <c r="N671" s="945"/>
      <c r="O671" s="933"/>
      <c r="P671" s="933"/>
      <c r="Q671" s="933"/>
      <c r="R671" s="933"/>
      <c r="S671" s="933"/>
      <c r="T671" s="933"/>
      <c r="U671" s="933"/>
      <c r="V671" s="933"/>
      <c r="W671" s="933"/>
      <c r="X671" s="933"/>
      <c r="Y671" s="933"/>
      <c r="Z671" s="933"/>
      <c r="AA671" s="933"/>
      <c r="AB671" s="933"/>
      <c r="AC671" s="933"/>
      <c r="AD671" s="933"/>
    </row>
    <row r="672" spans="1:30" ht="12.75">
      <c r="A672" s="933"/>
      <c r="B672" s="933"/>
      <c r="C672" s="933"/>
      <c r="D672" s="933"/>
      <c r="E672" s="933"/>
      <c r="F672" s="933"/>
      <c r="G672" s="933"/>
      <c r="H672" s="933"/>
      <c r="I672" s="933"/>
      <c r="J672" s="933"/>
      <c r="K672" s="935"/>
      <c r="L672" s="933"/>
      <c r="M672" s="933"/>
      <c r="N672" s="945"/>
      <c r="O672" s="933"/>
      <c r="P672" s="933"/>
      <c r="Q672" s="933"/>
      <c r="R672" s="933"/>
      <c r="S672" s="933"/>
      <c r="T672" s="933"/>
      <c r="U672" s="933"/>
      <c r="V672" s="933"/>
      <c r="W672" s="933"/>
      <c r="X672" s="933"/>
      <c r="Y672" s="933"/>
      <c r="Z672" s="933"/>
      <c r="AA672" s="933"/>
      <c r="AB672" s="933"/>
      <c r="AC672" s="933"/>
      <c r="AD672" s="933"/>
    </row>
    <row r="673" spans="1:30" ht="12.75">
      <c r="A673" s="933"/>
      <c r="B673" s="933"/>
      <c r="C673" s="933"/>
      <c r="D673" s="933"/>
      <c r="E673" s="933"/>
      <c r="F673" s="933"/>
      <c r="G673" s="933"/>
      <c r="H673" s="933"/>
      <c r="I673" s="933"/>
      <c r="J673" s="933"/>
      <c r="K673" s="935"/>
      <c r="L673" s="933"/>
      <c r="M673" s="933"/>
      <c r="N673" s="945"/>
      <c r="O673" s="933"/>
      <c r="P673" s="933"/>
      <c r="Q673" s="933"/>
      <c r="R673" s="933"/>
      <c r="S673" s="933"/>
      <c r="T673" s="933"/>
      <c r="U673" s="933"/>
      <c r="V673" s="933"/>
      <c r="W673" s="933"/>
      <c r="X673" s="933"/>
      <c r="Y673" s="933"/>
      <c r="Z673" s="933"/>
      <c r="AA673" s="933"/>
      <c r="AB673" s="933"/>
      <c r="AC673" s="933"/>
      <c r="AD673" s="933"/>
    </row>
    <row r="674" spans="1:30" ht="12.75">
      <c r="A674" s="933"/>
      <c r="B674" s="933"/>
      <c r="C674" s="933"/>
      <c r="D674" s="933"/>
      <c r="E674" s="933"/>
      <c r="F674" s="933"/>
      <c r="G674" s="933"/>
      <c r="H674" s="933"/>
      <c r="I674" s="933"/>
      <c r="J674" s="933"/>
      <c r="K674" s="935"/>
      <c r="L674" s="933"/>
      <c r="M674" s="933"/>
      <c r="N674" s="945"/>
      <c r="O674" s="933"/>
      <c r="P674" s="933"/>
      <c r="Q674" s="933"/>
      <c r="R674" s="933"/>
      <c r="S674" s="933"/>
      <c r="T674" s="933"/>
      <c r="U674" s="933"/>
      <c r="V674" s="933"/>
      <c r="W674" s="933"/>
      <c r="X674" s="933"/>
      <c r="Y674" s="933"/>
      <c r="Z674" s="933"/>
      <c r="AA674" s="933"/>
      <c r="AB674" s="933"/>
      <c r="AC674" s="933"/>
      <c r="AD674" s="933"/>
    </row>
    <row r="675" spans="1:30" ht="12.75">
      <c r="A675" s="933"/>
      <c r="B675" s="933"/>
      <c r="C675" s="933"/>
      <c r="D675" s="933"/>
      <c r="E675" s="933"/>
      <c r="F675" s="933"/>
      <c r="G675" s="933"/>
      <c r="H675" s="933"/>
      <c r="I675" s="933"/>
      <c r="J675" s="933"/>
      <c r="K675" s="935"/>
      <c r="L675" s="933"/>
      <c r="M675" s="933"/>
      <c r="N675" s="945"/>
      <c r="O675" s="933"/>
      <c r="P675" s="933"/>
      <c r="Q675" s="933"/>
      <c r="R675" s="933"/>
      <c r="S675" s="933"/>
      <c r="T675" s="933"/>
      <c r="U675" s="933"/>
      <c r="V675" s="933"/>
      <c r="W675" s="933"/>
      <c r="X675" s="933"/>
      <c r="Y675" s="933"/>
      <c r="Z675" s="933"/>
      <c r="AA675" s="933"/>
      <c r="AB675" s="933"/>
      <c r="AC675" s="933"/>
      <c r="AD675" s="933"/>
    </row>
    <row r="676" spans="1:30" ht="12.75">
      <c r="A676" s="933"/>
      <c r="B676" s="933"/>
      <c r="C676" s="933"/>
      <c r="D676" s="933"/>
      <c r="E676" s="933"/>
      <c r="F676" s="933"/>
      <c r="G676" s="933"/>
      <c r="H676" s="933"/>
      <c r="I676" s="933"/>
      <c r="J676" s="933"/>
      <c r="K676" s="935"/>
      <c r="L676" s="933"/>
      <c r="M676" s="933"/>
      <c r="N676" s="945"/>
      <c r="O676" s="933"/>
      <c r="P676" s="933"/>
      <c r="Q676" s="933"/>
      <c r="R676" s="933"/>
      <c r="S676" s="933"/>
      <c r="T676" s="933"/>
      <c r="U676" s="933"/>
      <c r="V676" s="933"/>
      <c r="W676" s="933"/>
      <c r="X676" s="933"/>
      <c r="Y676" s="933"/>
      <c r="Z676" s="933"/>
      <c r="AA676" s="933"/>
      <c r="AB676" s="933"/>
      <c r="AC676" s="933"/>
      <c r="AD676" s="933"/>
    </row>
    <row r="677" spans="1:30" ht="12.75">
      <c r="A677" s="933"/>
      <c r="B677" s="933"/>
      <c r="C677" s="933"/>
      <c r="D677" s="933"/>
      <c r="E677" s="933"/>
      <c r="F677" s="933"/>
      <c r="G677" s="933"/>
      <c r="H677" s="933"/>
      <c r="I677" s="933"/>
      <c r="J677" s="933"/>
      <c r="K677" s="935"/>
      <c r="L677" s="933"/>
      <c r="M677" s="933"/>
      <c r="N677" s="945"/>
      <c r="O677" s="933"/>
      <c r="P677" s="933"/>
      <c r="Q677" s="933"/>
      <c r="R677" s="933"/>
      <c r="S677" s="933"/>
      <c r="T677" s="933"/>
      <c r="U677" s="933"/>
      <c r="V677" s="933"/>
      <c r="W677" s="933"/>
      <c r="X677" s="933"/>
      <c r="Y677" s="933"/>
      <c r="Z677" s="933"/>
      <c r="AA677" s="933"/>
      <c r="AB677" s="933"/>
      <c r="AC677" s="933"/>
      <c r="AD677" s="933"/>
    </row>
    <row r="678" spans="1:30" ht="12.75">
      <c r="A678" s="933"/>
      <c r="B678" s="933"/>
      <c r="C678" s="933"/>
      <c r="D678" s="933"/>
      <c r="E678" s="933"/>
      <c r="F678" s="933"/>
      <c r="G678" s="933"/>
      <c r="H678" s="933"/>
      <c r="I678" s="933"/>
      <c r="J678" s="933"/>
      <c r="K678" s="935"/>
      <c r="L678" s="933"/>
      <c r="M678" s="933"/>
      <c r="N678" s="945"/>
      <c r="O678" s="933"/>
      <c r="P678" s="933"/>
      <c r="Q678" s="933"/>
      <c r="R678" s="933"/>
      <c r="S678" s="933"/>
      <c r="T678" s="933"/>
      <c r="U678" s="933"/>
      <c r="V678" s="933"/>
      <c r="W678" s="933"/>
      <c r="X678" s="933"/>
      <c r="Y678" s="933"/>
      <c r="Z678" s="933"/>
      <c r="AA678" s="933"/>
      <c r="AB678" s="933"/>
      <c r="AC678" s="933"/>
      <c r="AD678" s="933"/>
    </row>
    <row r="679" spans="1:30" ht="12.75">
      <c r="A679" s="933"/>
      <c r="B679" s="933"/>
      <c r="C679" s="933"/>
      <c r="D679" s="933"/>
      <c r="E679" s="933"/>
      <c r="F679" s="933"/>
      <c r="G679" s="933"/>
      <c r="H679" s="933"/>
      <c r="I679" s="933"/>
      <c r="J679" s="933"/>
      <c r="K679" s="935"/>
      <c r="L679" s="933"/>
      <c r="M679" s="933"/>
      <c r="N679" s="945"/>
      <c r="O679" s="933"/>
      <c r="P679" s="933"/>
      <c r="Q679" s="933"/>
      <c r="R679" s="933"/>
      <c r="S679" s="933"/>
      <c r="T679" s="933"/>
      <c r="U679" s="933"/>
      <c r="V679" s="933"/>
      <c r="W679" s="933"/>
      <c r="X679" s="933"/>
      <c r="Y679" s="933"/>
      <c r="Z679" s="933"/>
      <c r="AA679" s="933"/>
      <c r="AB679" s="933"/>
      <c r="AC679" s="933"/>
      <c r="AD679" s="933"/>
    </row>
    <row r="680" spans="1:30" ht="12.75">
      <c r="A680" s="933"/>
      <c r="B680" s="933"/>
      <c r="C680" s="933"/>
      <c r="D680" s="933"/>
      <c r="E680" s="933"/>
      <c r="F680" s="933"/>
      <c r="G680" s="933"/>
      <c r="H680" s="933"/>
      <c r="I680" s="933"/>
      <c r="J680" s="933"/>
      <c r="K680" s="935"/>
      <c r="L680" s="933"/>
      <c r="M680" s="933"/>
      <c r="N680" s="945"/>
      <c r="O680" s="933"/>
      <c r="P680" s="933"/>
      <c r="Q680" s="933"/>
      <c r="R680" s="933"/>
      <c r="S680" s="933"/>
      <c r="T680" s="933"/>
      <c r="U680" s="933"/>
      <c r="V680" s="933"/>
      <c r="W680" s="933"/>
      <c r="X680" s="933"/>
      <c r="Y680" s="933"/>
      <c r="Z680" s="933"/>
      <c r="AA680" s="933"/>
      <c r="AB680" s="933"/>
      <c r="AC680" s="933"/>
      <c r="AD680" s="933"/>
    </row>
    <row r="681" spans="1:30" ht="12.75">
      <c r="A681" s="933"/>
      <c r="B681" s="933"/>
      <c r="C681" s="933"/>
      <c r="D681" s="933"/>
      <c r="E681" s="933"/>
      <c r="F681" s="933"/>
      <c r="G681" s="933"/>
      <c r="H681" s="933"/>
      <c r="I681" s="933"/>
      <c r="J681" s="933"/>
      <c r="K681" s="935"/>
      <c r="L681" s="933"/>
      <c r="M681" s="933"/>
      <c r="N681" s="945"/>
      <c r="O681" s="933"/>
      <c r="P681" s="933"/>
      <c r="Q681" s="933"/>
      <c r="R681" s="933"/>
      <c r="S681" s="933"/>
      <c r="T681" s="933"/>
      <c r="U681" s="933"/>
      <c r="V681" s="933"/>
      <c r="W681" s="933"/>
      <c r="X681" s="933"/>
      <c r="Y681" s="933"/>
      <c r="Z681" s="933"/>
      <c r="AA681" s="933"/>
      <c r="AB681" s="933"/>
      <c r="AC681" s="933"/>
      <c r="AD681" s="933"/>
    </row>
    <row r="682" spans="1:30" ht="12.75">
      <c r="A682" s="933"/>
      <c r="B682" s="933"/>
      <c r="C682" s="933"/>
      <c r="D682" s="933"/>
      <c r="E682" s="933"/>
      <c r="F682" s="933"/>
      <c r="G682" s="933"/>
      <c r="H682" s="933"/>
      <c r="I682" s="933"/>
      <c r="J682" s="933"/>
      <c r="K682" s="935"/>
      <c r="L682" s="933"/>
      <c r="M682" s="933"/>
      <c r="N682" s="945"/>
      <c r="O682" s="933"/>
      <c r="P682" s="933"/>
      <c r="Q682" s="933"/>
      <c r="R682" s="933"/>
      <c r="S682" s="933"/>
      <c r="T682" s="933"/>
      <c r="U682" s="933"/>
      <c r="V682" s="933"/>
      <c r="W682" s="933"/>
      <c r="X682" s="933"/>
      <c r="Y682" s="933"/>
      <c r="Z682" s="933"/>
      <c r="AA682" s="933"/>
      <c r="AB682" s="933"/>
      <c r="AC682" s="933"/>
      <c r="AD682" s="933"/>
    </row>
    <row r="683" spans="1:30" ht="12.75">
      <c r="A683" s="933"/>
      <c r="B683" s="933"/>
      <c r="C683" s="933"/>
      <c r="D683" s="933"/>
      <c r="E683" s="933"/>
      <c r="F683" s="933"/>
      <c r="G683" s="933"/>
      <c r="H683" s="933"/>
      <c r="I683" s="933"/>
      <c r="J683" s="933"/>
      <c r="K683" s="935"/>
      <c r="L683" s="933"/>
      <c r="M683" s="933"/>
      <c r="N683" s="945"/>
      <c r="O683" s="933"/>
      <c r="P683" s="933"/>
      <c r="Q683" s="933"/>
      <c r="R683" s="933"/>
      <c r="S683" s="933"/>
      <c r="T683" s="933"/>
      <c r="U683" s="933"/>
      <c r="V683" s="933"/>
      <c r="W683" s="933"/>
      <c r="X683" s="933"/>
      <c r="Y683" s="933"/>
      <c r="Z683" s="933"/>
      <c r="AA683" s="933"/>
      <c r="AB683" s="933"/>
      <c r="AC683" s="933"/>
      <c r="AD683" s="933"/>
    </row>
    <row r="684" spans="1:30" ht="12.75">
      <c r="A684" s="933"/>
      <c r="B684" s="933"/>
      <c r="C684" s="933"/>
      <c r="D684" s="933"/>
      <c r="E684" s="933"/>
      <c r="F684" s="933"/>
      <c r="G684" s="933"/>
      <c r="H684" s="933"/>
      <c r="I684" s="933"/>
      <c r="J684" s="933"/>
      <c r="K684" s="935"/>
      <c r="L684" s="933"/>
      <c r="M684" s="933"/>
      <c r="N684" s="945"/>
      <c r="O684" s="933"/>
      <c r="P684" s="933"/>
      <c r="Q684" s="933"/>
      <c r="R684" s="933"/>
      <c r="S684" s="933"/>
      <c r="T684" s="933"/>
      <c r="U684" s="933"/>
      <c r="V684" s="933"/>
      <c r="W684" s="933"/>
      <c r="X684" s="933"/>
      <c r="Y684" s="933"/>
      <c r="Z684" s="933"/>
      <c r="AA684" s="933"/>
      <c r="AB684" s="933"/>
      <c r="AC684" s="933"/>
      <c r="AD684" s="933"/>
    </row>
    <row r="685" spans="1:30" ht="12.75">
      <c r="A685" s="933"/>
      <c r="B685" s="933"/>
      <c r="C685" s="933"/>
      <c r="D685" s="933"/>
      <c r="E685" s="933"/>
      <c r="F685" s="933"/>
      <c r="G685" s="933"/>
      <c r="H685" s="933"/>
      <c r="I685" s="933"/>
      <c r="J685" s="933"/>
      <c r="K685" s="935"/>
      <c r="L685" s="933"/>
      <c r="M685" s="933"/>
      <c r="N685" s="945"/>
      <c r="O685" s="933"/>
      <c r="P685" s="933"/>
      <c r="Q685" s="933"/>
      <c r="R685" s="933"/>
      <c r="S685" s="933"/>
      <c r="T685" s="933"/>
      <c r="U685" s="933"/>
      <c r="V685" s="933"/>
      <c r="W685" s="933"/>
      <c r="X685" s="933"/>
      <c r="Y685" s="933"/>
      <c r="Z685" s="933"/>
      <c r="AA685" s="933"/>
      <c r="AB685" s="933"/>
      <c r="AC685" s="933"/>
      <c r="AD685" s="933"/>
    </row>
    <row r="686" spans="1:30" ht="12.75">
      <c r="A686" s="933"/>
      <c r="B686" s="933"/>
      <c r="C686" s="933"/>
      <c r="D686" s="933"/>
      <c r="E686" s="933"/>
      <c r="F686" s="933"/>
      <c r="G686" s="933"/>
      <c r="H686" s="933"/>
      <c r="I686" s="933"/>
      <c r="J686" s="933"/>
      <c r="K686" s="935"/>
      <c r="L686" s="933"/>
      <c r="M686" s="933"/>
      <c r="N686" s="945"/>
      <c r="O686" s="933"/>
      <c r="P686" s="933"/>
      <c r="Q686" s="933"/>
      <c r="R686" s="933"/>
      <c r="S686" s="933"/>
      <c r="T686" s="933"/>
      <c r="U686" s="933"/>
      <c r="V686" s="933"/>
      <c r="W686" s="933"/>
      <c r="X686" s="933"/>
      <c r="Y686" s="933"/>
      <c r="Z686" s="933"/>
      <c r="AA686" s="933"/>
      <c r="AB686" s="933"/>
      <c r="AC686" s="933"/>
      <c r="AD686" s="933"/>
    </row>
    <row r="687" spans="1:30" ht="12.75">
      <c r="A687" s="933"/>
      <c r="B687" s="933"/>
      <c r="C687" s="933"/>
      <c r="D687" s="933"/>
      <c r="E687" s="933"/>
      <c r="F687" s="933"/>
      <c r="G687" s="933"/>
      <c r="H687" s="933"/>
      <c r="I687" s="933"/>
      <c r="J687" s="933"/>
      <c r="K687" s="935"/>
      <c r="L687" s="933"/>
      <c r="M687" s="933"/>
      <c r="N687" s="945"/>
      <c r="O687" s="933"/>
      <c r="P687" s="933"/>
      <c r="Q687" s="933"/>
      <c r="R687" s="933"/>
      <c r="S687" s="933"/>
      <c r="T687" s="933"/>
      <c r="U687" s="933"/>
      <c r="V687" s="933"/>
      <c r="W687" s="933"/>
      <c r="X687" s="933"/>
      <c r="Y687" s="933"/>
      <c r="Z687" s="933"/>
      <c r="AA687" s="933"/>
      <c r="AB687" s="933"/>
      <c r="AC687" s="933"/>
      <c r="AD687" s="933"/>
    </row>
    <row r="688" spans="1:30" ht="12.75">
      <c r="A688" s="933"/>
      <c r="B688" s="933"/>
      <c r="C688" s="933"/>
      <c r="D688" s="933"/>
      <c r="E688" s="933"/>
      <c r="F688" s="933"/>
      <c r="G688" s="933"/>
      <c r="H688" s="933"/>
      <c r="I688" s="933"/>
      <c r="J688" s="933"/>
      <c r="K688" s="935"/>
      <c r="L688" s="933"/>
      <c r="M688" s="933"/>
      <c r="N688" s="945"/>
      <c r="O688" s="933"/>
      <c r="P688" s="933"/>
      <c r="Q688" s="933"/>
      <c r="R688" s="933"/>
      <c r="S688" s="933"/>
      <c r="T688" s="933"/>
      <c r="U688" s="933"/>
      <c r="V688" s="933"/>
      <c r="W688" s="933"/>
      <c r="X688" s="933"/>
      <c r="Y688" s="933"/>
      <c r="Z688" s="933"/>
      <c r="AA688" s="933"/>
      <c r="AB688" s="933"/>
      <c r="AC688" s="933"/>
      <c r="AD688" s="933"/>
    </row>
    <row r="689" spans="1:30" ht="12.75">
      <c r="A689" s="933"/>
      <c r="B689" s="933"/>
      <c r="C689" s="933"/>
      <c r="D689" s="933"/>
      <c r="E689" s="933"/>
      <c r="F689" s="933"/>
      <c r="G689" s="933"/>
      <c r="H689" s="933"/>
      <c r="I689" s="933"/>
      <c r="J689" s="933"/>
      <c r="K689" s="935"/>
      <c r="L689" s="933"/>
      <c r="M689" s="933"/>
      <c r="N689" s="945"/>
      <c r="O689" s="933"/>
      <c r="P689" s="933"/>
      <c r="Q689" s="933"/>
      <c r="R689" s="933"/>
      <c r="S689" s="933"/>
      <c r="T689" s="933"/>
      <c r="U689" s="933"/>
      <c r="V689" s="933"/>
      <c r="W689" s="933"/>
      <c r="X689" s="933"/>
      <c r="Y689" s="933"/>
      <c r="Z689" s="933"/>
      <c r="AA689" s="933"/>
      <c r="AB689" s="933"/>
      <c r="AC689" s="933"/>
      <c r="AD689" s="933"/>
    </row>
    <row r="690" spans="1:30" ht="12.75">
      <c r="A690" s="933"/>
      <c r="B690" s="933"/>
      <c r="C690" s="933"/>
      <c r="D690" s="933"/>
      <c r="E690" s="933"/>
      <c r="F690" s="933"/>
      <c r="G690" s="933"/>
      <c r="H690" s="933"/>
      <c r="I690" s="933"/>
      <c r="J690" s="933"/>
      <c r="K690" s="935"/>
      <c r="L690" s="933"/>
      <c r="M690" s="933"/>
      <c r="N690" s="945"/>
      <c r="O690" s="933"/>
      <c r="P690" s="933"/>
      <c r="Q690" s="933"/>
      <c r="R690" s="933"/>
      <c r="S690" s="933"/>
      <c r="T690" s="933"/>
      <c r="U690" s="933"/>
      <c r="V690" s="933"/>
      <c r="W690" s="933"/>
      <c r="X690" s="933"/>
      <c r="Y690" s="933"/>
      <c r="Z690" s="933"/>
      <c r="AA690" s="933"/>
      <c r="AB690" s="933"/>
      <c r="AC690" s="933"/>
      <c r="AD690" s="933"/>
    </row>
    <row r="691" spans="1:30" ht="12.75">
      <c r="A691" s="933"/>
      <c r="B691" s="933"/>
      <c r="C691" s="933"/>
      <c r="D691" s="933"/>
      <c r="E691" s="933"/>
      <c r="F691" s="933"/>
      <c r="G691" s="933"/>
      <c r="H691" s="933"/>
      <c r="I691" s="933"/>
      <c r="J691" s="933"/>
      <c r="K691" s="935"/>
      <c r="L691" s="933"/>
      <c r="M691" s="933"/>
      <c r="N691" s="945"/>
      <c r="O691" s="933"/>
      <c r="P691" s="933"/>
      <c r="Q691" s="933"/>
      <c r="R691" s="933"/>
      <c r="S691" s="933"/>
      <c r="T691" s="933"/>
      <c r="U691" s="933"/>
      <c r="V691" s="933"/>
      <c r="W691" s="933"/>
      <c r="X691" s="933"/>
      <c r="Y691" s="933"/>
      <c r="Z691" s="933"/>
      <c r="AA691" s="933"/>
      <c r="AB691" s="933"/>
      <c r="AC691" s="933"/>
      <c r="AD691" s="933"/>
    </row>
    <row r="692" spans="1:30" ht="12.75">
      <c r="A692" s="933"/>
      <c r="B692" s="933"/>
      <c r="C692" s="933"/>
      <c r="D692" s="933"/>
      <c r="E692" s="933"/>
      <c r="F692" s="933"/>
      <c r="G692" s="933"/>
      <c r="H692" s="933"/>
      <c r="I692" s="933"/>
      <c r="J692" s="933"/>
      <c r="K692" s="935"/>
      <c r="L692" s="933"/>
      <c r="M692" s="933"/>
      <c r="N692" s="945"/>
      <c r="O692" s="933"/>
      <c r="P692" s="933"/>
      <c r="Q692" s="933"/>
      <c r="R692" s="933"/>
      <c r="S692" s="933"/>
      <c r="T692" s="933"/>
      <c r="U692" s="933"/>
      <c r="V692" s="933"/>
      <c r="W692" s="933"/>
      <c r="X692" s="933"/>
      <c r="Y692" s="933"/>
      <c r="Z692" s="933"/>
      <c r="AA692" s="933"/>
      <c r="AB692" s="933"/>
      <c r="AC692" s="933"/>
      <c r="AD692" s="933"/>
    </row>
    <row r="693" spans="1:30" ht="12.75">
      <c r="A693" s="933"/>
      <c r="B693" s="933"/>
      <c r="C693" s="933"/>
      <c r="D693" s="933"/>
      <c r="E693" s="933"/>
      <c r="F693" s="933"/>
      <c r="G693" s="933"/>
      <c r="H693" s="933"/>
      <c r="I693" s="933"/>
      <c r="J693" s="933"/>
      <c r="K693" s="935"/>
      <c r="L693" s="933"/>
      <c r="M693" s="933"/>
      <c r="N693" s="945"/>
      <c r="O693" s="933"/>
      <c r="P693" s="933"/>
      <c r="Q693" s="933"/>
      <c r="R693" s="933"/>
      <c r="S693" s="933"/>
      <c r="T693" s="933"/>
      <c r="U693" s="933"/>
      <c r="V693" s="933"/>
      <c r="W693" s="933"/>
      <c r="X693" s="933"/>
      <c r="Y693" s="933"/>
      <c r="Z693" s="933"/>
      <c r="AA693" s="933"/>
      <c r="AB693" s="933"/>
      <c r="AC693" s="933"/>
      <c r="AD693" s="933"/>
    </row>
    <row r="694" spans="1:30" ht="12.75">
      <c r="A694" s="933"/>
      <c r="B694" s="933"/>
      <c r="C694" s="933"/>
      <c r="D694" s="933"/>
      <c r="E694" s="933"/>
      <c r="F694" s="933"/>
      <c r="G694" s="933"/>
      <c r="H694" s="933"/>
      <c r="I694" s="933"/>
      <c r="J694" s="933"/>
      <c r="K694" s="935"/>
      <c r="L694" s="933"/>
      <c r="M694" s="933"/>
      <c r="N694" s="945"/>
      <c r="O694" s="933"/>
      <c r="P694" s="933"/>
      <c r="Q694" s="933"/>
      <c r="R694" s="933"/>
      <c r="S694" s="933"/>
      <c r="T694" s="933"/>
      <c r="U694" s="933"/>
      <c r="V694" s="933"/>
      <c r="W694" s="933"/>
      <c r="X694" s="933"/>
      <c r="Y694" s="933"/>
      <c r="Z694" s="933"/>
      <c r="AA694" s="933"/>
      <c r="AB694" s="933"/>
      <c r="AC694" s="933"/>
      <c r="AD694" s="933"/>
    </row>
    <row r="695" spans="1:30" ht="12.75">
      <c r="A695" s="933"/>
      <c r="B695" s="933"/>
      <c r="C695" s="933"/>
      <c r="D695" s="933"/>
      <c r="E695" s="933"/>
      <c r="F695" s="933"/>
      <c r="G695" s="933"/>
      <c r="H695" s="933"/>
      <c r="I695" s="933"/>
      <c r="J695" s="933"/>
      <c r="K695" s="935"/>
      <c r="L695" s="933"/>
      <c r="M695" s="933"/>
      <c r="N695" s="945"/>
      <c r="O695" s="933"/>
      <c r="P695" s="933"/>
      <c r="Q695" s="933"/>
      <c r="R695" s="933"/>
      <c r="S695" s="933"/>
      <c r="T695" s="933"/>
      <c r="U695" s="933"/>
      <c r="V695" s="933"/>
      <c r="W695" s="933"/>
      <c r="X695" s="933"/>
      <c r="Y695" s="933"/>
      <c r="Z695" s="933"/>
      <c r="AA695" s="933"/>
      <c r="AB695" s="933"/>
      <c r="AC695" s="933"/>
      <c r="AD695" s="933"/>
    </row>
    <row r="696" spans="1:30" ht="12.75">
      <c r="A696" s="933"/>
      <c r="B696" s="933"/>
      <c r="C696" s="933"/>
      <c r="D696" s="933"/>
      <c r="E696" s="933"/>
      <c r="F696" s="933"/>
      <c r="G696" s="933"/>
      <c r="H696" s="933"/>
      <c r="I696" s="933"/>
      <c r="J696" s="933"/>
      <c r="K696" s="935"/>
      <c r="L696" s="933"/>
      <c r="M696" s="933"/>
      <c r="N696" s="945"/>
      <c r="O696" s="933"/>
      <c r="P696" s="933"/>
      <c r="Q696" s="933"/>
      <c r="R696" s="933"/>
      <c r="S696" s="933"/>
      <c r="T696" s="933"/>
      <c r="U696" s="933"/>
      <c r="V696" s="933"/>
      <c r="W696" s="933"/>
      <c r="X696" s="933"/>
      <c r="Y696" s="933"/>
      <c r="Z696" s="933"/>
      <c r="AA696" s="933"/>
      <c r="AB696" s="933"/>
      <c r="AC696" s="933"/>
      <c r="AD696" s="933"/>
    </row>
    <row r="697" spans="1:30" ht="12.75">
      <c r="A697" s="933"/>
      <c r="B697" s="933"/>
      <c r="C697" s="933"/>
      <c r="D697" s="933"/>
      <c r="E697" s="933"/>
      <c r="F697" s="933"/>
      <c r="G697" s="933"/>
      <c r="H697" s="933"/>
      <c r="I697" s="933"/>
      <c r="J697" s="933"/>
      <c r="K697" s="935"/>
      <c r="L697" s="933"/>
      <c r="M697" s="933"/>
      <c r="N697" s="945"/>
      <c r="O697" s="933"/>
      <c r="P697" s="933"/>
      <c r="Q697" s="933"/>
      <c r="R697" s="933"/>
      <c r="S697" s="933"/>
      <c r="T697" s="933"/>
      <c r="U697" s="933"/>
      <c r="V697" s="933"/>
      <c r="W697" s="933"/>
      <c r="X697" s="933"/>
      <c r="Y697" s="933"/>
      <c r="Z697" s="933"/>
      <c r="AA697" s="933"/>
      <c r="AB697" s="933"/>
      <c r="AC697" s="933"/>
      <c r="AD697" s="933"/>
    </row>
    <row r="698" spans="1:30" ht="12.75">
      <c r="A698" s="933"/>
      <c r="B698" s="933"/>
      <c r="C698" s="933"/>
      <c r="D698" s="933"/>
      <c r="E698" s="933"/>
      <c r="F698" s="933"/>
      <c r="G698" s="933"/>
      <c r="H698" s="933"/>
      <c r="I698" s="933"/>
      <c r="J698" s="933"/>
      <c r="K698" s="935"/>
      <c r="L698" s="933"/>
      <c r="M698" s="933"/>
      <c r="N698" s="945"/>
      <c r="O698" s="933"/>
      <c r="P698" s="933"/>
      <c r="Q698" s="933"/>
      <c r="R698" s="933"/>
      <c r="S698" s="933"/>
      <c r="T698" s="933"/>
      <c r="U698" s="933"/>
      <c r="V698" s="933"/>
      <c r="W698" s="933"/>
      <c r="X698" s="933"/>
      <c r="Y698" s="933"/>
      <c r="Z698" s="933"/>
      <c r="AA698" s="933"/>
      <c r="AB698" s="933"/>
      <c r="AC698" s="933"/>
      <c r="AD698" s="933"/>
    </row>
    <row r="699" spans="1:30" ht="12.75">
      <c r="A699" s="933"/>
      <c r="B699" s="933"/>
      <c r="C699" s="933"/>
      <c r="D699" s="933"/>
      <c r="E699" s="933"/>
      <c r="F699" s="933"/>
      <c r="G699" s="933"/>
      <c r="H699" s="933"/>
      <c r="I699" s="933"/>
      <c r="J699" s="933"/>
      <c r="K699" s="935"/>
      <c r="L699" s="933"/>
      <c r="M699" s="933"/>
      <c r="N699" s="945"/>
      <c r="O699" s="933"/>
      <c r="P699" s="933"/>
      <c r="Q699" s="933"/>
      <c r="R699" s="933"/>
      <c r="S699" s="933"/>
      <c r="T699" s="933"/>
      <c r="U699" s="933"/>
      <c r="V699" s="933"/>
      <c r="W699" s="933"/>
      <c r="X699" s="933"/>
      <c r="Y699" s="933"/>
      <c r="Z699" s="933"/>
      <c r="AA699" s="933"/>
      <c r="AB699" s="933"/>
      <c r="AC699" s="933"/>
      <c r="AD699" s="933"/>
    </row>
    <row r="700" spans="1:30" ht="12.75">
      <c r="A700" s="933"/>
      <c r="B700" s="933"/>
      <c r="C700" s="933"/>
      <c r="D700" s="933"/>
      <c r="E700" s="933"/>
      <c r="F700" s="933"/>
      <c r="G700" s="933"/>
      <c r="H700" s="933"/>
      <c r="I700" s="933"/>
      <c r="J700" s="933"/>
      <c r="K700" s="935"/>
      <c r="L700" s="933"/>
      <c r="M700" s="933"/>
      <c r="N700" s="945"/>
      <c r="O700" s="933"/>
      <c r="P700" s="933"/>
      <c r="Q700" s="933"/>
      <c r="R700" s="933"/>
      <c r="S700" s="933"/>
      <c r="T700" s="933"/>
      <c r="U700" s="933"/>
      <c r="V700" s="933"/>
      <c r="W700" s="933"/>
      <c r="X700" s="933"/>
      <c r="Y700" s="933"/>
      <c r="Z700" s="933"/>
      <c r="AA700" s="933"/>
      <c r="AB700" s="933"/>
      <c r="AC700" s="933"/>
      <c r="AD700" s="933"/>
    </row>
    <row r="701" spans="1:30" ht="12.75">
      <c r="A701" s="933"/>
      <c r="B701" s="933"/>
      <c r="C701" s="933"/>
      <c r="D701" s="933"/>
      <c r="E701" s="933"/>
      <c r="F701" s="933"/>
      <c r="G701" s="933"/>
      <c r="H701" s="933"/>
      <c r="I701" s="933"/>
      <c r="J701" s="933"/>
      <c r="K701" s="935"/>
      <c r="L701" s="933"/>
      <c r="M701" s="933"/>
      <c r="N701" s="945"/>
      <c r="O701" s="933"/>
      <c r="P701" s="933"/>
      <c r="Q701" s="933"/>
      <c r="R701" s="933"/>
      <c r="S701" s="933"/>
      <c r="T701" s="933"/>
      <c r="U701" s="933"/>
      <c r="V701" s="933"/>
      <c r="W701" s="933"/>
      <c r="X701" s="933"/>
      <c r="Y701" s="933"/>
      <c r="Z701" s="933"/>
      <c r="AA701" s="933"/>
      <c r="AB701" s="933"/>
      <c r="AC701" s="933"/>
      <c r="AD701" s="933"/>
    </row>
    <row r="702" spans="1:30" ht="12.75">
      <c r="A702" s="933"/>
      <c r="B702" s="933"/>
      <c r="C702" s="933"/>
      <c r="D702" s="933"/>
      <c r="E702" s="933"/>
      <c r="F702" s="933"/>
      <c r="G702" s="933"/>
      <c r="H702" s="933"/>
      <c r="I702" s="933"/>
      <c r="J702" s="933"/>
      <c r="K702" s="935"/>
      <c r="L702" s="933"/>
      <c r="M702" s="933"/>
      <c r="N702" s="945"/>
      <c r="O702" s="933"/>
      <c r="P702" s="933"/>
      <c r="Q702" s="933"/>
      <c r="R702" s="933"/>
      <c r="S702" s="933"/>
      <c r="T702" s="933"/>
      <c r="U702" s="933"/>
      <c r="V702" s="933"/>
      <c r="W702" s="933"/>
      <c r="X702" s="933"/>
      <c r="Y702" s="933"/>
      <c r="Z702" s="933"/>
      <c r="AA702" s="933"/>
      <c r="AB702" s="933"/>
      <c r="AC702" s="933"/>
      <c r="AD702" s="933"/>
    </row>
    <row r="703" spans="1:30" ht="12.75">
      <c r="A703" s="933"/>
      <c r="B703" s="933"/>
      <c r="C703" s="933"/>
      <c r="D703" s="933"/>
      <c r="E703" s="933"/>
      <c r="F703" s="933"/>
      <c r="G703" s="933"/>
      <c r="H703" s="933"/>
      <c r="I703" s="933"/>
      <c r="J703" s="933"/>
      <c r="K703" s="935"/>
      <c r="L703" s="933"/>
      <c r="M703" s="933"/>
      <c r="N703" s="945"/>
      <c r="O703" s="933"/>
      <c r="P703" s="933"/>
      <c r="Q703" s="933"/>
      <c r="R703" s="933"/>
      <c r="S703" s="933"/>
      <c r="T703" s="933"/>
      <c r="U703" s="933"/>
      <c r="V703" s="933"/>
      <c r="W703" s="933"/>
      <c r="X703" s="933"/>
      <c r="Y703" s="933"/>
      <c r="Z703" s="933"/>
      <c r="AA703" s="933"/>
      <c r="AB703" s="933"/>
      <c r="AC703" s="933"/>
      <c r="AD703" s="933"/>
    </row>
    <row r="704" spans="1:30" ht="12.75">
      <c r="A704" s="933"/>
      <c r="B704" s="933"/>
      <c r="C704" s="933"/>
      <c r="D704" s="933"/>
      <c r="E704" s="933"/>
      <c r="F704" s="933"/>
      <c r="G704" s="933"/>
      <c r="H704" s="933"/>
      <c r="I704" s="933"/>
      <c r="J704" s="933"/>
      <c r="K704" s="935"/>
      <c r="L704" s="933"/>
      <c r="M704" s="933"/>
      <c r="N704" s="945"/>
      <c r="O704" s="933"/>
      <c r="P704" s="933"/>
      <c r="Q704" s="933"/>
      <c r="R704" s="933"/>
      <c r="S704" s="933"/>
      <c r="T704" s="933"/>
      <c r="U704" s="933"/>
      <c r="V704" s="933"/>
      <c r="W704" s="933"/>
      <c r="X704" s="933"/>
      <c r="Y704" s="933"/>
      <c r="Z704" s="933"/>
      <c r="AA704" s="933"/>
      <c r="AB704" s="933"/>
      <c r="AC704" s="933"/>
      <c r="AD704" s="933"/>
    </row>
    <row r="705" spans="1:30" ht="12.75">
      <c r="A705" s="933"/>
      <c r="B705" s="933"/>
      <c r="C705" s="933"/>
      <c r="D705" s="933"/>
      <c r="E705" s="933"/>
      <c r="F705" s="933"/>
      <c r="G705" s="933"/>
      <c r="H705" s="933"/>
      <c r="I705" s="933"/>
      <c r="J705" s="933"/>
      <c r="K705" s="935"/>
      <c r="L705" s="933"/>
      <c r="M705" s="933"/>
      <c r="N705" s="945"/>
      <c r="O705" s="933"/>
      <c r="P705" s="933"/>
      <c r="Q705" s="933"/>
      <c r="R705" s="933"/>
      <c r="S705" s="933"/>
      <c r="T705" s="933"/>
      <c r="U705" s="933"/>
      <c r="V705" s="933"/>
      <c r="W705" s="933"/>
      <c r="X705" s="933"/>
      <c r="Y705" s="933"/>
      <c r="Z705" s="933"/>
      <c r="AA705" s="933"/>
      <c r="AB705" s="933"/>
      <c r="AC705" s="933"/>
      <c r="AD705" s="933"/>
    </row>
    <row r="706" spans="1:30" ht="12.75">
      <c r="A706" s="933"/>
      <c r="B706" s="933"/>
      <c r="C706" s="933"/>
      <c r="D706" s="933"/>
      <c r="E706" s="933"/>
      <c r="F706" s="933"/>
      <c r="G706" s="933"/>
      <c r="H706" s="933"/>
      <c r="I706" s="933"/>
      <c r="J706" s="933"/>
      <c r="K706" s="935"/>
      <c r="L706" s="933"/>
      <c r="M706" s="933"/>
      <c r="N706" s="945"/>
      <c r="O706" s="933"/>
      <c r="P706" s="933"/>
      <c r="Q706" s="933"/>
      <c r="R706" s="933"/>
      <c r="S706" s="933"/>
      <c r="T706" s="933"/>
      <c r="U706" s="933"/>
      <c r="V706" s="933"/>
      <c r="W706" s="933"/>
      <c r="X706" s="933"/>
      <c r="Y706" s="933"/>
      <c r="Z706" s="933"/>
      <c r="AA706" s="933"/>
      <c r="AB706" s="933"/>
      <c r="AC706" s="933"/>
      <c r="AD706" s="933"/>
    </row>
    <row r="707" spans="1:30" ht="12.75">
      <c r="A707" s="933"/>
      <c r="B707" s="933"/>
      <c r="C707" s="933"/>
      <c r="D707" s="933"/>
      <c r="E707" s="933"/>
      <c r="F707" s="933"/>
      <c r="G707" s="933"/>
      <c r="H707" s="933"/>
      <c r="I707" s="933"/>
      <c r="J707" s="933"/>
      <c r="K707" s="935"/>
      <c r="L707" s="933"/>
      <c r="M707" s="933"/>
      <c r="N707" s="945"/>
      <c r="O707" s="933"/>
      <c r="P707" s="933"/>
      <c r="Q707" s="933"/>
      <c r="R707" s="933"/>
      <c r="S707" s="933"/>
      <c r="T707" s="933"/>
      <c r="U707" s="933"/>
      <c r="V707" s="933"/>
      <c r="W707" s="933"/>
      <c r="X707" s="933"/>
      <c r="Y707" s="933"/>
      <c r="Z707" s="933"/>
      <c r="AA707" s="933"/>
      <c r="AB707" s="933"/>
      <c r="AC707" s="933"/>
      <c r="AD707" s="933"/>
    </row>
    <row r="708" spans="1:30" ht="12.75">
      <c r="A708" s="933"/>
      <c r="B708" s="933"/>
      <c r="C708" s="933"/>
      <c r="D708" s="933"/>
      <c r="E708" s="933"/>
      <c r="F708" s="933"/>
      <c r="G708" s="933"/>
      <c r="H708" s="933"/>
      <c r="I708" s="933"/>
      <c r="J708" s="933"/>
      <c r="K708" s="935"/>
      <c r="L708" s="933"/>
      <c r="M708" s="933"/>
      <c r="N708" s="945"/>
      <c r="O708" s="933"/>
      <c r="P708" s="933"/>
      <c r="Q708" s="933"/>
      <c r="R708" s="933"/>
      <c r="S708" s="933"/>
      <c r="T708" s="933"/>
      <c r="U708" s="933"/>
      <c r="V708" s="933"/>
      <c r="W708" s="933"/>
      <c r="X708" s="933"/>
      <c r="Y708" s="933"/>
      <c r="Z708" s="933"/>
      <c r="AA708" s="933"/>
      <c r="AB708" s="933"/>
      <c r="AC708" s="933"/>
      <c r="AD708" s="933"/>
    </row>
    <row r="709" spans="1:30" ht="12.75">
      <c r="A709" s="933"/>
      <c r="B709" s="933"/>
      <c r="C709" s="933"/>
      <c r="D709" s="933"/>
      <c r="E709" s="933"/>
      <c r="F709" s="933"/>
      <c r="G709" s="933"/>
      <c r="H709" s="933"/>
      <c r="I709" s="933"/>
      <c r="J709" s="933"/>
      <c r="K709" s="935"/>
      <c r="L709" s="933"/>
      <c r="M709" s="933"/>
      <c r="N709" s="945"/>
      <c r="O709" s="933"/>
      <c r="P709" s="933"/>
      <c r="Q709" s="933"/>
      <c r="R709" s="933"/>
      <c r="S709" s="933"/>
      <c r="T709" s="933"/>
      <c r="U709" s="933"/>
      <c r="V709" s="933"/>
      <c r="W709" s="933"/>
      <c r="X709" s="933"/>
      <c r="Y709" s="933"/>
      <c r="Z709" s="933"/>
      <c r="AA709" s="933"/>
      <c r="AB709" s="933"/>
      <c r="AC709" s="933"/>
      <c r="AD709" s="933"/>
    </row>
    <row r="710" spans="1:30" ht="12.75">
      <c r="A710" s="933"/>
      <c r="B710" s="933"/>
      <c r="C710" s="933"/>
      <c r="D710" s="933"/>
      <c r="E710" s="933"/>
      <c r="F710" s="933"/>
      <c r="G710" s="933"/>
      <c r="H710" s="933"/>
      <c r="I710" s="933"/>
      <c r="J710" s="933"/>
      <c r="K710" s="935"/>
      <c r="L710" s="933"/>
      <c r="M710" s="933"/>
      <c r="N710" s="945"/>
      <c r="O710" s="933"/>
      <c r="P710" s="933"/>
      <c r="Q710" s="933"/>
      <c r="R710" s="933"/>
      <c r="S710" s="933"/>
      <c r="T710" s="933"/>
      <c r="U710" s="933"/>
      <c r="V710" s="933"/>
      <c r="W710" s="933"/>
      <c r="X710" s="933"/>
      <c r="Y710" s="933"/>
      <c r="Z710" s="933"/>
      <c r="AA710" s="933"/>
      <c r="AB710" s="933"/>
      <c r="AC710" s="933"/>
      <c r="AD710" s="933"/>
    </row>
    <row r="711" spans="1:30" ht="12.75">
      <c r="A711" s="933"/>
      <c r="B711" s="933"/>
      <c r="C711" s="933"/>
      <c r="D711" s="933"/>
      <c r="E711" s="933"/>
      <c r="F711" s="933"/>
      <c r="G711" s="933"/>
      <c r="H711" s="933"/>
      <c r="I711" s="933"/>
      <c r="J711" s="933"/>
      <c r="K711" s="935"/>
      <c r="L711" s="933"/>
      <c r="M711" s="933"/>
      <c r="N711" s="945"/>
      <c r="O711" s="933"/>
      <c r="P711" s="933"/>
      <c r="Q711" s="933"/>
      <c r="R711" s="933"/>
      <c r="S711" s="933"/>
      <c r="T711" s="933"/>
      <c r="U711" s="933"/>
      <c r="V711" s="933"/>
      <c r="W711" s="933"/>
      <c r="X711" s="933"/>
      <c r="Y711" s="933"/>
      <c r="Z711" s="933"/>
      <c r="AA711" s="933"/>
      <c r="AB711" s="933"/>
      <c r="AC711" s="933"/>
      <c r="AD711" s="933"/>
    </row>
    <row r="712" spans="1:30" ht="12.75">
      <c r="A712" s="933"/>
      <c r="B712" s="933"/>
      <c r="C712" s="933"/>
      <c r="D712" s="933"/>
      <c r="E712" s="933"/>
      <c r="F712" s="933"/>
      <c r="G712" s="933"/>
      <c r="H712" s="933"/>
      <c r="I712" s="933"/>
      <c r="J712" s="933"/>
      <c r="K712" s="935"/>
      <c r="L712" s="933"/>
      <c r="M712" s="933"/>
      <c r="N712" s="945"/>
      <c r="O712" s="933"/>
      <c r="P712" s="933"/>
      <c r="Q712" s="933"/>
      <c r="R712" s="933"/>
      <c r="S712" s="933"/>
      <c r="T712" s="933"/>
      <c r="U712" s="933"/>
      <c r="V712" s="933"/>
      <c r="W712" s="933"/>
      <c r="X712" s="933"/>
      <c r="Y712" s="933"/>
      <c r="Z712" s="933"/>
      <c r="AA712" s="933"/>
      <c r="AB712" s="933"/>
      <c r="AC712" s="933"/>
      <c r="AD712" s="933"/>
    </row>
    <row r="713" spans="1:30" ht="12.75">
      <c r="A713" s="933"/>
      <c r="B713" s="933"/>
      <c r="C713" s="933"/>
      <c r="D713" s="933"/>
      <c r="E713" s="933"/>
      <c r="F713" s="933"/>
      <c r="G713" s="933"/>
      <c r="H713" s="933"/>
      <c r="I713" s="933"/>
      <c r="J713" s="933"/>
      <c r="K713" s="935"/>
      <c r="L713" s="933"/>
      <c r="M713" s="933"/>
      <c r="N713" s="945"/>
      <c r="O713" s="933"/>
      <c r="P713" s="933"/>
      <c r="Q713" s="933"/>
      <c r="R713" s="933"/>
      <c r="S713" s="933"/>
      <c r="T713" s="933"/>
      <c r="U713" s="933"/>
      <c r="V713" s="933"/>
      <c r="W713" s="933"/>
      <c r="X713" s="933"/>
      <c r="Y713" s="933"/>
      <c r="Z713" s="933"/>
      <c r="AA713" s="933"/>
      <c r="AB713" s="933"/>
      <c r="AC713" s="933"/>
      <c r="AD713" s="933"/>
    </row>
    <row r="714" spans="1:30" ht="12.75">
      <c r="A714" s="933"/>
      <c r="B714" s="933"/>
      <c r="C714" s="933"/>
      <c r="D714" s="933"/>
      <c r="E714" s="933"/>
      <c r="F714" s="933"/>
      <c r="G714" s="933"/>
      <c r="H714" s="933"/>
      <c r="I714" s="933"/>
      <c r="J714" s="933"/>
      <c r="K714" s="935"/>
      <c r="L714" s="933"/>
      <c r="M714" s="933"/>
      <c r="N714" s="945"/>
      <c r="O714" s="933"/>
      <c r="P714" s="933"/>
      <c r="Q714" s="933"/>
      <c r="R714" s="933"/>
      <c r="S714" s="933"/>
      <c r="T714" s="933"/>
      <c r="U714" s="933"/>
      <c r="V714" s="933"/>
      <c r="W714" s="933"/>
      <c r="X714" s="933"/>
      <c r="Y714" s="933"/>
      <c r="Z714" s="933"/>
      <c r="AA714" s="933"/>
      <c r="AB714" s="933"/>
      <c r="AC714" s="933"/>
      <c r="AD714" s="933"/>
    </row>
    <row r="715" spans="1:30" ht="12.75">
      <c r="A715" s="933"/>
      <c r="B715" s="933"/>
      <c r="C715" s="933"/>
      <c r="D715" s="933"/>
      <c r="E715" s="933"/>
      <c r="F715" s="933"/>
      <c r="G715" s="933"/>
      <c r="H715" s="933"/>
      <c r="I715" s="933"/>
      <c r="J715" s="933"/>
      <c r="K715" s="935"/>
      <c r="L715" s="933"/>
      <c r="M715" s="933"/>
      <c r="N715" s="945"/>
      <c r="O715" s="933"/>
      <c r="P715" s="933"/>
      <c r="Q715" s="933"/>
      <c r="R715" s="933"/>
      <c r="S715" s="933"/>
      <c r="T715" s="933"/>
      <c r="U715" s="933"/>
      <c r="V715" s="933"/>
      <c r="W715" s="933"/>
      <c r="X715" s="933"/>
      <c r="Y715" s="933"/>
      <c r="Z715" s="933"/>
      <c r="AA715" s="933"/>
      <c r="AB715" s="933"/>
      <c r="AC715" s="933"/>
      <c r="AD715" s="933"/>
    </row>
    <row r="716" spans="1:30" ht="12.75">
      <c r="A716" s="933"/>
      <c r="B716" s="933"/>
      <c r="C716" s="933"/>
      <c r="D716" s="933"/>
      <c r="E716" s="933"/>
      <c r="F716" s="933"/>
      <c r="G716" s="933"/>
      <c r="H716" s="933"/>
      <c r="I716" s="933"/>
      <c r="J716" s="933"/>
      <c r="K716" s="935"/>
      <c r="L716" s="933"/>
      <c r="M716" s="933"/>
      <c r="N716" s="945"/>
      <c r="O716" s="933"/>
      <c r="P716" s="933"/>
      <c r="Q716" s="933"/>
      <c r="R716" s="933"/>
      <c r="S716" s="933"/>
      <c r="T716" s="933"/>
      <c r="U716" s="933"/>
      <c r="V716" s="933"/>
      <c r="W716" s="933"/>
      <c r="X716" s="933"/>
      <c r="Y716" s="933"/>
      <c r="Z716" s="933"/>
      <c r="AA716" s="933"/>
      <c r="AB716" s="933"/>
      <c r="AC716" s="933"/>
      <c r="AD716" s="933"/>
    </row>
    <row r="717" spans="1:30" ht="12.75">
      <c r="A717" s="933"/>
      <c r="B717" s="933"/>
      <c r="C717" s="933"/>
      <c r="D717" s="933"/>
      <c r="E717" s="933"/>
      <c r="F717" s="933"/>
      <c r="G717" s="933"/>
      <c r="H717" s="933"/>
      <c r="I717" s="933"/>
      <c r="J717" s="933"/>
      <c r="K717" s="935"/>
      <c r="L717" s="933"/>
      <c r="M717" s="933"/>
      <c r="N717" s="945"/>
      <c r="O717" s="933"/>
      <c r="P717" s="933"/>
      <c r="Q717" s="933"/>
      <c r="R717" s="933"/>
      <c r="S717" s="933"/>
      <c r="T717" s="933"/>
      <c r="U717" s="933"/>
      <c r="V717" s="933"/>
      <c r="W717" s="933"/>
      <c r="X717" s="933"/>
      <c r="Y717" s="933"/>
      <c r="Z717" s="933"/>
      <c r="AA717" s="933"/>
      <c r="AB717" s="933"/>
      <c r="AC717" s="933"/>
      <c r="AD717" s="933"/>
    </row>
    <row r="718" spans="1:30" ht="12.75">
      <c r="A718" s="933"/>
      <c r="B718" s="933"/>
      <c r="C718" s="933"/>
      <c r="D718" s="933"/>
      <c r="E718" s="933"/>
      <c r="F718" s="933"/>
      <c r="G718" s="933"/>
      <c r="H718" s="933"/>
      <c r="I718" s="933"/>
      <c r="J718" s="933"/>
      <c r="K718" s="935"/>
      <c r="L718" s="933"/>
      <c r="M718" s="933"/>
      <c r="N718" s="945"/>
      <c r="O718" s="933"/>
      <c r="P718" s="933"/>
      <c r="Q718" s="933"/>
      <c r="R718" s="933"/>
      <c r="S718" s="933"/>
      <c r="T718" s="933"/>
      <c r="U718" s="933"/>
      <c r="V718" s="933"/>
      <c r="W718" s="933"/>
      <c r="X718" s="933"/>
      <c r="Y718" s="933"/>
      <c r="Z718" s="933"/>
      <c r="AA718" s="933"/>
      <c r="AB718" s="933"/>
      <c r="AC718" s="933"/>
      <c r="AD718" s="933"/>
    </row>
    <row r="719" spans="1:30" ht="12.75">
      <c r="A719" s="933"/>
      <c r="B719" s="933"/>
      <c r="C719" s="933"/>
      <c r="D719" s="933"/>
      <c r="E719" s="933"/>
      <c r="F719" s="933"/>
      <c r="G719" s="933"/>
      <c r="H719" s="933"/>
      <c r="I719" s="933"/>
      <c r="J719" s="933"/>
      <c r="K719" s="935"/>
      <c r="L719" s="933"/>
      <c r="M719" s="933"/>
      <c r="N719" s="945"/>
      <c r="O719" s="933"/>
      <c r="P719" s="933"/>
      <c r="Q719" s="933"/>
      <c r="R719" s="933"/>
      <c r="S719" s="933"/>
      <c r="T719" s="933"/>
      <c r="U719" s="933"/>
      <c r="V719" s="933"/>
      <c r="W719" s="933"/>
      <c r="X719" s="933"/>
      <c r="Y719" s="933"/>
      <c r="Z719" s="933"/>
      <c r="AA719" s="933"/>
      <c r="AB719" s="933"/>
      <c r="AC719" s="933"/>
      <c r="AD719" s="933"/>
    </row>
    <row r="720" spans="1:30" ht="12.75">
      <c r="A720" s="933"/>
      <c r="B720" s="933"/>
      <c r="C720" s="933"/>
      <c r="D720" s="933"/>
      <c r="E720" s="933"/>
      <c r="F720" s="933"/>
      <c r="G720" s="933"/>
      <c r="H720" s="933"/>
      <c r="I720" s="933"/>
      <c r="J720" s="933"/>
      <c r="K720" s="935"/>
      <c r="L720" s="933"/>
      <c r="M720" s="933"/>
      <c r="N720" s="945"/>
      <c r="O720" s="933"/>
      <c r="P720" s="933"/>
      <c r="Q720" s="933"/>
      <c r="R720" s="933"/>
      <c r="S720" s="933"/>
      <c r="T720" s="933"/>
      <c r="U720" s="933"/>
      <c r="V720" s="933"/>
      <c r="W720" s="933"/>
      <c r="X720" s="933"/>
      <c r="Y720" s="933"/>
      <c r="Z720" s="933"/>
      <c r="AA720" s="933"/>
      <c r="AB720" s="933"/>
      <c r="AC720" s="933"/>
      <c r="AD720" s="933"/>
    </row>
    <row r="721" spans="1:30" ht="12.75">
      <c r="A721" s="933"/>
      <c r="B721" s="933"/>
      <c r="C721" s="933"/>
      <c r="D721" s="933"/>
      <c r="E721" s="933"/>
      <c r="F721" s="933"/>
      <c r="G721" s="933"/>
      <c r="H721" s="933"/>
      <c r="I721" s="933"/>
      <c r="J721" s="933"/>
      <c r="K721" s="935"/>
      <c r="L721" s="933"/>
      <c r="M721" s="933"/>
      <c r="N721" s="945"/>
      <c r="O721" s="933"/>
      <c r="P721" s="933"/>
      <c r="Q721" s="933"/>
      <c r="R721" s="933"/>
      <c r="S721" s="933"/>
      <c r="T721" s="933"/>
      <c r="U721" s="933"/>
      <c r="V721" s="933"/>
      <c r="W721" s="933"/>
      <c r="X721" s="933"/>
      <c r="Y721" s="933"/>
      <c r="Z721" s="933"/>
      <c r="AA721" s="933"/>
      <c r="AB721" s="933"/>
      <c r="AC721" s="933"/>
      <c r="AD721" s="933"/>
    </row>
    <row r="722" spans="1:30" ht="12.75">
      <c r="A722" s="933"/>
      <c r="B722" s="933"/>
      <c r="C722" s="933"/>
      <c r="D722" s="933"/>
      <c r="E722" s="933"/>
      <c r="F722" s="933"/>
      <c r="G722" s="933"/>
      <c r="H722" s="933"/>
      <c r="I722" s="933"/>
      <c r="J722" s="933"/>
      <c r="K722" s="935"/>
      <c r="L722" s="933"/>
      <c r="M722" s="933"/>
      <c r="N722" s="945"/>
      <c r="O722" s="933"/>
      <c r="P722" s="933"/>
      <c r="Q722" s="933"/>
      <c r="R722" s="933"/>
      <c r="S722" s="933"/>
      <c r="T722" s="933"/>
      <c r="U722" s="933"/>
      <c r="V722" s="933"/>
      <c r="W722" s="933"/>
      <c r="X722" s="933"/>
      <c r="Y722" s="933"/>
      <c r="Z722" s="933"/>
      <c r="AA722" s="933"/>
      <c r="AB722" s="933"/>
      <c r="AC722" s="933"/>
      <c r="AD722" s="933"/>
    </row>
    <row r="723" spans="1:30" ht="12.75">
      <c r="A723" s="933"/>
      <c r="B723" s="933"/>
      <c r="C723" s="933"/>
      <c r="D723" s="933"/>
      <c r="E723" s="933"/>
      <c r="F723" s="933"/>
      <c r="G723" s="933"/>
      <c r="H723" s="933"/>
      <c r="I723" s="933"/>
      <c r="J723" s="933"/>
      <c r="K723" s="935"/>
      <c r="L723" s="933"/>
      <c r="M723" s="933"/>
      <c r="N723" s="945"/>
      <c r="O723" s="933"/>
      <c r="P723" s="933"/>
      <c r="Q723" s="933"/>
      <c r="R723" s="933"/>
      <c r="S723" s="933"/>
      <c r="T723" s="933"/>
      <c r="U723" s="933"/>
      <c r="V723" s="933"/>
      <c r="W723" s="933"/>
      <c r="X723" s="933"/>
      <c r="Y723" s="933"/>
      <c r="Z723" s="933"/>
      <c r="AA723" s="933"/>
      <c r="AB723" s="933"/>
      <c r="AC723" s="933"/>
      <c r="AD723" s="933"/>
    </row>
    <row r="724" spans="1:30" ht="12.75">
      <c r="A724" s="933"/>
      <c r="B724" s="933"/>
      <c r="C724" s="933"/>
      <c r="D724" s="933"/>
      <c r="E724" s="933"/>
      <c r="F724" s="933"/>
      <c r="G724" s="933"/>
      <c r="H724" s="933"/>
      <c r="I724" s="933"/>
      <c r="J724" s="933"/>
      <c r="K724" s="935"/>
      <c r="L724" s="933"/>
      <c r="M724" s="933"/>
      <c r="N724" s="945"/>
      <c r="O724" s="933"/>
      <c r="P724" s="933"/>
      <c r="Q724" s="933"/>
      <c r="R724" s="933"/>
      <c r="S724" s="933"/>
      <c r="T724" s="933"/>
      <c r="U724" s="933"/>
      <c r="V724" s="933"/>
      <c r="W724" s="933"/>
      <c r="X724" s="933"/>
      <c r="Y724" s="933"/>
      <c r="Z724" s="933"/>
      <c r="AA724" s="933"/>
      <c r="AB724" s="933"/>
      <c r="AC724" s="933"/>
      <c r="AD724" s="933"/>
    </row>
    <row r="725" spans="1:30" ht="12.75">
      <c r="A725" s="933"/>
      <c r="B725" s="933"/>
      <c r="C725" s="933"/>
      <c r="D725" s="933"/>
      <c r="E725" s="933"/>
      <c r="F725" s="933"/>
      <c r="G725" s="933"/>
      <c r="H725" s="933"/>
      <c r="I725" s="933"/>
      <c r="J725" s="933"/>
      <c r="K725" s="935"/>
      <c r="L725" s="933"/>
      <c r="M725" s="933"/>
      <c r="N725" s="945"/>
      <c r="O725" s="933"/>
      <c r="P725" s="933"/>
      <c r="Q725" s="933"/>
      <c r="R725" s="933"/>
      <c r="S725" s="933"/>
      <c r="T725" s="933"/>
      <c r="U725" s="933"/>
      <c r="V725" s="933"/>
      <c r="W725" s="933"/>
      <c r="X725" s="933"/>
      <c r="Y725" s="933"/>
      <c r="Z725" s="933"/>
      <c r="AA725" s="933"/>
      <c r="AB725" s="933"/>
      <c r="AC725" s="933"/>
      <c r="AD725" s="933"/>
    </row>
    <row r="726" spans="1:30" ht="12.75">
      <c r="A726" s="933"/>
      <c r="B726" s="933"/>
      <c r="C726" s="933"/>
      <c r="D726" s="933"/>
      <c r="E726" s="933"/>
      <c r="F726" s="933"/>
      <c r="G726" s="933"/>
      <c r="H726" s="933"/>
      <c r="I726" s="933"/>
      <c r="J726" s="933"/>
      <c r="K726" s="935"/>
      <c r="L726" s="933"/>
      <c r="M726" s="933"/>
      <c r="N726" s="945"/>
      <c r="O726" s="933"/>
      <c r="P726" s="933"/>
      <c r="Q726" s="933"/>
      <c r="R726" s="933"/>
      <c r="S726" s="933"/>
      <c r="T726" s="933"/>
      <c r="U726" s="933"/>
      <c r="V726" s="933"/>
      <c r="W726" s="933"/>
      <c r="X726" s="933"/>
      <c r="Y726" s="933"/>
      <c r="Z726" s="933"/>
      <c r="AA726" s="933"/>
      <c r="AB726" s="933"/>
      <c r="AC726" s="933"/>
      <c r="AD726" s="933"/>
    </row>
    <row r="727" spans="1:30" ht="12.75">
      <c r="A727" s="933"/>
      <c r="B727" s="933"/>
      <c r="C727" s="933"/>
      <c r="D727" s="933"/>
      <c r="E727" s="933"/>
      <c r="F727" s="933"/>
      <c r="G727" s="933"/>
      <c r="H727" s="933"/>
      <c r="I727" s="933"/>
      <c r="J727" s="933"/>
      <c r="K727" s="935"/>
      <c r="L727" s="933"/>
      <c r="M727" s="933"/>
      <c r="N727" s="945"/>
      <c r="O727" s="933"/>
      <c r="P727" s="933"/>
      <c r="Q727" s="933"/>
      <c r="R727" s="933"/>
      <c r="S727" s="933"/>
      <c r="T727" s="933"/>
      <c r="U727" s="933"/>
      <c r="V727" s="933"/>
      <c r="W727" s="933"/>
      <c r="X727" s="933"/>
      <c r="Y727" s="933"/>
      <c r="Z727" s="933"/>
      <c r="AA727" s="933"/>
      <c r="AB727" s="933"/>
      <c r="AC727" s="933"/>
      <c r="AD727" s="933"/>
    </row>
    <row r="728" spans="1:30" ht="12.75">
      <c r="A728" s="933"/>
      <c r="B728" s="933"/>
      <c r="C728" s="933"/>
      <c r="D728" s="933"/>
      <c r="E728" s="933"/>
      <c r="F728" s="933"/>
      <c r="G728" s="933"/>
      <c r="H728" s="933"/>
      <c r="I728" s="933"/>
      <c r="J728" s="933"/>
      <c r="K728" s="935"/>
      <c r="L728" s="933"/>
      <c r="M728" s="933"/>
      <c r="N728" s="945"/>
      <c r="O728" s="933"/>
      <c r="P728" s="933"/>
      <c r="Q728" s="933"/>
      <c r="R728" s="933"/>
      <c r="S728" s="933"/>
      <c r="T728" s="933"/>
      <c r="U728" s="933"/>
      <c r="V728" s="933"/>
      <c r="W728" s="933"/>
      <c r="X728" s="933"/>
      <c r="Y728" s="933"/>
      <c r="Z728" s="933"/>
      <c r="AA728" s="933"/>
      <c r="AB728" s="933"/>
      <c r="AC728" s="933"/>
      <c r="AD728" s="933"/>
    </row>
    <row r="729" spans="1:30" ht="12.75">
      <c r="A729" s="933"/>
      <c r="B729" s="933"/>
      <c r="C729" s="933"/>
      <c r="D729" s="933"/>
      <c r="E729" s="933"/>
      <c r="F729" s="933"/>
      <c r="G729" s="933"/>
      <c r="H729" s="933"/>
      <c r="I729" s="933"/>
      <c r="J729" s="933"/>
      <c r="K729" s="935"/>
      <c r="L729" s="933"/>
      <c r="M729" s="933"/>
      <c r="N729" s="945"/>
      <c r="O729" s="933"/>
      <c r="P729" s="933"/>
      <c r="Q729" s="933"/>
      <c r="R729" s="933"/>
      <c r="S729" s="933"/>
      <c r="T729" s="933"/>
      <c r="U729" s="933"/>
      <c r="V729" s="933"/>
      <c r="W729" s="933"/>
      <c r="X729" s="933"/>
      <c r="Y729" s="933"/>
      <c r="Z729" s="933"/>
      <c r="AA729" s="933"/>
      <c r="AB729" s="933"/>
      <c r="AC729" s="933"/>
      <c r="AD729" s="933"/>
    </row>
    <row r="730" spans="1:30" ht="12.75">
      <c r="A730" s="933"/>
      <c r="B730" s="933"/>
      <c r="C730" s="933"/>
      <c r="D730" s="933"/>
      <c r="E730" s="933"/>
      <c r="F730" s="933"/>
      <c r="G730" s="933"/>
      <c r="H730" s="933"/>
      <c r="I730" s="933"/>
      <c r="J730" s="933"/>
      <c r="K730" s="935"/>
      <c r="L730" s="933"/>
      <c r="M730" s="933"/>
      <c r="N730" s="945"/>
      <c r="O730" s="933"/>
      <c r="P730" s="933"/>
      <c r="Q730" s="933"/>
      <c r="R730" s="933"/>
      <c r="S730" s="933"/>
      <c r="T730" s="933"/>
      <c r="U730" s="933"/>
      <c r="V730" s="933"/>
      <c r="W730" s="933"/>
      <c r="X730" s="933"/>
      <c r="Y730" s="933"/>
      <c r="Z730" s="933"/>
      <c r="AA730" s="933"/>
      <c r="AB730" s="933"/>
      <c r="AC730" s="933"/>
      <c r="AD730" s="933"/>
    </row>
    <row r="731" spans="1:30" ht="12.75">
      <c r="A731" s="933"/>
      <c r="B731" s="933"/>
      <c r="C731" s="933"/>
      <c r="D731" s="933"/>
      <c r="E731" s="933"/>
      <c r="F731" s="933"/>
      <c r="G731" s="933"/>
      <c r="H731" s="933"/>
      <c r="I731" s="933"/>
      <c r="J731" s="933"/>
      <c r="K731" s="935"/>
      <c r="L731" s="933"/>
      <c r="M731" s="933"/>
      <c r="N731" s="945"/>
      <c r="O731" s="933"/>
      <c r="P731" s="933"/>
      <c r="Q731" s="933"/>
      <c r="R731" s="933"/>
      <c r="S731" s="933"/>
      <c r="T731" s="933"/>
      <c r="U731" s="933"/>
      <c r="V731" s="933"/>
      <c r="W731" s="933"/>
      <c r="X731" s="933"/>
      <c r="Y731" s="933"/>
      <c r="Z731" s="933"/>
      <c r="AA731" s="933"/>
      <c r="AB731" s="933"/>
      <c r="AC731" s="933"/>
      <c r="AD731" s="933"/>
    </row>
    <row r="732" spans="1:30" ht="12.75">
      <c r="A732" s="933"/>
      <c r="B732" s="933"/>
      <c r="C732" s="933"/>
      <c r="D732" s="933"/>
      <c r="E732" s="933"/>
      <c r="F732" s="933"/>
      <c r="G732" s="933"/>
      <c r="H732" s="933"/>
      <c r="I732" s="933"/>
      <c r="J732" s="933"/>
      <c r="K732" s="935"/>
      <c r="L732" s="933"/>
      <c r="M732" s="933"/>
      <c r="N732" s="945"/>
      <c r="O732" s="933"/>
      <c r="P732" s="933"/>
      <c r="Q732" s="933"/>
      <c r="R732" s="933"/>
      <c r="S732" s="933"/>
      <c r="T732" s="933"/>
      <c r="U732" s="933"/>
      <c r="V732" s="933"/>
      <c r="W732" s="933"/>
      <c r="X732" s="933"/>
      <c r="Y732" s="933"/>
      <c r="Z732" s="933"/>
      <c r="AA732" s="933"/>
      <c r="AB732" s="933"/>
      <c r="AC732" s="933"/>
      <c r="AD732" s="933"/>
    </row>
    <row r="733" spans="1:30" ht="12.75">
      <c r="A733" s="933"/>
      <c r="B733" s="933"/>
      <c r="C733" s="933"/>
      <c r="D733" s="933"/>
      <c r="E733" s="933"/>
      <c r="F733" s="933"/>
      <c r="G733" s="933"/>
      <c r="H733" s="933"/>
      <c r="I733" s="933"/>
      <c r="J733" s="933"/>
      <c r="K733" s="935"/>
      <c r="L733" s="933"/>
      <c r="M733" s="933"/>
      <c r="N733" s="945"/>
      <c r="O733" s="933"/>
      <c r="P733" s="933"/>
      <c r="Q733" s="933"/>
      <c r="R733" s="933"/>
      <c r="S733" s="933"/>
      <c r="T733" s="933"/>
      <c r="U733" s="933"/>
      <c r="V733" s="933"/>
      <c r="W733" s="933"/>
      <c r="X733" s="933"/>
      <c r="Y733" s="933"/>
      <c r="Z733" s="933"/>
      <c r="AA733" s="933"/>
      <c r="AB733" s="933"/>
      <c r="AC733" s="933"/>
      <c r="AD733" s="933"/>
    </row>
    <row r="734" spans="1:30" ht="12.75">
      <c r="A734" s="933"/>
      <c r="B734" s="933"/>
      <c r="C734" s="933"/>
      <c r="D734" s="933"/>
      <c r="E734" s="933"/>
      <c r="F734" s="933"/>
      <c r="G734" s="933"/>
      <c r="H734" s="933"/>
      <c r="I734" s="933"/>
      <c r="J734" s="933"/>
      <c r="K734" s="935"/>
      <c r="L734" s="933"/>
      <c r="M734" s="933"/>
      <c r="N734" s="945"/>
      <c r="O734" s="933"/>
      <c r="P734" s="933"/>
      <c r="Q734" s="933"/>
      <c r="R734" s="933"/>
      <c r="S734" s="933"/>
      <c r="T734" s="933"/>
      <c r="U734" s="933"/>
      <c r="V734" s="933"/>
      <c r="W734" s="933"/>
      <c r="X734" s="933"/>
      <c r="Y734" s="933"/>
      <c r="Z734" s="933"/>
      <c r="AA734" s="933"/>
      <c r="AB734" s="933"/>
      <c r="AC734" s="933"/>
      <c r="AD734" s="933"/>
    </row>
    <row r="735" spans="1:30" ht="12.75">
      <c r="A735" s="933"/>
      <c r="B735" s="933"/>
      <c r="C735" s="933"/>
      <c r="D735" s="933"/>
      <c r="E735" s="933"/>
      <c r="F735" s="933"/>
      <c r="G735" s="933"/>
      <c r="H735" s="933"/>
      <c r="I735" s="933"/>
      <c r="J735" s="933"/>
      <c r="K735" s="935"/>
      <c r="L735" s="933"/>
      <c r="M735" s="933"/>
      <c r="N735" s="945"/>
      <c r="O735" s="933"/>
      <c r="P735" s="933"/>
      <c r="Q735" s="933"/>
      <c r="R735" s="933"/>
      <c r="S735" s="933"/>
      <c r="T735" s="933"/>
      <c r="U735" s="933"/>
      <c r="V735" s="933"/>
      <c r="W735" s="933"/>
      <c r="X735" s="933"/>
      <c r="Y735" s="933"/>
      <c r="Z735" s="933"/>
      <c r="AA735" s="933"/>
      <c r="AB735" s="933"/>
      <c r="AC735" s="933"/>
      <c r="AD735" s="933"/>
    </row>
    <row r="736" spans="1:30" ht="12.75">
      <c r="A736" s="933"/>
      <c r="B736" s="933"/>
      <c r="C736" s="933"/>
      <c r="D736" s="933"/>
      <c r="E736" s="933"/>
      <c r="F736" s="933"/>
      <c r="G736" s="933"/>
      <c r="H736" s="933"/>
      <c r="I736" s="933"/>
      <c r="J736" s="933"/>
      <c r="K736" s="935"/>
      <c r="L736" s="933"/>
      <c r="M736" s="933"/>
      <c r="N736" s="945"/>
      <c r="O736" s="933"/>
      <c r="P736" s="933"/>
      <c r="Q736" s="933"/>
      <c r="R736" s="933"/>
      <c r="S736" s="933"/>
      <c r="T736" s="933"/>
      <c r="U736" s="933"/>
      <c r="V736" s="933"/>
      <c r="W736" s="933"/>
      <c r="X736" s="933"/>
      <c r="Y736" s="933"/>
      <c r="Z736" s="933"/>
      <c r="AA736" s="933"/>
      <c r="AB736" s="933"/>
      <c r="AC736" s="933"/>
      <c r="AD736" s="933"/>
    </row>
    <row r="737" spans="1:30" ht="12.75">
      <c r="A737" s="933"/>
      <c r="B737" s="933"/>
      <c r="C737" s="933"/>
      <c r="D737" s="933"/>
      <c r="E737" s="933"/>
      <c r="F737" s="933"/>
      <c r="G737" s="933"/>
      <c r="H737" s="933"/>
      <c r="I737" s="933"/>
      <c r="J737" s="933"/>
      <c r="K737" s="935"/>
      <c r="L737" s="933"/>
      <c r="M737" s="933"/>
      <c r="N737" s="945"/>
      <c r="O737" s="933"/>
      <c r="P737" s="933"/>
      <c r="Q737" s="933"/>
      <c r="R737" s="933"/>
      <c r="S737" s="933"/>
      <c r="T737" s="933"/>
      <c r="U737" s="933"/>
      <c r="V737" s="933"/>
      <c r="W737" s="933"/>
      <c r="X737" s="933"/>
      <c r="Y737" s="933"/>
      <c r="Z737" s="933"/>
      <c r="AA737" s="933"/>
      <c r="AB737" s="933"/>
      <c r="AC737" s="933"/>
      <c r="AD737" s="933"/>
    </row>
    <row r="738" spans="1:30" ht="12.75">
      <c r="A738" s="933"/>
      <c r="B738" s="933"/>
      <c r="C738" s="933"/>
      <c r="D738" s="933"/>
      <c r="E738" s="933"/>
      <c r="F738" s="933"/>
      <c r="G738" s="933"/>
      <c r="H738" s="933"/>
      <c r="I738" s="933"/>
      <c r="J738" s="933"/>
      <c r="K738" s="935"/>
      <c r="L738" s="933"/>
      <c r="M738" s="933"/>
      <c r="N738" s="945"/>
      <c r="O738" s="933"/>
      <c r="P738" s="933"/>
      <c r="Q738" s="933"/>
      <c r="R738" s="933"/>
      <c r="S738" s="933"/>
      <c r="T738" s="933"/>
      <c r="U738" s="933"/>
      <c r="V738" s="933"/>
      <c r="W738" s="933"/>
      <c r="X738" s="933"/>
      <c r="Y738" s="933"/>
      <c r="Z738" s="933"/>
      <c r="AA738" s="933"/>
      <c r="AB738" s="933"/>
      <c r="AC738" s="933"/>
      <c r="AD738" s="933"/>
    </row>
    <row r="739" spans="1:30" ht="12.75">
      <c r="A739" s="933"/>
      <c r="B739" s="933"/>
      <c r="C739" s="933"/>
      <c r="D739" s="933"/>
      <c r="E739" s="933"/>
      <c r="F739" s="933"/>
      <c r="G739" s="933"/>
      <c r="H739" s="933"/>
      <c r="I739" s="933"/>
      <c r="J739" s="933"/>
      <c r="K739" s="935"/>
      <c r="L739" s="933"/>
      <c r="M739" s="933"/>
      <c r="N739" s="945"/>
      <c r="O739" s="933"/>
      <c r="P739" s="933"/>
      <c r="Q739" s="933"/>
      <c r="R739" s="933"/>
      <c r="S739" s="933"/>
      <c r="T739" s="933"/>
      <c r="U739" s="933"/>
      <c r="V739" s="933"/>
      <c r="W739" s="933"/>
      <c r="X739" s="933"/>
      <c r="Y739" s="933"/>
      <c r="Z739" s="933"/>
      <c r="AA739" s="933"/>
      <c r="AB739" s="933"/>
      <c r="AC739" s="933"/>
      <c r="AD739" s="933"/>
    </row>
    <row r="740" spans="1:30" ht="12.75">
      <c r="A740" s="933"/>
      <c r="B740" s="933"/>
      <c r="C740" s="933"/>
      <c r="D740" s="933"/>
      <c r="E740" s="933"/>
      <c r="F740" s="933"/>
      <c r="G740" s="933"/>
      <c r="H740" s="933"/>
      <c r="I740" s="933"/>
      <c r="J740" s="933"/>
      <c r="K740" s="935"/>
      <c r="L740" s="933"/>
      <c r="M740" s="933"/>
      <c r="N740" s="945"/>
      <c r="O740" s="933"/>
      <c r="P740" s="933"/>
      <c r="Q740" s="933"/>
      <c r="R740" s="933"/>
      <c r="S740" s="933"/>
      <c r="T740" s="933"/>
      <c r="U740" s="933"/>
      <c r="V740" s="933"/>
      <c r="W740" s="933"/>
      <c r="X740" s="933"/>
      <c r="Y740" s="933"/>
      <c r="Z740" s="933"/>
      <c r="AA740" s="933"/>
      <c r="AB740" s="933"/>
      <c r="AC740" s="933"/>
      <c r="AD740" s="933"/>
    </row>
    <row r="741" spans="1:30" ht="12.75">
      <c r="A741" s="933"/>
      <c r="B741" s="933"/>
      <c r="C741" s="933"/>
      <c r="D741" s="933"/>
      <c r="E741" s="933"/>
      <c r="F741" s="933"/>
      <c r="G741" s="933"/>
      <c r="H741" s="933"/>
      <c r="I741" s="933"/>
      <c r="J741" s="933"/>
      <c r="K741" s="935"/>
      <c r="L741" s="933"/>
      <c r="M741" s="933"/>
      <c r="N741" s="945"/>
      <c r="O741" s="933"/>
      <c r="P741" s="933"/>
      <c r="Q741" s="933"/>
      <c r="R741" s="933"/>
      <c r="S741" s="933"/>
      <c r="T741" s="933"/>
      <c r="U741" s="933"/>
      <c r="V741" s="933"/>
      <c r="W741" s="933"/>
      <c r="X741" s="933"/>
      <c r="Y741" s="933"/>
      <c r="Z741" s="933"/>
      <c r="AA741" s="933"/>
      <c r="AB741" s="933"/>
      <c r="AC741" s="933"/>
      <c r="AD741" s="933"/>
    </row>
    <row r="742" spans="1:30" ht="12.75">
      <c r="A742" s="933"/>
      <c r="B742" s="933"/>
      <c r="C742" s="933"/>
      <c r="D742" s="933"/>
      <c r="E742" s="933"/>
      <c r="F742" s="933"/>
      <c r="G742" s="933"/>
      <c r="H742" s="933"/>
      <c r="I742" s="933"/>
      <c r="J742" s="933"/>
      <c r="K742" s="935"/>
      <c r="L742" s="933"/>
      <c r="M742" s="933"/>
      <c r="N742" s="945"/>
      <c r="O742" s="933"/>
      <c r="P742" s="933"/>
      <c r="Q742" s="933"/>
      <c r="R742" s="933"/>
      <c r="S742" s="933"/>
      <c r="T742" s="933"/>
      <c r="U742" s="933"/>
      <c r="V742" s="933"/>
      <c r="W742" s="933"/>
      <c r="X742" s="933"/>
      <c r="Y742" s="933"/>
      <c r="Z742" s="933"/>
      <c r="AA742" s="933"/>
      <c r="AB742" s="933"/>
      <c r="AC742" s="933"/>
      <c r="AD742" s="933"/>
    </row>
    <row r="743" spans="1:30" ht="12.75">
      <c r="A743" s="933"/>
      <c r="B743" s="933"/>
      <c r="C743" s="933"/>
      <c r="D743" s="933"/>
      <c r="E743" s="933"/>
      <c r="F743" s="933"/>
      <c r="G743" s="933"/>
      <c r="H743" s="933"/>
      <c r="I743" s="933"/>
      <c r="J743" s="933"/>
      <c r="K743" s="935"/>
      <c r="L743" s="933"/>
      <c r="M743" s="933"/>
      <c r="N743" s="945"/>
      <c r="O743" s="933"/>
      <c r="P743" s="933"/>
      <c r="Q743" s="933"/>
      <c r="R743" s="933"/>
      <c r="S743" s="933"/>
      <c r="T743" s="933"/>
      <c r="U743" s="933"/>
      <c r="V743" s="933"/>
      <c r="W743" s="933"/>
      <c r="X743" s="933"/>
      <c r="Y743" s="933"/>
      <c r="Z743" s="933"/>
      <c r="AA743" s="933"/>
      <c r="AB743" s="933"/>
      <c r="AC743" s="933"/>
      <c r="AD743" s="933"/>
    </row>
    <row r="744" spans="1:30" ht="12.75">
      <c r="A744" s="933"/>
      <c r="B744" s="933"/>
      <c r="C744" s="933"/>
      <c r="D744" s="933"/>
      <c r="E744" s="933"/>
      <c r="F744" s="933"/>
      <c r="G744" s="933"/>
      <c r="H744" s="933"/>
      <c r="I744" s="933"/>
      <c r="J744" s="933"/>
      <c r="K744" s="935"/>
      <c r="L744" s="933"/>
      <c r="M744" s="933"/>
      <c r="N744" s="945"/>
      <c r="O744" s="933"/>
      <c r="P744" s="933"/>
      <c r="Q744" s="933"/>
      <c r="R744" s="933"/>
      <c r="S744" s="933"/>
      <c r="T744" s="933"/>
      <c r="U744" s="933"/>
      <c r="V744" s="933"/>
      <c r="W744" s="933"/>
      <c r="X744" s="933"/>
      <c r="Y744" s="933"/>
      <c r="Z744" s="933"/>
      <c r="AA744" s="933"/>
      <c r="AB744" s="933"/>
      <c r="AC744" s="933"/>
      <c r="AD744" s="933"/>
    </row>
    <row r="745" spans="1:30" ht="12.75">
      <c r="A745" s="933"/>
      <c r="B745" s="933"/>
      <c r="C745" s="933"/>
      <c r="D745" s="933"/>
      <c r="E745" s="933"/>
      <c r="F745" s="933"/>
      <c r="G745" s="933"/>
      <c r="H745" s="933"/>
      <c r="I745" s="933"/>
      <c r="J745" s="933"/>
      <c r="K745" s="935"/>
      <c r="L745" s="933"/>
      <c r="M745" s="933"/>
      <c r="N745" s="945"/>
      <c r="O745" s="933"/>
      <c r="P745" s="933"/>
      <c r="Q745" s="933"/>
      <c r="R745" s="933"/>
      <c r="S745" s="933"/>
      <c r="T745" s="933"/>
      <c r="U745" s="933"/>
      <c r="V745" s="933"/>
      <c r="W745" s="933"/>
      <c r="X745" s="933"/>
      <c r="Y745" s="933"/>
      <c r="Z745" s="933"/>
      <c r="AA745" s="933"/>
      <c r="AB745" s="933"/>
      <c r="AC745" s="933"/>
      <c r="AD745" s="933"/>
    </row>
    <row r="746" spans="1:30" ht="12.75">
      <c r="A746" s="933"/>
      <c r="B746" s="933"/>
      <c r="C746" s="933"/>
      <c r="D746" s="933"/>
      <c r="E746" s="933"/>
      <c r="F746" s="933"/>
      <c r="G746" s="933"/>
      <c r="H746" s="933"/>
      <c r="I746" s="933"/>
      <c r="J746" s="933"/>
      <c r="K746" s="935"/>
      <c r="L746" s="933"/>
      <c r="M746" s="933"/>
      <c r="N746" s="945"/>
      <c r="O746" s="933"/>
      <c r="P746" s="933"/>
      <c r="Q746" s="933"/>
      <c r="R746" s="933"/>
      <c r="S746" s="933"/>
      <c r="T746" s="933"/>
      <c r="U746" s="933"/>
      <c r="V746" s="933"/>
      <c r="W746" s="933"/>
      <c r="X746" s="933"/>
      <c r="Y746" s="933"/>
      <c r="Z746" s="933"/>
      <c r="AA746" s="933"/>
      <c r="AB746" s="933"/>
      <c r="AC746" s="933"/>
      <c r="AD746" s="933"/>
    </row>
    <row r="747" spans="1:30" ht="12.75">
      <c r="A747" s="933"/>
      <c r="B747" s="933"/>
      <c r="C747" s="933"/>
      <c r="D747" s="933"/>
      <c r="E747" s="933"/>
      <c r="F747" s="933"/>
      <c r="G747" s="933"/>
      <c r="H747" s="933"/>
      <c r="I747" s="933"/>
      <c r="J747" s="933"/>
      <c r="K747" s="935"/>
      <c r="L747" s="933"/>
      <c r="M747" s="933"/>
      <c r="N747" s="945"/>
      <c r="O747" s="933"/>
      <c r="P747" s="933"/>
      <c r="Q747" s="933"/>
      <c r="R747" s="933"/>
      <c r="S747" s="933"/>
      <c r="T747" s="933"/>
      <c r="U747" s="933"/>
      <c r="V747" s="933"/>
      <c r="W747" s="933"/>
      <c r="X747" s="933"/>
      <c r="Y747" s="933"/>
      <c r="Z747" s="933"/>
      <c r="AA747" s="933"/>
      <c r="AB747" s="933"/>
      <c r="AC747" s="933"/>
      <c r="AD747" s="933"/>
    </row>
    <row r="748" spans="1:30" ht="12.75">
      <c r="A748" s="933"/>
      <c r="B748" s="933"/>
      <c r="C748" s="933"/>
      <c r="D748" s="933"/>
      <c r="E748" s="933"/>
      <c r="F748" s="933"/>
      <c r="G748" s="933"/>
      <c r="H748" s="933"/>
      <c r="I748" s="933"/>
      <c r="J748" s="933"/>
      <c r="K748" s="935"/>
      <c r="L748" s="933"/>
      <c r="M748" s="933"/>
      <c r="N748" s="945"/>
      <c r="O748" s="933"/>
      <c r="P748" s="933"/>
      <c r="Q748" s="933"/>
      <c r="R748" s="933"/>
      <c r="S748" s="933"/>
      <c r="T748" s="933"/>
      <c r="U748" s="933"/>
      <c r="V748" s="933"/>
      <c r="W748" s="933"/>
      <c r="X748" s="933"/>
      <c r="Y748" s="933"/>
      <c r="Z748" s="933"/>
      <c r="AA748" s="933"/>
      <c r="AB748" s="933"/>
      <c r="AC748" s="933"/>
      <c r="AD748" s="933"/>
    </row>
    <row r="749" spans="1:30" ht="12.75">
      <c r="A749" s="933"/>
      <c r="B749" s="933"/>
      <c r="C749" s="933"/>
      <c r="D749" s="933"/>
      <c r="E749" s="933"/>
      <c r="F749" s="933"/>
      <c r="G749" s="933"/>
      <c r="H749" s="933"/>
      <c r="I749" s="933"/>
      <c r="J749" s="933"/>
      <c r="K749" s="935"/>
      <c r="L749" s="933"/>
      <c r="M749" s="933"/>
      <c r="N749" s="945"/>
      <c r="O749" s="933"/>
      <c r="P749" s="933"/>
      <c r="Q749" s="933"/>
      <c r="R749" s="933"/>
      <c r="S749" s="933"/>
      <c r="T749" s="933"/>
      <c r="U749" s="933"/>
      <c r="V749" s="933"/>
      <c r="W749" s="933"/>
      <c r="X749" s="933"/>
      <c r="Y749" s="933"/>
      <c r="Z749" s="933"/>
      <c r="AA749" s="933"/>
      <c r="AB749" s="933"/>
      <c r="AC749" s="933"/>
      <c r="AD749" s="933"/>
    </row>
    <row r="750" spans="1:30" ht="12.75">
      <c r="A750" s="933"/>
      <c r="B750" s="933"/>
      <c r="C750" s="933"/>
      <c r="D750" s="933"/>
      <c r="E750" s="933"/>
      <c r="F750" s="933"/>
      <c r="G750" s="933"/>
      <c r="H750" s="933"/>
      <c r="I750" s="933"/>
      <c r="J750" s="933"/>
      <c r="K750" s="935"/>
      <c r="L750" s="933"/>
      <c r="M750" s="933"/>
      <c r="N750" s="945"/>
      <c r="O750" s="933"/>
      <c r="P750" s="933"/>
      <c r="Q750" s="933"/>
      <c r="R750" s="933"/>
      <c r="S750" s="933"/>
      <c r="T750" s="933"/>
      <c r="U750" s="933"/>
      <c r="V750" s="933"/>
      <c r="W750" s="933"/>
      <c r="X750" s="933"/>
      <c r="Y750" s="933"/>
      <c r="Z750" s="933"/>
      <c r="AA750" s="933"/>
      <c r="AB750" s="933"/>
      <c r="AC750" s="933"/>
      <c r="AD750" s="933"/>
    </row>
    <row r="751" spans="1:30" ht="12.75">
      <c r="A751" s="933"/>
      <c r="B751" s="933"/>
      <c r="C751" s="933"/>
      <c r="D751" s="933"/>
      <c r="E751" s="933"/>
      <c r="F751" s="933"/>
      <c r="G751" s="933"/>
      <c r="H751" s="933"/>
      <c r="I751" s="933"/>
      <c r="J751" s="933"/>
      <c r="K751" s="935"/>
      <c r="L751" s="933"/>
      <c r="M751" s="933"/>
      <c r="N751" s="945"/>
      <c r="O751" s="933"/>
      <c r="P751" s="933"/>
      <c r="Q751" s="933"/>
      <c r="R751" s="933"/>
      <c r="S751" s="933"/>
      <c r="T751" s="933"/>
      <c r="U751" s="933"/>
      <c r="V751" s="933"/>
      <c r="W751" s="933"/>
      <c r="X751" s="933"/>
      <c r="Y751" s="933"/>
      <c r="Z751" s="933"/>
      <c r="AA751" s="933"/>
      <c r="AB751" s="933"/>
      <c r="AC751" s="933"/>
      <c r="AD751" s="933"/>
    </row>
    <row r="752" spans="1:30" ht="12.75">
      <c r="A752" s="933"/>
      <c r="B752" s="933"/>
      <c r="C752" s="933"/>
      <c r="D752" s="933"/>
      <c r="E752" s="933"/>
      <c r="F752" s="933"/>
      <c r="G752" s="933"/>
      <c r="H752" s="933"/>
      <c r="I752" s="933"/>
      <c r="J752" s="933"/>
      <c r="K752" s="935"/>
      <c r="L752" s="933"/>
      <c r="M752" s="933"/>
      <c r="N752" s="945"/>
      <c r="O752" s="933"/>
      <c r="P752" s="933"/>
      <c r="Q752" s="933"/>
      <c r="R752" s="933"/>
      <c r="S752" s="933"/>
      <c r="T752" s="933"/>
      <c r="U752" s="933"/>
      <c r="V752" s="933"/>
      <c r="W752" s="933"/>
      <c r="X752" s="933"/>
      <c r="Y752" s="933"/>
      <c r="Z752" s="933"/>
      <c r="AA752" s="933"/>
      <c r="AB752" s="933"/>
      <c r="AC752" s="933"/>
      <c r="AD752" s="933"/>
    </row>
    <row r="753" spans="1:30" ht="12.75">
      <c r="A753" s="933"/>
      <c r="B753" s="933"/>
      <c r="C753" s="933"/>
      <c r="D753" s="933"/>
      <c r="E753" s="933"/>
      <c r="F753" s="933"/>
      <c r="G753" s="933"/>
      <c r="H753" s="933"/>
      <c r="I753" s="933"/>
      <c r="J753" s="933"/>
      <c r="K753" s="935"/>
      <c r="L753" s="933"/>
      <c r="M753" s="933"/>
      <c r="N753" s="945"/>
      <c r="O753" s="933"/>
      <c r="P753" s="933"/>
      <c r="Q753" s="933"/>
      <c r="R753" s="933"/>
      <c r="S753" s="933"/>
      <c r="T753" s="933"/>
      <c r="U753" s="933"/>
      <c r="V753" s="933"/>
      <c r="W753" s="933"/>
      <c r="X753" s="933"/>
      <c r="Y753" s="933"/>
      <c r="Z753" s="933"/>
      <c r="AA753" s="933"/>
      <c r="AB753" s="933"/>
      <c r="AC753" s="933"/>
      <c r="AD753" s="933"/>
    </row>
    <row r="754" spans="1:30" ht="12.75">
      <c r="A754" s="933"/>
      <c r="B754" s="933"/>
      <c r="C754" s="933"/>
      <c r="D754" s="933"/>
      <c r="E754" s="933"/>
      <c r="F754" s="933"/>
      <c r="G754" s="933"/>
      <c r="H754" s="933"/>
      <c r="I754" s="933"/>
      <c r="J754" s="933"/>
      <c r="K754" s="935"/>
      <c r="L754" s="933"/>
      <c r="M754" s="933"/>
      <c r="N754" s="945"/>
      <c r="O754" s="933"/>
      <c r="P754" s="933"/>
      <c r="Q754" s="933"/>
      <c r="R754" s="933"/>
      <c r="S754" s="933"/>
      <c r="T754" s="933"/>
      <c r="U754" s="933"/>
      <c r="V754" s="933"/>
      <c r="W754" s="933"/>
      <c r="X754" s="933"/>
      <c r="Y754" s="933"/>
      <c r="Z754" s="933"/>
      <c r="AA754" s="933"/>
      <c r="AB754" s="933"/>
      <c r="AC754" s="933"/>
      <c r="AD754" s="933"/>
    </row>
    <row r="755" spans="1:30" ht="12.75">
      <c r="A755" s="933"/>
      <c r="B755" s="933"/>
      <c r="C755" s="933"/>
      <c r="D755" s="933"/>
      <c r="E755" s="933"/>
      <c r="F755" s="933"/>
      <c r="G755" s="933"/>
      <c r="H755" s="933"/>
      <c r="I755" s="933"/>
      <c r="J755" s="933"/>
      <c r="K755" s="935"/>
      <c r="L755" s="933"/>
      <c r="M755" s="933"/>
      <c r="N755" s="945"/>
      <c r="O755" s="933"/>
      <c r="P755" s="933"/>
      <c r="Q755" s="933"/>
      <c r="R755" s="933"/>
      <c r="S755" s="933"/>
      <c r="T755" s="933"/>
      <c r="U755" s="933"/>
      <c r="V755" s="933"/>
      <c r="W755" s="933"/>
      <c r="X755" s="933"/>
      <c r="Y755" s="933"/>
      <c r="Z755" s="933"/>
      <c r="AA755" s="933"/>
      <c r="AB755" s="933"/>
      <c r="AC755" s="933"/>
      <c r="AD755" s="933"/>
    </row>
    <row r="756" spans="1:30" ht="12.75">
      <c r="A756" s="933"/>
      <c r="B756" s="933"/>
      <c r="C756" s="933"/>
      <c r="D756" s="933"/>
      <c r="E756" s="933"/>
      <c r="F756" s="933"/>
      <c r="G756" s="933"/>
      <c r="H756" s="933"/>
      <c r="I756" s="933"/>
      <c r="J756" s="933"/>
      <c r="K756" s="935"/>
      <c r="L756" s="933"/>
      <c r="M756" s="933"/>
      <c r="N756" s="945"/>
      <c r="O756" s="933"/>
      <c r="P756" s="933"/>
      <c r="Q756" s="933"/>
      <c r="R756" s="933"/>
      <c r="S756" s="933"/>
      <c r="T756" s="933"/>
      <c r="U756" s="933"/>
      <c r="V756" s="933"/>
      <c r="W756" s="933"/>
      <c r="X756" s="933"/>
      <c r="Y756" s="933"/>
      <c r="Z756" s="933"/>
      <c r="AA756" s="933"/>
      <c r="AB756" s="933"/>
      <c r="AC756" s="933"/>
      <c r="AD756" s="933"/>
    </row>
    <row r="757" spans="1:30" ht="12.75">
      <c r="A757" s="933"/>
      <c r="B757" s="933"/>
      <c r="C757" s="933"/>
      <c r="D757" s="933"/>
      <c r="E757" s="933"/>
      <c r="F757" s="933"/>
      <c r="G757" s="933"/>
      <c r="H757" s="933"/>
      <c r="I757" s="933"/>
      <c r="J757" s="933"/>
      <c r="K757" s="935"/>
      <c r="L757" s="933"/>
      <c r="M757" s="933"/>
      <c r="N757" s="945"/>
      <c r="O757" s="933"/>
      <c r="P757" s="933"/>
      <c r="Q757" s="933"/>
      <c r="R757" s="933"/>
      <c r="S757" s="933"/>
      <c r="T757" s="933"/>
      <c r="U757" s="933"/>
      <c r="V757" s="933"/>
      <c r="W757" s="933"/>
      <c r="X757" s="933"/>
      <c r="Y757" s="933"/>
      <c r="Z757" s="933"/>
      <c r="AA757" s="933"/>
      <c r="AB757" s="933"/>
      <c r="AC757" s="933"/>
      <c r="AD757" s="933"/>
    </row>
    <row r="758" spans="1:30" ht="12.75">
      <c r="A758" s="933"/>
      <c r="B758" s="933"/>
      <c r="C758" s="933"/>
      <c r="D758" s="933"/>
      <c r="E758" s="933"/>
      <c r="F758" s="933"/>
      <c r="G758" s="933"/>
      <c r="H758" s="933"/>
      <c r="I758" s="933"/>
      <c r="J758" s="933"/>
      <c r="K758" s="935"/>
      <c r="L758" s="933"/>
      <c r="M758" s="933"/>
      <c r="N758" s="945"/>
      <c r="O758" s="933"/>
      <c r="P758" s="933"/>
      <c r="Q758" s="933"/>
      <c r="R758" s="933"/>
      <c r="S758" s="933"/>
      <c r="T758" s="933"/>
      <c r="U758" s="933"/>
      <c r="V758" s="933"/>
      <c r="W758" s="933"/>
      <c r="X758" s="933"/>
      <c r="Y758" s="933"/>
      <c r="Z758" s="933"/>
      <c r="AA758" s="933"/>
      <c r="AB758" s="933"/>
      <c r="AC758" s="933"/>
      <c r="AD758" s="933"/>
    </row>
    <row r="759" spans="1:30" ht="12.75">
      <c r="A759" s="933"/>
      <c r="B759" s="933"/>
      <c r="C759" s="933"/>
      <c r="D759" s="933"/>
      <c r="E759" s="933"/>
      <c r="F759" s="933"/>
      <c r="G759" s="933"/>
      <c r="H759" s="933"/>
      <c r="I759" s="933"/>
      <c r="J759" s="933"/>
      <c r="K759" s="935"/>
      <c r="L759" s="933"/>
      <c r="M759" s="933"/>
      <c r="N759" s="945"/>
      <c r="O759" s="933"/>
      <c r="P759" s="933"/>
      <c r="Q759" s="933"/>
      <c r="R759" s="933"/>
      <c r="S759" s="933"/>
      <c r="T759" s="933"/>
      <c r="U759" s="933"/>
      <c r="V759" s="933"/>
      <c r="W759" s="933"/>
      <c r="X759" s="933"/>
      <c r="Y759" s="933"/>
      <c r="Z759" s="933"/>
      <c r="AA759" s="933"/>
      <c r="AB759" s="933"/>
      <c r="AC759" s="933"/>
      <c r="AD759" s="933"/>
    </row>
    <row r="760" spans="1:30" ht="12.75">
      <c r="A760" s="933"/>
      <c r="B760" s="933"/>
      <c r="C760" s="933"/>
      <c r="D760" s="933"/>
      <c r="E760" s="933"/>
      <c r="F760" s="933"/>
      <c r="G760" s="933"/>
      <c r="H760" s="933"/>
      <c r="I760" s="933"/>
      <c r="J760" s="933"/>
      <c r="K760" s="935"/>
      <c r="L760" s="933"/>
      <c r="M760" s="933"/>
      <c r="N760" s="945"/>
      <c r="O760" s="933"/>
      <c r="P760" s="933"/>
      <c r="Q760" s="933"/>
      <c r="R760" s="933"/>
      <c r="S760" s="933"/>
      <c r="T760" s="933"/>
      <c r="U760" s="933"/>
      <c r="V760" s="933"/>
      <c r="W760" s="933"/>
      <c r="X760" s="933"/>
      <c r="Y760" s="933"/>
      <c r="Z760" s="933"/>
      <c r="AA760" s="933"/>
      <c r="AB760" s="933"/>
      <c r="AC760" s="933"/>
      <c r="AD760" s="933"/>
    </row>
    <row r="761" spans="1:30" ht="12.75">
      <c r="A761" s="933"/>
      <c r="B761" s="933"/>
      <c r="C761" s="933"/>
      <c r="D761" s="933"/>
      <c r="E761" s="933"/>
      <c r="F761" s="933"/>
      <c r="G761" s="933"/>
      <c r="H761" s="933"/>
      <c r="I761" s="933"/>
      <c r="J761" s="933"/>
      <c r="K761" s="935"/>
      <c r="L761" s="933"/>
      <c r="M761" s="933"/>
      <c r="N761" s="945"/>
      <c r="O761" s="933"/>
      <c r="P761" s="933"/>
      <c r="Q761" s="933"/>
      <c r="R761" s="933"/>
      <c r="S761" s="933"/>
      <c r="T761" s="933"/>
      <c r="U761" s="933"/>
      <c r="V761" s="933"/>
      <c r="W761" s="933"/>
      <c r="X761" s="933"/>
      <c r="Y761" s="933"/>
      <c r="Z761" s="933"/>
      <c r="AA761" s="933"/>
      <c r="AB761" s="933"/>
      <c r="AC761" s="933"/>
      <c r="AD761" s="933"/>
    </row>
    <row r="762" spans="1:30" ht="12.75">
      <c r="A762" s="933"/>
      <c r="B762" s="933"/>
      <c r="C762" s="933"/>
      <c r="D762" s="933"/>
      <c r="E762" s="933"/>
      <c r="F762" s="933"/>
      <c r="G762" s="933"/>
      <c r="H762" s="933"/>
      <c r="I762" s="933"/>
      <c r="J762" s="933"/>
      <c r="K762" s="935"/>
      <c r="L762" s="933"/>
      <c r="M762" s="933"/>
      <c r="N762" s="945"/>
      <c r="O762" s="933"/>
      <c r="P762" s="933"/>
      <c r="Q762" s="933"/>
      <c r="R762" s="933"/>
      <c r="S762" s="933"/>
      <c r="T762" s="933"/>
      <c r="U762" s="933"/>
      <c r="V762" s="933"/>
      <c r="W762" s="933"/>
      <c r="X762" s="933"/>
      <c r="Y762" s="933"/>
      <c r="Z762" s="933"/>
      <c r="AA762" s="933"/>
      <c r="AB762" s="933"/>
      <c r="AC762" s="933"/>
      <c r="AD762" s="933"/>
    </row>
    <row r="763" spans="1:30" ht="12.75">
      <c r="A763" s="933"/>
      <c r="B763" s="933"/>
      <c r="C763" s="933"/>
      <c r="D763" s="933"/>
      <c r="E763" s="933"/>
      <c r="F763" s="933"/>
      <c r="G763" s="933"/>
      <c r="H763" s="933"/>
      <c r="I763" s="933"/>
      <c r="J763" s="933"/>
      <c r="K763" s="935"/>
      <c r="L763" s="933"/>
      <c r="M763" s="933"/>
      <c r="N763" s="945"/>
      <c r="O763" s="933"/>
      <c r="P763" s="933"/>
      <c r="Q763" s="933"/>
      <c r="R763" s="933"/>
      <c r="S763" s="933"/>
      <c r="T763" s="933"/>
      <c r="U763" s="933"/>
      <c r="V763" s="933"/>
      <c r="W763" s="933"/>
      <c r="X763" s="933"/>
      <c r="Y763" s="933"/>
      <c r="Z763" s="933"/>
      <c r="AA763" s="933"/>
      <c r="AB763" s="933"/>
      <c r="AC763" s="933"/>
      <c r="AD763" s="933"/>
    </row>
    <row r="764" spans="1:30" ht="12.75">
      <c r="A764" s="933"/>
      <c r="B764" s="933"/>
      <c r="C764" s="933"/>
      <c r="D764" s="933"/>
      <c r="E764" s="933"/>
      <c r="F764" s="933"/>
      <c r="G764" s="933"/>
      <c r="H764" s="933"/>
      <c r="I764" s="933"/>
      <c r="J764" s="933"/>
      <c r="K764" s="935"/>
      <c r="L764" s="933"/>
      <c r="M764" s="933"/>
      <c r="N764" s="945"/>
      <c r="O764" s="933"/>
      <c r="P764" s="933"/>
      <c r="Q764" s="933"/>
      <c r="R764" s="933"/>
      <c r="S764" s="933"/>
      <c r="T764" s="933"/>
      <c r="U764" s="933"/>
      <c r="V764" s="933"/>
      <c r="W764" s="933"/>
      <c r="X764" s="933"/>
      <c r="Y764" s="933"/>
      <c r="Z764" s="933"/>
      <c r="AA764" s="933"/>
      <c r="AB764" s="933"/>
      <c r="AC764" s="933"/>
      <c r="AD764" s="933"/>
    </row>
    <row r="765" spans="1:30" ht="12.75">
      <c r="A765" s="933"/>
      <c r="B765" s="933"/>
      <c r="C765" s="933"/>
      <c r="D765" s="933"/>
      <c r="E765" s="933"/>
      <c r="F765" s="933"/>
      <c r="G765" s="933"/>
      <c r="H765" s="933"/>
      <c r="I765" s="933"/>
      <c r="J765" s="933"/>
      <c r="K765" s="935"/>
      <c r="L765" s="933"/>
      <c r="M765" s="933"/>
      <c r="N765" s="945"/>
      <c r="O765" s="933"/>
      <c r="P765" s="933"/>
      <c r="Q765" s="933"/>
      <c r="R765" s="933"/>
      <c r="S765" s="933"/>
      <c r="T765" s="933"/>
      <c r="U765" s="933"/>
      <c r="V765" s="933"/>
      <c r="W765" s="933"/>
      <c r="X765" s="933"/>
      <c r="Y765" s="933"/>
      <c r="Z765" s="933"/>
      <c r="AA765" s="933"/>
      <c r="AB765" s="933"/>
      <c r="AC765" s="933"/>
      <c r="AD765" s="933"/>
    </row>
    <row r="766" spans="1:30" ht="12.75">
      <c r="A766" s="933"/>
      <c r="B766" s="933"/>
      <c r="C766" s="933"/>
      <c r="D766" s="933"/>
      <c r="E766" s="933"/>
      <c r="F766" s="933"/>
      <c r="G766" s="933"/>
      <c r="H766" s="933"/>
      <c r="I766" s="933"/>
      <c r="J766" s="933"/>
      <c r="K766" s="935"/>
      <c r="L766" s="933"/>
      <c r="M766" s="933"/>
      <c r="N766" s="945"/>
      <c r="O766" s="933"/>
      <c r="P766" s="933"/>
      <c r="Q766" s="933"/>
      <c r="R766" s="933"/>
      <c r="S766" s="933"/>
      <c r="T766" s="933"/>
      <c r="U766" s="933"/>
      <c r="V766" s="933"/>
      <c r="W766" s="933"/>
      <c r="X766" s="933"/>
      <c r="Y766" s="933"/>
      <c r="Z766" s="933"/>
      <c r="AA766" s="933"/>
      <c r="AB766" s="933"/>
      <c r="AC766" s="933"/>
      <c r="AD766" s="933"/>
    </row>
    <row r="767" spans="1:30" ht="12.75">
      <c r="A767" s="933"/>
      <c r="B767" s="933"/>
      <c r="C767" s="933"/>
      <c r="D767" s="933"/>
      <c r="E767" s="933"/>
      <c r="F767" s="933"/>
      <c r="G767" s="933"/>
      <c r="H767" s="933"/>
      <c r="I767" s="933"/>
      <c r="J767" s="933"/>
      <c r="K767" s="935"/>
      <c r="L767" s="933"/>
      <c r="M767" s="933"/>
      <c r="N767" s="945"/>
      <c r="O767" s="933"/>
      <c r="P767" s="933"/>
      <c r="Q767" s="933"/>
      <c r="R767" s="933"/>
      <c r="S767" s="933"/>
      <c r="T767" s="933"/>
      <c r="U767" s="933"/>
      <c r="V767" s="933"/>
      <c r="W767" s="933"/>
      <c r="X767" s="933"/>
      <c r="Y767" s="933"/>
      <c r="Z767" s="933"/>
      <c r="AA767" s="933"/>
      <c r="AB767" s="933"/>
      <c r="AC767" s="933"/>
      <c r="AD767" s="933"/>
    </row>
    <row r="768" spans="1:30" ht="12.75">
      <c r="A768" s="933"/>
      <c r="B768" s="933"/>
      <c r="C768" s="933"/>
      <c r="D768" s="933"/>
      <c r="E768" s="933"/>
      <c r="F768" s="933"/>
      <c r="G768" s="933"/>
      <c r="H768" s="933"/>
      <c r="I768" s="933"/>
      <c r="J768" s="933"/>
      <c r="K768" s="935"/>
      <c r="L768" s="933"/>
      <c r="M768" s="933"/>
      <c r="N768" s="945"/>
      <c r="O768" s="933"/>
      <c r="P768" s="933"/>
      <c r="Q768" s="933"/>
      <c r="R768" s="933"/>
      <c r="S768" s="933"/>
      <c r="T768" s="933"/>
      <c r="U768" s="933"/>
      <c r="V768" s="933"/>
      <c r="W768" s="933"/>
      <c r="X768" s="933"/>
      <c r="Y768" s="933"/>
      <c r="Z768" s="933"/>
      <c r="AA768" s="933"/>
      <c r="AB768" s="933"/>
      <c r="AC768" s="933"/>
      <c r="AD768" s="933"/>
    </row>
    <row r="769" spans="1:30" ht="12.75">
      <c r="A769" s="933"/>
      <c r="B769" s="933"/>
      <c r="C769" s="933"/>
      <c r="D769" s="933"/>
      <c r="E769" s="933"/>
      <c r="F769" s="933"/>
      <c r="G769" s="933"/>
      <c r="H769" s="933"/>
      <c r="I769" s="933"/>
      <c r="J769" s="933"/>
      <c r="K769" s="935"/>
      <c r="L769" s="933"/>
      <c r="M769" s="933"/>
      <c r="N769" s="945"/>
      <c r="O769" s="933"/>
      <c r="P769" s="933"/>
      <c r="Q769" s="933"/>
      <c r="R769" s="933"/>
      <c r="S769" s="933"/>
      <c r="T769" s="933"/>
      <c r="U769" s="933"/>
      <c r="V769" s="933"/>
      <c r="W769" s="933"/>
      <c r="X769" s="933"/>
      <c r="Y769" s="933"/>
      <c r="Z769" s="933"/>
      <c r="AA769" s="933"/>
      <c r="AB769" s="933"/>
      <c r="AC769" s="933"/>
      <c r="AD769" s="933"/>
    </row>
    <row r="770" spans="1:30" ht="12.75">
      <c r="A770" s="933"/>
      <c r="B770" s="933"/>
      <c r="C770" s="933"/>
      <c r="D770" s="933"/>
      <c r="E770" s="933"/>
      <c r="F770" s="933"/>
      <c r="G770" s="933"/>
      <c r="H770" s="933"/>
      <c r="I770" s="933"/>
      <c r="J770" s="933"/>
      <c r="K770" s="935"/>
      <c r="L770" s="933"/>
      <c r="M770" s="933"/>
      <c r="N770" s="945"/>
      <c r="O770" s="933"/>
      <c r="P770" s="933"/>
      <c r="Q770" s="933"/>
      <c r="R770" s="933"/>
      <c r="S770" s="933"/>
      <c r="T770" s="933"/>
      <c r="U770" s="933"/>
      <c r="V770" s="933"/>
      <c r="W770" s="933"/>
      <c r="X770" s="933"/>
      <c r="Y770" s="933"/>
      <c r="Z770" s="933"/>
      <c r="AA770" s="933"/>
      <c r="AB770" s="933"/>
      <c r="AC770" s="933"/>
      <c r="AD770" s="933"/>
    </row>
    <row r="771" spans="1:30" ht="12.75">
      <c r="A771" s="933"/>
      <c r="B771" s="933"/>
      <c r="C771" s="933"/>
      <c r="D771" s="933"/>
      <c r="E771" s="933"/>
      <c r="F771" s="933"/>
      <c r="G771" s="933"/>
      <c r="H771" s="933"/>
      <c r="I771" s="933"/>
      <c r="J771" s="933"/>
      <c r="K771" s="935"/>
      <c r="L771" s="933"/>
      <c r="M771" s="933"/>
      <c r="N771" s="945"/>
      <c r="O771" s="933"/>
      <c r="P771" s="933"/>
      <c r="Q771" s="933"/>
      <c r="R771" s="933"/>
      <c r="S771" s="933"/>
      <c r="T771" s="933"/>
      <c r="U771" s="933"/>
      <c r="V771" s="933"/>
      <c r="W771" s="933"/>
      <c r="X771" s="933"/>
      <c r="Y771" s="933"/>
      <c r="Z771" s="933"/>
      <c r="AA771" s="933"/>
      <c r="AB771" s="933"/>
      <c r="AC771" s="933"/>
      <c r="AD771" s="933"/>
    </row>
    <row r="772" spans="1:30" ht="12.75">
      <c r="A772" s="933"/>
      <c r="B772" s="933"/>
      <c r="C772" s="933"/>
      <c r="D772" s="933"/>
      <c r="E772" s="933"/>
      <c r="F772" s="933"/>
      <c r="G772" s="933"/>
      <c r="H772" s="933"/>
      <c r="I772" s="933"/>
      <c r="J772" s="933"/>
      <c r="K772" s="935"/>
      <c r="L772" s="933"/>
      <c r="M772" s="933"/>
      <c r="N772" s="945"/>
      <c r="O772" s="933"/>
      <c r="P772" s="933"/>
      <c r="Q772" s="933"/>
      <c r="R772" s="933"/>
      <c r="S772" s="933"/>
      <c r="T772" s="933"/>
      <c r="U772" s="933"/>
      <c r="V772" s="933"/>
      <c r="W772" s="933"/>
      <c r="X772" s="933"/>
      <c r="Y772" s="933"/>
      <c r="Z772" s="933"/>
      <c r="AA772" s="933"/>
      <c r="AB772" s="933"/>
      <c r="AC772" s="933"/>
      <c r="AD772" s="933"/>
    </row>
    <row r="773" spans="1:30" ht="12.75">
      <c r="A773" s="933"/>
      <c r="B773" s="933"/>
      <c r="C773" s="933"/>
      <c r="D773" s="933"/>
      <c r="E773" s="933"/>
      <c r="F773" s="933"/>
      <c r="G773" s="933"/>
      <c r="H773" s="933"/>
      <c r="I773" s="933"/>
      <c r="J773" s="933"/>
      <c r="K773" s="935"/>
      <c r="L773" s="933"/>
      <c r="M773" s="933"/>
      <c r="N773" s="945"/>
      <c r="O773" s="933"/>
      <c r="P773" s="933"/>
      <c r="Q773" s="933"/>
      <c r="R773" s="933"/>
      <c r="S773" s="933"/>
      <c r="T773" s="933"/>
      <c r="U773" s="933"/>
      <c r="V773" s="933"/>
      <c r="W773" s="933"/>
      <c r="X773" s="933"/>
      <c r="Y773" s="933"/>
      <c r="Z773" s="933"/>
      <c r="AA773" s="933"/>
      <c r="AB773" s="933"/>
      <c r="AC773" s="933"/>
      <c r="AD773" s="933"/>
    </row>
    <row r="774" spans="1:30" ht="12.75">
      <c r="A774" s="933"/>
      <c r="B774" s="933"/>
      <c r="C774" s="933"/>
      <c r="D774" s="933"/>
      <c r="E774" s="933"/>
      <c r="F774" s="933"/>
      <c r="G774" s="933"/>
      <c r="H774" s="933"/>
      <c r="I774" s="933"/>
      <c r="J774" s="933"/>
      <c r="K774" s="935"/>
      <c r="L774" s="933"/>
      <c r="M774" s="933"/>
      <c r="N774" s="945"/>
      <c r="O774" s="933"/>
      <c r="P774" s="933"/>
      <c r="Q774" s="933"/>
      <c r="R774" s="933"/>
      <c r="S774" s="933"/>
      <c r="T774" s="933"/>
      <c r="U774" s="933"/>
      <c r="V774" s="933"/>
      <c r="W774" s="933"/>
      <c r="X774" s="933"/>
      <c r="Y774" s="933"/>
      <c r="Z774" s="933"/>
      <c r="AA774" s="933"/>
      <c r="AB774" s="933"/>
      <c r="AC774" s="933"/>
      <c r="AD774" s="933"/>
    </row>
    <row r="775" spans="1:30" ht="12.75">
      <c r="A775" s="933"/>
      <c r="B775" s="933"/>
      <c r="C775" s="933"/>
      <c r="D775" s="933"/>
      <c r="E775" s="933"/>
      <c r="F775" s="933"/>
      <c r="G775" s="933"/>
      <c r="H775" s="933"/>
      <c r="I775" s="933"/>
      <c r="J775" s="933"/>
      <c r="K775" s="935"/>
      <c r="L775" s="933"/>
      <c r="M775" s="933"/>
      <c r="N775" s="945"/>
      <c r="O775" s="933"/>
      <c r="P775" s="933"/>
      <c r="Q775" s="933"/>
      <c r="R775" s="933"/>
      <c r="S775" s="933"/>
      <c r="T775" s="933"/>
      <c r="U775" s="933"/>
      <c r="V775" s="933"/>
      <c r="W775" s="933"/>
      <c r="X775" s="933"/>
      <c r="Y775" s="933"/>
      <c r="Z775" s="933"/>
      <c r="AA775" s="933"/>
      <c r="AB775" s="933"/>
      <c r="AC775" s="933"/>
      <c r="AD775" s="933"/>
    </row>
    <row r="776" spans="1:30" ht="12.75">
      <c r="A776" s="933"/>
      <c r="B776" s="933"/>
      <c r="C776" s="933"/>
      <c r="D776" s="933"/>
      <c r="E776" s="933"/>
      <c r="F776" s="933"/>
      <c r="G776" s="933"/>
      <c r="H776" s="933"/>
      <c r="I776" s="933"/>
      <c r="J776" s="933"/>
      <c r="K776" s="935"/>
      <c r="L776" s="933"/>
      <c r="M776" s="933"/>
      <c r="N776" s="945"/>
      <c r="O776" s="933"/>
      <c r="P776" s="933"/>
      <c r="Q776" s="933"/>
      <c r="R776" s="933"/>
      <c r="S776" s="933"/>
      <c r="T776" s="933"/>
      <c r="U776" s="933"/>
      <c r="V776" s="933"/>
      <c r="W776" s="933"/>
      <c r="X776" s="933"/>
      <c r="Y776" s="933"/>
      <c r="Z776" s="933"/>
      <c r="AA776" s="933"/>
      <c r="AB776" s="933"/>
      <c r="AC776" s="933"/>
      <c r="AD776" s="933"/>
    </row>
    <row r="777" spans="1:30" ht="12.75">
      <c r="A777" s="933"/>
      <c r="B777" s="933"/>
      <c r="C777" s="933"/>
      <c r="D777" s="933"/>
      <c r="E777" s="933"/>
      <c r="F777" s="933"/>
      <c r="G777" s="933"/>
      <c r="H777" s="933"/>
      <c r="I777" s="933"/>
      <c r="J777" s="933"/>
      <c r="K777" s="935"/>
      <c r="L777" s="933"/>
      <c r="M777" s="933"/>
      <c r="N777" s="945"/>
      <c r="O777" s="933"/>
      <c r="P777" s="933"/>
      <c r="Q777" s="933"/>
      <c r="R777" s="933"/>
      <c r="S777" s="933"/>
      <c r="T777" s="933"/>
      <c r="U777" s="933"/>
      <c r="V777" s="933"/>
      <c r="W777" s="933"/>
      <c r="X777" s="933"/>
      <c r="Y777" s="933"/>
      <c r="Z777" s="933"/>
      <c r="AA777" s="933"/>
      <c r="AB777" s="933"/>
      <c r="AC777" s="933"/>
      <c r="AD777" s="933"/>
    </row>
    <row r="778" spans="1:30" ht="12.75">
      <c r="A778" s="933"/>
      <c r="B778" s="933"/>
      <c r="C778" s="933"/>
      <c r="D778" s="933"/>
      <c r="E778" s="933"/>
      <c r="F778" s="933"/>
      <c r="G778" s="933"/>
      <c r="H778" s="933"/>
      <c r="I778" s="933"/>
      <c r="J778" s="933"/>
      <c r="K778" s="935"/>
      <c r="L778" s="933"/>
      <c r="M778" s="933"/>
      <c r="N778" s="945"/>
      <c r="O778" s="933"/>
      <c r="P778" s="933"/>
      <c r="Q778" s="933"/>
      <c r="R778" s="933"/>
      <c r="S778" s="933"/>
      <c r="T778" s="933"/>
      <c r="U778" s="933"/>
      <c r="V778" s="933"/>
      <c r="W778" s="933"/>
      <c r="X778" s="933"/>
      <c r="Y778" s="933"/>
      <c r="Z778" s="933"/>
      <c r="AA778" s="933"/>
      <c r="AB778" s="933"/>
      <c r="AC778" s="933"/>
      <c r="AD778" s="933"/>
    </row>
    <row r="779" spans="1:30" ht="12.75">
      <c r="A779" s="933"/>
      <c r="B779" s="933"/>
      <c r="C779" s="933"/>
      <c r="D779" s="933"/>
      <c r="E779" s="933"/>
      <c r="F779" s="933"/>
      <c r="G779" s="933"/>
      <c r="H779" s="933"/>
      <c r="I779" s="933"/>
      <c r="J779" s="933"/>
      <c r="K779" s="935"/>
      <c r="L779" s="933"/>
      <c r="M779" s="933"/>
      <c r="N779" s="945"/>
      <c r="O779" s="933"/>
      <c r="P779" s="933"/>
      <c r="Q779" s="933"/>
      <c r="R779" s="933"/>
      <c r="S779" s="933"/>
      <c r="T779" s="933"/>
      <c r="U779" s="933"/>
      <c r="V779" s="933"/>
      <c r="W779" s="933"/>
      <c r="X779" s="933"/>
      <c r="Y779" s="933"/>
      <c r="Z779" s="933"/>
      <c r="AA779" s="933"/>
      <c r="AB779" s="933"/>
      <c r="AC779" s="933"/>
      <c r="AD779" s="933"/>
    </row>
    <row r="780" spans="1:30" ht="12.75">
      <c r="A780" s="933"/>
      <c r="B780" s="933"/>
      <c r="C780" s="933"/>
      <c r="D780" s="933"/>
      <c r="E780" s="933"/>
      <c r="F780" s="933"/>
      <c r="G780" s="933"/>
      <c r="H780" s="933"/>
      <c r="I780" s="933"/>
      <c r="J780" s="933"/>
      <c r="K780" s="935"/>
      <c r="L780" s="933"/>
      <c r="M780" s="933"/>
      <c r="N780" s="945"/>
      <c r="O780" s="933"/>
      <c r="P780" s="933"/>
      <c r="Q780" s="933"/>
      <c r="R780" s="933"/>
      <c r="S780" s="933"/>
      <c r="T780" s="933"/>
      <c r="U780" s="933"/>
      <c r="V780" s="933"/>
      <c r="W780" s="933"/>
      <c r="X780" s="933"/>
      <c r="Y780" s="933"/>
      <c r="Z780" s="933"/>
      <c r="AA780" s="933"/>
      <c r="AB780" s="933"/>
      <c r="AC780" s="933"/>
      <c r="AD780" s="933"/>
    </row>
    <row r="781" spans="1:30" ht="12.75">
      <c r="A781" s="933"/>
      <c r="B781" s="933"/>
      <c r="C781" s="933"/>
      <c r="D781" s="933"/>
      <c r="E781" s="933"/>
      <c r="F781" s="933"/>
      <c r="G781" s="933"/>
      <c r="H781" s="933"/>
      <c r="I781" s="933"/>
      <c r="J781" s="933"/>
      <c r="K781" s="935"/>
      <c r="L781" s="933"/>
      <c r="M781" s="933"/>
      <c r="N781" s="945"/>
      <c r="O781" s="933"/>
      <c r="P781" s="933"/>
      <c r="Q781" s="933"/>
      <c r="R781" s="933"/>
      <c r="S781" s="933"/>
      <c r="T781" s="933"/>
      <c r="U781" s="933"/>
      <c r="V781" s="933"/>
      <c r="W781" s="933"/>
      <c r="X781" s="933"/>
      <c r="Y781" s="933"/>
      <c r="Z781" s="933"/>
      <c r="AA781" s="933"/>
      <c r="AB781" s="933"/>
      <c r="AC781" s="933"/>
      <c r="AD781" s="933"/>
    </row>
    <row r="782" spans="1:30" ht="12.75">
      <c r="A782" s="933"/>
      <c r="B782" s="933"/>
      <c r="C782" s="933"/>
      <c r="D782" s="933"/>
      <c r="E782" s="933"/>
      <c r="F782" s="933"/>
      <c r="G782" s="933"/>
      <c r="H782" s="933"/>
      <c r="I782" s="933"/>
      <c r="J782" s="933"/>
      <c r="K782" s="935"/>
      <c r="L782" s="933"/>
      <c r="M782" s="933"/>
      <c r="N782" s="945"/>
      <c r="O782" s="933"/>
      <c r="P782" s="933"/>
      <c r="Q782" s="933"/>
      <c r="R782" s="933"/>
      <c r="S782" s="933"/>
      <c r="T782" s="933"/>
      <c r="U782" s="933"/>
      <c r="V782" s="933"/>
      <c r="W782" s="933"/>
      <c r="X782" s="933"/>
      <c r="Y782" s="933"/>
      <c r="Z782" s="933"/>
      <c r="AA782" s="933"/>
      <c r="AB782" s="933"/>
      <c r="AC782" s="933"/>
      <c r="AD782" s="933"/>
    </row>
    <row r="783" spans="1:30" ht="12.75">
      <c r="A783" s="933"/>
      <c r="B783" s="933"/>
      <c r="C783" s="933"/>
      <c r="D783" s="933"/>
      <c r="E783" s="933"/>
      <c r="F783" s="933"/>
      <c r="G783" s="933"/>
      <c r="H783" s="933"/>
      <c r="I783" s="933"/>
      <c r="J783" s="933"/>
      <c r="K783" s="935"/>
      <c r="L783" s="933"/>
      <c r="M783" s="933"/>
      <c r="N783" s="945"/>
      <c r="O783" s="933"/>
      <c r="P783" s="933"/>
      <c r="Q783" s="933"/>
      <c r="R783" s="933"/>
      <c r="S783" s="933"/>
      <c r="T783" s="933"/>
      <c r="U783" s="933"/>
      <c r="V783" s="933"/>
      <c r="W783" s="933"/>
      <c r="X783" s="933"/>
      <c r="Y783" s="933"/>
      <c r="Z783" s="933"/>
      <c r="AA783" s="933"/>
      <c r="AB783" s="933"/>
      <c r="AC783" s="933"/>
      <c r="AD783" s="933"/>
    </row>
    <row r="784" spans="1:30" ht="12.75">
      <c r="A784" s="933"/>
      <c r="B784" s="933"/>
      <c r="C784" s="933"/>
      <c r="D784" s="933"/>
      <c r="E784" s="933"/>
      <c r="F784" s="933"/>
      <c r="G784" s="933"/>
      <c r="H784" s="933"/>
      <c r="I784" s="933"/>
      <c r="J784" s="933"/>
      <c r="K784" s="935"/>
      <c r="L784" s="933"/>
      <c r="M784" s="933"/>
      <c r="N784" s="945"/>
      <c r="O784" s="933"/>
      <c r="P784" s="933"/>
      <c r="Q784" s="933"/>
      <c r="R784" s="933"/>
      <c r="S784" s="933"/>
      <c r="T784" s="933"/>
      <c r="U784" s="933"/>
      <c r="V784" s="933"/>
      <c r="W784" s="933"/>
      <c r="X784" s="933"/>
      <c r="Y784" s="933"/>
      <c r="Z784" s="933"/>
      <c r="AA784" s="933"/>
      <c r="AB784" s="933"/>
      <c r="AC784" s="933"/>
      <c r="AD784" s="933"/>
    </row>
    <row r="785" spans="1:30" ht="12.75">
      <c r="A785" s="933"/>
      <c r="B785" s="933"/>
      <c r="C785" s="933"/>
      <c r="D785" s="933"/>
      <c r="E785" s="933"/>
      <c r="F785" s="933"/>
      <c r="G785" s="933"/>
      <c r="H785" s="933"/>
      <c r="I785" s="933"/>
      <c r="J785" s="933"/>
      <c r="K785" s="935"/>
      <c r="L785" s="933"/>
      <c r="M785" s="933"/>
      <c r="N785" s="945"/>
      <c r="O785" s="933"/>
      <c r="P785" s="933"/>
      <c r="Q785" s="933"/>
      <c r="R785" s="933"/>
      <c r="S785" s="933"/>
      <c r="T785" s="933"/>
      <c r="U785" s="933"/>
      <c r="V785" s="933"/>
      <c r="W785" s="933"/>
      <c r="X785" s="933"/>
      <c r="Y785" s="933"/>
      <c r="Z785" s="933"/>
      <c r="AA785" s="933"/>
      <c r="AB785" s="933"/>
      <c r="AC785" s="933"/>
      <c r="AD785" s="933"/>
    </row>
    <row r="786" spans="1:30" ht="12.75">
      <c r="A786" s="933"/>
      <c r="B786" s="933"/>
      <c r="C786" s="933"/>
      <c r="D786" s="933"/>
      <c r="E786" s="933"/>
      <c r="F786" s="933"/>
      <c r="G786" s="933"/>
      <c r="H786" s="933"/>
      <c r="I786" s="933"/>
      <c r="J786" s="933"/>
      <c r="K786" s="935"/>
      <c r="L786" s="933"/>
      <c r="M786" s="933"/>
      <c r="N786" s="945"/>
      <c r="O786" s="933"/>
      <c r="P786" s="933"/>
      <c r="Q786" s="933"/>
      <c r="R786" s="933"/>
      <c r="S786" s="933"/>
      <c r="T786" s="933"/>
      <c r="U786" s="933"/>
      <c r="V786" s="933"/>
      <c r="W786" s="933"/>
      <c r="X786" s="933"/>
      <c r="Y786" s="933"/>
      <c r="Z786" s="933"/>
      <c r="AA786" s="933"/>
      <c r="AB786" s="933"/>
      <c r="AC786" s="933"/>
      <c r="AD786" s="933"/>
    </row>
    <row r="787" spans="1:30" ht="12.75">
      <c r="A787" s="933"/>
      <c r="B787" s="933"/>
      <c r="C787" s="933"/>
      <c r="D787" s="933"/>
      <c r="E787" s="933"/>
      <c r="F787" s="933"/>
      <c r="G787" s="933"/>
      <c r="H787" s="933"/>
      <c r="I787" s="933"/>
      <c r="J787" s="933"/>
      <c r="K787" s="935"/>
      <c r="L787" s="933"/>
      <c r="M787" s="933"/>
      <c r="N787" s="945"/>
      <c r="O787" s="933"/>
      <c r="P787" s="933"/>
      <c r="Q787" s="933"/>
      <c r="R787" s="933"/>
      <c r="S787" s="933"/>
      <c r="T787" s="933"/>
      <c r="U787" s="933"/>
      <c r="V787" s="933"/>
      <c r="W787" s="933"/>
      <c r="X787" s="933"/>
      <c r="Y787" s="933"/>
      <c r="Z787" s="933"/>
      <c r="AA787" s="933"/>
      <c r="AB787" s="933"/>
      <c r="AC787" s="933"/>
      <c r="AD787" s="933"/>
    </row>
    <row r="788" spans="1:30" ht="12.75">
      <c r="A788" s="933"/>
      <c r="B788" s="933"/>
      <c r="C788" s="933"/>
      <c r="D788" s="933"/>
      <c r="E788" s="933"/>
      <c r="F788" s="933"/>
      <c r="G788" s="933"/>
      <c r="H788" s="933"/>
      <c r="I788" s="933"/>
      <c r="J788" s="933"/>
      <c r="K788" s="935"/>
      <c r="L788" s="933"/>
      <c r="M788" s="933"/>
      <c r="N788" s="945"/>
      <c r="O788" s="933"/>
      <c r="P788" s="933"/>
      <c r="Q788" s="933"/>
      <c r="R788" s="933"/>
      <c r="S788" s="933"/>
      <c r="T788" s="933"/>
      <c r="U788" s="933"/>
      <c r="V788" s="933"/>
      <c r="W788" s="933"/>
      <c r="X788" s="933"/>
      <c r="Y788" s="933"/>
      <c r="Z788" s="933"/>
      <c r="AA788" s="933"/>
      <c r="AB788" s="933"/>
      <c r="AC788" s="933"/>
      <c r="AD788" s="933"/>
    </row>
    <row r="789" spans="1:30" ht="12.75">
      <c r="A789" s="933"/>
      <c r="B789" s="933"/>
      <c r="C789" s="933"/>
      <c r="D789" s="933"/>
      <c r="E789" s="933"/>
      <c r="F789" s="933"/>
      <c r="G789" s="933"/>
      <c r="H789" s="933"/>
      <c r="I789" s="933"/>
      <c r="J789" s="933"/>
      <c r="K789" s="935"/>
      <c r="L789" s="933"/>
      <c r="M789" s="933"/>
      <c r="N789" s="945"/>
      <c r="O789" s="933"/>
      <c r="P789" s="933"/>
      <c r="Q789" s="933"/>
      <c r="R789" s="933"/>
      <c r="S789" s="933"/>
      <c r="T789" s="933"/>
      <c r="U789" s="933"/>
      <c r="V789" s="933"/>
      <c r="W789" s="933"/>
      <c r="X789" s="933"/>
      <c r="Y789" s="933"/>
      <c r="Z789" s="933"/>
      <c r="AA789" s="933"/>
      <c r="AB789" s="933"/>
      <c r="AC789" s="933"/>
      <c r="AD789" s="933"/>
    </row>
    <row r="790" spans="1:30" ht="12.75">
      <c r="A790" s="933"/>
      <c r="B790" s="933"/>
      <c r="C790" s="933"/>
      <c r="D790" s="933"/>
      <c r="E790" s="933"/>
      <c r="F790" s="933"/>
      <c r="G790" s="933"/>
      <c r="H790" s="933"/>
      <c r="I790" s="933"/>
      <c r="J790" s="933"/>
      <c r="K790" s="935"/>
      <c r="L790" s="933"/>
      <c r="M790" s="933"/>
      <c r="N790" s="945"/>
      <c r="O790" s="933"/>
      <c r="P790" s="933"/>
      <c r="Q790" s="933"/>
      <c r="R790" s="933"/>
      <c r="S790" s="933"/>
      <c r="T790" s="933"/>
      <c r="U790" s="933"/>
      <c r="V790" s="933"/>
      <c r="W790" s="933"/>
      <c r="X790" s="933"/>
      <c r="Y790" s="933"/>
      <c r="Z790" s="933"/>
      <c r="AA790" s="933"/>
      <c r="AB790" s="933"/>
      <c r="AC790" s="933"/>
      <c r="AD790" s="933"/>
    </row>
    <row r="791" spans="1:30" ht="12.75">
      <c r="A791" s="933"/>
      <c r="B791" s="933"/>
      <c r="C791" s="933"/>
      <c r="D791" s="933"/>
      <c r="E791" s="933"/>
      <c r="F791" s="933"/>
      <c r="G791" s="933"/>
      <c r="H791" s="933"/>
      <c r="I791" s="933"/>
      <c r="J791" s="933"/>
      <c r="K791" s="935"/>
      <c r="L791" s="933"/>
      <c r="M791" s="933"/>
      <c r="N791" s="945"/>
      <c r="O791" s="933"/>
      <c r="P791" s="933"/>
      <c r="Q791" s="933"/>
      <c r="R791" s="933"/>
      <c r="S791" s="933"/>
      <c r="T791" s="933"/>
      <c r="U791" s="933"/>
      <c r="V791" s="933"/>
      <c r="W791" s="933"/>
      <c r="X791" s="933"/>
      <c r="Y791" s="933"/>
      <c r="Z791" s="933"/>
      <c r="AA791" s="933"/>
      <c r="AB791" s="933"/>
      <c r="AC791" s="933"/>
      <c r="AD791" s="933"/>
    </row>
    <row r="792" spans="1:30" ht="12.75">
      <c r="A792" s="933"/>
      <c r="B792" s="933"/>
      <c r="C792" s="933"/>
      <c r="D792" s="933"/>
      <c r="E792" s="933"/>
      <c r="F792" s="933"/>
      <c r="G792" s="933"/>
      <c r="H792" s="933"/>
      <c r="I792" s="933"/>
      <c r="J792" s="933"/>
      <c r="K792" s="935"/>
      <c r="L792" s="933"/>
      <c r="M792" s="933"/>
      <c r="N792" s="945"/>
      <c r="O792" s="933"/>
      <c r="P792" s="933"/>
      <c r="Q792" s="933"/>
      <c r="R792" s="933"/>
      <c r="S792" s="933"/>
      <c r="T792" s="933"/>
      <c r="U792" s="933"/>
      <c r="V792" s="933"/>
      <c r="W792" s="933"/>
      <c r="X792" s="933"/>
      <c r="Y792" s="933"/>
      <c r="Z792" s="933"/>
      <c r="AA792" s="933"/>
      <c r="AB792" s="933"/>
      <c r="AC792" s="933"/>
      <c r="AD792" s="933"/>
    </row>
    <row r="793" spans="1:30" ht="12.75">
      <c r="A793" s="933"/>
      <c r="B793" s="933"/>
      <c r="C793" s="933"/>
      <c r="D793" s="933"/>
      <c r="E793" s="933"/>
      <c r="F793" s="933"/>
      <c r="G793" s="933"/>
      <c r="H793" s="933"/>
      <c r="I793" s="933"/>
      <c r="J793" s="933"/>
      <c r="K793" s="935"/>
      <c r="L793" s="933"/>
      <c r="M793" s="933"/>
      <c r="N793" s="945"/>
      <c r="O793" s="933"/>
      <c r="P793" s="933"/>
      <c r="Q793" s="933"/>
      <c r="R793" s="933"/>
      <c r="S793" s="933"/>
      <c r="T793" s="933"/>
      <c r="U793" s="933"/>
      <c r="V793" s="933"/>
      <c r="W793" s="933"/>
      <c r="X793" s="933"/>
      <c r="Y793" s="933"/>
      <c r="Z793" s="933"/>
      <c r="AA793" s="933"/>
      <c r="AB793" s="933"/>
      <c r="AC793" s="933"/>
      <c r="AD793" s="933"/>
    </row>
    <row r="794" spans="1:30" ht="12.75">
      <c r="A794" s="933"/>
      <c r="B794" s="933"/>
      <c r="C794" s="933"/>
      <c r="D794" s="933"/>
      <c r="E794" s="933"/>
      <c r="F794" s="933"/>
      <c r="G794" s="933"/>
      <c r="H794" s="933"/>
      <c r="I794" s="933"/>
      <c r="J794" s="933"/>
      <c r="K794" s="935"/>
      <c r="L794" s="933"/>
      <c r="M794" s="933"/>
      <c r="N794" s="945"/>
      <c r="O794" s="933"/>
      <c r="P794" s="933"/>
      <c r="Q794" s="933"/>
      <c r="R794" s="933"/>
      <c r="S794" s="933"/>
      <c r="T794" s="933"/>
      <c r="U794" s="933"/>
      <c r="V794" s="933"/>
      <c r="W794" s="933"/>
      <c r="X794" s="933"/>
      <c r="Y794" s="933"/>
      <c r="Z794" s="933"/>
      <c r="AA794" s="933"/>
      <c r="AB794" s="933"/>
      <c r="AC794" s="933"/>
      <c r="AD794" s="933"/>
    </row>
    <row r="795" spans="1:30" ht="12.75">
      <c r="A795" s="933"/>
      <c r="B795" s="933"/>
      <c r="C795" s="933"/>
      <c r="D795" s="933"/>
      <c r="E795" s="933"/>
      <c r="F795" s="933"/>
      <c r="G795" s="933"/>
      <c r="H795" s="933"/>
      <c r="I795" s="933"/>
      <c r="J795" s="933"/>
      <c r="K795" s="935"/>
      <c r="L795" s="933"/>
      <c r="M795" s="933"/>
      <c r="N795" s="945"/>
      <c r="O795" s="933"/>
      <c r="P795" s="933"/>
      <c r="Q795" s="933"/>
      <c r="R795" s="933"/>
      <c r="S795" s="933"/>
      <c r="T795" s="933"/>
      <c r="U795" s="933"/>
      <c r="V795" s="933"/>
      <c r="W795" s="933"/>
      <c r="X795" s="933"/>
      <c r="Y795" s="933"/>
      <c r="Z795" s="933"/>
      <c r="AA795" s="933"/>
      <c r="AB795" s="933"/>
      <c r="AC795" s="933"/>
      <c r="AD795" s="933"/>
    </row>
    <row r="796" spans="1:30" ht="12.75">
      <c r="A796" s="933"/>
      <c r="B796" s="933"/>
      <c r="C796" s="933"/>
      <c r="D796" s="933"/>
      <c r="E796" s="933"/>
      <c r="F796" s="933"/>
      <c r="G796" s="933"/>
      <c r="H796" s="933"/>
      <c r="I796" s="933"/>
      <c r="J796" s="933"/>
      <c r="K796" s="935"/>
      <c r="L796" s="933"/>
      <c r="M796" s="933"/>
      <c r="N796" s="945"/>
      <c r="O796" s="933"/>
      <c r="P796" s="933"/>
      <c r="Q796" s="933"/>
      <c r="R796" s="933"/>
      <c r="S796" s="933"/>
      <c r="T796" s="933"/>
      <c r="U796" s="933"/>
      <c r="V796" s="933"/>
      <c r="W796" s="933"/>
      <c r="X796" s="933"/>
      <c r="Y796" s="933"/>
      <c r="Z796" s="933"/>
      <c r="AA796" s="933"/>
      <c r="AB796" s="933"/>
      <c r="AC796" s="933"/>
      <c r="AD796" s="933"/>
    </row>
    <row r="797" spans="1:30" ht="12.75">
      <c r="A797" s="933"/>
      <c r="B797" s="933"/>
      <c r="C797" s="933"/>
      <c r="D797" s="933"/>
      <c r="E797" s="933"/>
      <c r="F797" s="933"/>
      <c r="G797" s="933"/>
      <c r="H797" s="933"/>
      <c r="I797" s="933"/>
      <c r="J797" s="933"/>
      <c r="K797" s="935"/>
      <c r="L797" s="933"/>
      <c r="M797" s="933"/>
      <c r="N797" s="945"/>
      <c r="O797" s="933"/>
      <c r="P797" s="933"/>
      <c r="Q797" s="933"/>
      <c r="R797" s="933"/>
      <c r="S797" s="933"/>
      <c r="T797" s="933"/>
      <c r="U797" s="933"/>
      <c r="V797" s="933"/>
      <c r="W797" s="933"/>
      <c r="X797" s="933"/>
      <c r="Y797" s="933"/>
      <c r="Z797" s="933"/>
      <c r="AA797" s="933"/>
      <c r="AB797" s="933"/>
      <c r="AC797" s="933"/>
      <c r="AD797" s="933"/>
    </row>
    <row r="798" spans="1:30" ht="12.75">
      <c r="A798" s="933"/>
      <c r="B798" s="933"/>
      <c r="C798" s="933"/>
      <c r="D798" s="933"/>
      <c r="E798" s="933"/>
      <c r="F798" s="933"/>
      <c r="G798" s="933"/>
      <c r="H798" s="933"/>
      <c r="I798" s="933"/>
      <c r="J798" s="933"/>
      <c r="K798" s="935"/>
      <c r="L798" s="933"/>
      <c r="M798" s="933"/>
      <c r="N798" s="945"/>
      <c r="O798" s="933"/>
      <c r="P798" s="933"/>
      <c r="Q798" s="933"/>
      <c r="R798" s="933"/>
      <c r="S798" s="933"/>
      <c r="T798" s="933"/>
      <c r="U798" s="933"/>
      <c r="V798" s="933"/>
      <c r="W798" s="933"/>
      <c r="X798" s="933"/>
      <c r="Y798" s="933"/>
      <c r="Z798" s="933"/>
      <c r="AA798" s="933"/>
      <c r="AB798" s="933"/>
      <c r="AC798" s="933"/>
      <c r="AD798" s="933"/>
    </row>
    <row r="799" spans="1:30" ht="12.75">
      <c r="A799" s="933"/>
      <c r="B799" s="933"/>
      <c r="C799" s="933"/>
      <c r="D799" s="933"/>
      <c r="E799" s="933"/>
      <c r="F799" s="933"/>
      <c r="G799" s="933"/>
      <c r="H799" s="933"/>
      <c r="I799" s="933"/>
      <c r="J799" s="933"/>
      <c r="K799" s="935"/>
      <c r="L799" s="933"/>
      <c r="M799" s="933"/>
      <c r="N799" s="945"/>
      <c r="O799" s="933"/>
      <c r="P799" s="933"/>
      <c r="Q799" s="933"/>
      <c r="R799" s="933"/>
      <c r="S799" s="933"/>
      <c r="T799" s="933"/>
      <c r="U799" s="933"/>
      <c r="V799" s="933"/>
      <c r="W799" s="933"/>
      <c r="X799" s="933"/>
      <c r="Y799" s="933"/>
      <c r="Z799" s="933"/>
      <c r="AA799" s="933"/>
      <c r="AB799" s="933"/>
      <c r="AC799" s="933"/>
      <c r="AD799" s="933"/>
    </row>
    <row r="800" spans="1:30" ht="12.75">
      <c r="A800" s="933"/>
      <c r="B800" s="933"/>
      <c r="C800" s="933"/>
      <c r="D800" s="933"/>
      <c r="E800" s="933"/>
      <c r="F800" s="933"/>
      <c r="G800" s="933"/>
      <c r="H800" s="933"/>
      <c r="I800" s="933"/>
      <c r="J800" s="933"/>
      <c r="K800" s="935"/>
      <c r="L800" s="933"/>
      <c r="M800" s="933"/>
      <c r="N800" s="945"/>
      <c r="O800" s="933"/>
      <c r="P800" s="933"/>
      <c r="Q800" s="933"/>
      <c r="R800" s="933"/>
      <c r="S800" s="933"/>
      <c r="T800" s="933"/>
      <c r="U800" s="933"/>
      <c r="V800" s="933"/>
      <c r="W800" s="933"/>
      <c r="X800" s="933"/>
      <c r="Y800" s="933"/>
      <c r="Z800" s="933"/>
      <c r="AA800" s="933"/>
      <c r="AB800" s="933"/>
      <c r="AC800" s="933"/>
      <c r="AD800" s="933"/>
    </row>
    <row r="801" spans="1:30" ht="12.75">
      <c r="A801" s="933"/>
      <c r="B801" s="933"/>
      <c r="C801" s="933"/>
      <c r="D801" s="933"/>
      <c r="E801" s="933"/>
      <c r="F801" s="933"/>
      <c r="G801" s="933"/>
      <c r="H801" s="933"/>
      <c r="I801" s="933"/>
      <c r="J801" s="933"/>
      <c r="K801" s="935"/>
      <c r="L801" s="933"/>
      <c r="M801" s="933"/>
      <c r="N801" s="945"/>
      <c r="O801" s="933"/>
      <c r="P801" s="933"/>
      <c r="Q801" s="933"/>
      <c r="R801" s="933"/>
      <c r="S801" s="933"/>
      <c r="T801" s="933"/>
      <c r="U801" s="933"/>
      <c r="V801" s="933"/>
      <c r="W801" s="933"/>
      <c r="X801" s="933"/>
      <c r="Y801" s="933"/>
      <c r="Z801" s="933"/>
      <c r="AA801" s="933"/>
      <c r="AB801" s="933"/>
      <c r="AC801" s="933"/>
      <c r="AD801" s="933"/>
    </row>
    <row r="802" spans="1:30" ht="12.75">
      <c r="A802" s="933"/>
      <c r="B802" s="933"/>
      <c r="C802" s="933"/>
      <c r="D802" s="933"/>
      <c r="E802" s="933"/>
      <c r="F802" s="933"/>
      <c r="G802" s="933"/>
      <c r="H802" s="933"/>
      <c r="I802" s="933"/>
      <c r="J802" s="933"/>
      <c r="K802" s="935"/>
      <c r="L802" s="933"/>
      <c r="M802" s="933"/>
      <c r="N802" s="945"/>
      <c r="O802" s="933"/>
      <c r="P802" s="933"/>
      <c r="Q802" s="933"/>
      <c r="R802" s="933"/>
      <c r="S802" s="933"/>
      <c r="T802" s="933"/>
      <c r="U802" s="933"/>
      <c r="V802" s="933"/>
      <c r="W802" s="933"/>
      <c r="X802" s="933"/>
      <c r="Y802" s="933"/>
      <c r="Z802" s="933"/>
      <c r="AA802" s="933"/>
      <c r="AB802" s="933"/>
      <c r="AC802" s="933"/>
      <c r="AD802" s="933"/>
    </row>
    <row r="803" spans="1:30" ht="12.75">
      <c r="A803" s="933"/>
      <c r="B803" s="933"/>
      <c r="C803" s="933"/>
      <c r="D803" s="933"/>
      <c r="E803" s="933"/>
      <c r="F803" s="933"/>
      <c r="G803" s="933"/>
      <c r="H803" s="933"/>
      <c r="I803" s="933"/>
      <c r="J803" s="933"/>
      <c r="K803" s="935"/>
      <c r="L803" s="933"/>
      <c r="M803" s="933"/>
      <c r="N803" s="945"/>
      <c r="O803" s="933"/>
      <c r="P803" s="933"/>
      <c r="Q803" s="933"/>
      <c r="R803" s="933"/>
      <c r="S803" s="933"/>
      <c r="T803" s="933"/>
      <c r="U803" s="933"/>
      <c r="V803" s="933"/>
      <c r="W803" s="933"/>
      <c r="X803" s="933"/>
      <c r="Y803" s="933"/>
      <c r="Z803" s="933"/>
      <c r="AA803" s="933"/>
      <c r="AB803" s="933"/>
      <c r="AC803" s="933"/>
      <c r="AD803" s="933"/>
    </row>
    <row r="804" spans="1:30" ht="12.75">
      <c r="A804" s="933"/>
      <c r="B804" s="933"/>
      <c r="C804" s="933"/>
      <c r="D804" s="933"/>
      <c r="E804" s="933"/>
      <c r="F804" s="933"/>
      <c r="G804" s="933"/>
      <c r="H804" s="933"/>
      <c r="I804" s="933"/>
      <c r="J804" s="933"/>
      <c r="K804" s="935"/>
      <c r="L804" s="933"/>
      <c r="M804" s="933"/>
      <c r="N804" s="945"/>
      <c r="O804" s="933"/>
      <c r="P804" s="933"/>
      <c r="Q804" s="933"/>
      <c r="R804" s="933"/>
      <c r="S804" s="933"/>
      <c r="T804" s="933"/>
      <c r="U804" s="933"/>
      <c r="V804" s="933"/>
      <c r="W804" s="933"/>
      <c r="X804" s="933"/>
      <c r="Y804" s="933"/>
      <c r="Z804" s="933"/>
      <c r="AA804" s="933"/>
      <c r="AB804" s="933"/>
      <c r="AC804" s="933"/>
      <c r="AD804" s="933"/>
    </row>
    <row r="805" spans="1:30" ht="12.75">
      <c r="A805" s="933"/>
      <c r="B805" s="933"/>
      <c r="C805" s="933"/>
      <c r="D805" s="933"/>
      <c r="E805" s="933"/>
      <c r="F805" s="933"/>
      <c r="G805" s="933"/>
      <c r="H805" s="933"/>
      <c r="I805" s="933"/>
      <c r="J805" s="933"/>
      <c r="K805" s="935"/>
      <c r="L805" s="933"/>
      <c r="M805" s="933"/>
      <c r="N805" s="945"/>
      <c r="O805" s="933"/>
      <c r="P805" s="933"/>
      <c r="Q805" s="933"/>
      <c r="R805" s="933"/>
      <c r="S805" s="933"/>
      <c r="T805" s="933"/>
      <c r="U805" s="933"/>
      <c r="V805" s="933"/>
      <c r="W805" s="933"/>
      <c r="X805" s="933"/>
      <c r="Y805" s="933"/>
      <c r="Z805" s="933"/>
      <c r="AA805" s="933"/>
      <c r="AB805" s="933"/>
      <c r="AC805" s="933"/>
      <c r="AD805" s="933"/>
    </row>
    <row r="806" spans="1:30" ht="12.75">
      <c r="A806" s="933"/>
      <c r="B806" s="933"/>
      <c r="C806" s="933"/>
      <c r="D806" s="933"/>
      <c r="E806" s="933"/>
      <c r="F806" s="933"/>
      <c r="G806" s="933"/>
      <c r="H806" s="933"/>
      <c r="I806" s="933"/>
      <c r="J806" s="933"/>
      <c r="K806" s="935"/>
      <c r="L806" s="933"/>
      <c r="M806" s="933"/>
      <c r="N806" s="945"/>
      <c r="O806" s="933"/>
      <c r="P806" s="933"/>
      <c r="Q806" s="933"/>
      <c r="R806" s="933"/>
      <c r="S806" s="933"/>
      <c r="T806" s="933"/>
      <c r="U806" s="933"/>
      <c r="V806" s="933"/>
      <c r="W806" s="933"/>
      <c r="X806" s="933"/>
      <c r="Y806" s="933"/>
      <c r="Z806" s="933"/>
      <c r="AA806" s="933"/>
      <c r="AB806" s="933"/>
      <c r="AC806" s="933"/>
      <c r="AD806" s="933"/>
    </row>
    <row r="807" spans="1:30" ht="12.75">
      <c r="A807" s="933"/>
      <c r="B807" s="933"/>
      <c r="C807" s="933"/>
      <c r="D807" s="933"/>
      <c r="E807" s="933"/>
      <c r="F807" s="933"/>
      <c r="G807" s="933"/>
      <c r="H807" s="933"/>
      <c r="I807" s="933"/>
      <c r="J807" s="933"/>
      <c r="K807" s="935"/>
      <c r="L807" s="933"/>
      <c r="M807" s="933"/>
      <c r="N807" s="945"/>
      <c r="O807" s="933"/>
      <c r="P807" s="933"/>
      <c r="Q807" s="933"/>
      <c r="R807" s="933"/>
      <c r="S807" s="933"/>
      <c r="T807" s="933"/>
      <c r="U807" s="933"/>
      <c r="V807" s="933"/>
      <c r="W807" s="933"/>
      <c r="X807" s="933"/>
      <c r="Y807" s="933"/>
      <c r="Z807" s="933"/>
      <c r="AA807" s="933"/>
      <c r="AB807" s="933"/>
      <c r="AC807" s="933"/>
      <c r="AD807" s="933"/>
    </row>
    <row r="808" spans="1:30" ht="12.75">
      <c r="A808" s="933"/>
      <c r="B808" s="933"/>
      <c r="C808" s="933"/>
      <c r="D808" s="933"/>
      <c r="E808" s="933"/>
      <c r="F808" s="933"/>
      <c r="G808" s="933"/>
      <c r="H808" s="933"/>
      <c r="I808" s="933"/>
      <c r="J808" s="933"/>
      <c r="K808" s="935"/>
      <c r="L808" s="933"/>
      <c r="M808" s="933"/>
      <c r="N808" s="945"/>
      <c r="O808" s="933"/>
      <c r="P808" s="933"/>
      <c r="Q808" s="933"/>
      <c r="R808" s="933"/>
      <c r="S808" s="933"/>
      <c r="T808" s="933"/>
      <c r="U808" s="933"/>
      <c r="V808" s="933"/>
      <c r="W808" s="933"/>
      <c r="X808" s="933"/>
      <c r="Y808" s="933"/>
      <c r="Z808" s="933"/>
      <c r="AA808" s="933"/>
      <c r="AB808" s="933"/>
      <c r="AC808" s="933"/>
      <c r="AD808" s="933"/>
    </row>
    <row r="809" spans="1:30" ht="12.75">
      <c r="A809" s="933"/>
      <c r="B809" s="933"/>
      <c r="C809" s="933"/>
      <c r="D809" s="933"/>
      <c r="E809" s="933"/>
      <c r="F809" s="933"/>
      <c r="G809" s="933"/>
      <c r="H809" s="933"/>
      <c r="I809" s="933"/>
      <c r="J809" s="933"/>
      <c r="K809" s="935"/>
      <c r="L809" s="933"/>
      <c r="M809" s="933"/>
      <c r="N809" s="945"/>
      <c r="O809" s="933"/>
      <c r="P809" s="933"/>
      <c r="Q809" s="933"/>
      <c r="R809" s="933"/>
      <c r="S809" s="933"/>
      <c r="T809" s="933"/>
      <c r="U809" s="933"/>
      <c r="V809" s="933"/>
      <c r="W809" s="933"/>
      <c r="X809" s="933"/>
      <c r="Y809" s="933"/>
      <c r="Z809" s="933"/>
      <c r="AA809" s="933"/>
      <c r="AB809" s="933"/>
      <c r="AC809" s="933"/>
      <c r="AD809" s="933"/>
    </row>
    <row r="810" spans="1:30" ht="12.75">
      <c r="A810" s="933"/>
      <c r="B810" s="933"/>
      <c r="C810" s="933"/>
      <c r="D810" s="933"/>
      <c r="E810" s="933"/>
      <c r="F810" s="933"/>
      <c r="G810" s="933"/>
      <c r="H810" s="933"/>
      <c r="I810" s="933"/>
      <c r="J810" s="933"/>
      <c r="K810" s="935"/>
      <c r="L810" s="933"/>
      <c r="M810" s="933"/>
      <c r="N810" s="945"/>
      <c r="O810" s="933"/>
      <c r="P810" s="933"/>
      <c r="Q810" s="933"/>
      <c r="R810" s="933"/>
      <c r="S810" s="933"/>
      <c r="T810" s="933"/>
      <c r="U810" s="933"/>
      <c r="V810" s="933"/>
      <c r="W810" s="933"/>
      <c r="X810" s="933"/>
      <c r="Y810" s="933"/>
      <c r="Z810" s="933"/>
      <c r="AA810" s="933"/>
      <c r="AB810" s="933"/>
      <c r="AC810" s="933"/>
      <c r="AD810" s="933"/>
    </row>
    <row r="811" spans="1:30" ht="12.75">
      <c r="A811" s="933"/>
      <c r="B811" s="933"/>
      <c r="C811" s="933"/>
      <c r="D811" s="933"/>
      <c r="E811" s="933"/>
      <c r="F811" s="933"/>
      <c r="G811" s="933"/>
      <c r="H811" s="933"/>
      <c r="I811" s="933"/>
      <c r="J811" s="933"/>
      <c r="K811" s="935"/>
      <c r="L811" s="933"/>
      <c r="M811" s="933"/>
      <c r="N811" s="945"/>
      <c r="O811" s="933"/>
      <c r="P811" s="933"/>
      <c r="Q811" s="933"/>
      <c r="R811" s="933"/>
      <c r="S811" s="933"/>
      <c r="T811" s="933"/>
      <c r="U811" s="933"/>
      <c r="V811" s="933"/>
      <c r="W811" s="933"/>
      <c r="X811" s="933"/>
      <c r="Y811" s="933"/>
      <c r="Z811" s="933"/>
      <c r="AA811" s="933"/>
      <c r="AB811" s="933"/>
      <c r="AC811" s="933"/>
      <c r="AD811" s="933"/>
    </row>
    <row r="812" spans="1:30" ht="12.75">
      <c r="A812" s="933"/>
      <c r="B812" s="933"/>
      <c r="C812" s="933"/>
      <c r="D812" s="933"/>
      <c r="E812" s="933"/>
      <c r="F812" s="933"/>
      <c r="G812" s="933"/>
      <c r="H812" s="933"/>
      <c r="I812" s="933"/>
      <c r="J812" s="933"/>
      <c r="K812" s="935"/>
      <c r="L812" s="933"/>
      <c r="M812" s="933"/>
      <c r="N812" s="945"/>
      <c r="O812" s="933"/>
      <c r="P812" s="933"/>
      <c r="Q812" s="933"/>
      <c r="R812" s="933"/>
      <c r="S812" s="933"/>
      <c r="T812" s="933"/>
      <c r="U812" s="933"/>
      <c r="V812" s="933"/>
      <c r="W812" s="933"/>
      <c r="X812" s="933"/>
      <c r="Y812" s="933"/>
      <c r="Z812" s="933"/>
      <c r="AA812" s="933"/>
      <c r="AB812" s="933"/>
      <c r="AC812" s="933"/>
      <c r="AD812" s="933"/>
    </row>
    <row r="813" spans="1:30" ht="12.75">
      <c r="A813" s="933"/>
      <c r="B813" s="933"/>
      <c r="C813" s="933"/>
      <c r="D813" s="933"/>
      <c r="E813" s="933"/>
      <c r="F813" s="933"/>
      <c r="G813" s="933"/>
      <c r="H813" s="933"/>
      <c r="I813" s="933"/>
      <c r="J813" s="933"/>
      <c r="K813" s="935"/>
      <c r="L813" s="933"/>
      <c r="M813" s="933"/>
      <c r="N813" s="945"/>
      <c r="O813" s="933"/>
      <c r="P813" s="933"/>
      <c r="Q813" s="933"/>
      <c r="R813" s="933"/>
      <c r="S813" s="933"/>
      <c r="T813" s="933"/>
      <c r="U813" s="933"/>
      <c r="V813" s="933"/>
      <c r="W813" s="933"/>
      <c r="X813" s="933"/>
      <c r="Y813" s="933"/>
      <c r="Z813" s="933"/>
      <c r="AA813" s="933"/>
      <c r="AB813" s="933"/>
      <c r="AC813" s="933"/>
      <c r="AD813" s="933"/>
    </row>
    <row r="814" spans="1:30" ht="12.75">
      <c r="A814" s="933"/>
      <c r="B814" s="933"/>
      <c r="C814" s="933"/>
      <c r="D814" s="933"/>
      <c r="E814" s="933"/>
      <c r="F814" s="933"/>
      <c r="G814" s="933"/>
      <c r="H814" s="933"/>
      <c r="I814" s="933"/>
      <c r="J814" s="933"/>
      <c r="K814" s="935"/>
      <c r="L814" s="933"/>
      <c r="M814" s="933"/>
      <c r="N814" s="945"/>
      <c r="O814" s="933"/>
      <c r="P814" s="933"/>
      <c r="Q814" s="933"/>
      <c r="R814" s="933"/>
      <c r="S814" s="933"/>
      <c r="T814" s="933"/>
      <c r="U814" s="933"/>
      <c r="V814" s="933"/>
      <c r="W814" s="933"/>
      <c r="X814" s="933"/>
      <c r="Y814" s="933"/>
      <c r="Z814" s="933"/>
      <c r="AA814" s="933"/>
      <c r="AB814" s="933"/>
      <c r="AC814" s="933"/>
      <c r="AD814" s="933"/>
    </row>
    <row r="815" spans="1:30" ht="12.75">
      <c r="A815" s="933"/>
      <c r="B815" s="933"/>
      <c r="C815" s="933"/>
      <c r="D815" s="933"/>
      <c r="E815" s="933"/>
      <c r="F815" s="933"/>
      <c r="G815" s="933"/>
      <c r="H815" s="933"/>
      <c r="I815" s="933"/>
      <c r="J815" s="933"/>
      <c r="K815" s="935"/>
      <c r="L815" s="933"/>
      <c r="M815" s="933"/>
      <c r="N815" s="945"/>
      <c r="O815" s="933"/>
      <c r="P815" s="933"/>
      <c r="Q815" s="933"/>
      <c r="R815" s="933"/>
      <c r="S815" s="933"/>
      <c r="T815" s="933"/>
      <c r="U815" s="933"/>
      <c r="V815" s="933"/>
      <c r="W815" s="933"/>
      <c r="X815" s="933"/>
      <c r="Y815" s="933"/>
      <c r="Z815" s="933"/>
      <c r="AA815" s="933"/>
      <c r="AB815" s="933"/>
      <c r="AC815" s="933"/>
      <c r="AD815" s="933"/>
    </row>
    <row r="816" spans="1:30" ht="12.75">
      <c r="A816" s="933"/>
      <c r="B816" s="933"/>
      <c r="C816" s="933"/>
      <c r="D816" s="933"/>
      <c r="E816" s="933"/>
      <c r="F816" s="933"/>
      <c r="G816" s="933"/>
      <c r="H816" s="933"/>
      <c r="I816" s="933"/>
      <c r="J816" s="933"/>
      <c r="K816" s="935"/>
      <c r="L816" s="933"/>
      <c r="M816" s="933"/>
      <c r="N816" s="945"/>
      <c r="O816" s="933"/>
      <c r="P816" s="933"/>
      <c r="Q816" s="933"/>
      <c r="R816" s="933"/>
      <c r="S816" s="933"/>
      <c r="T816" s="933"/>
      <c r="U816" s="933"/>
      <c r="V816" s="933"/>
      <c r="W816" s="933"/>
      <c r="X816" s="933"/>
      <c r="Y816" s="933"/>
      <c r="Z816" s="933"/>
      <c r="AA816" s="933"/>
      <c r="AB816" s="933"/>
      <c r="AC816" s="933"/>
      <c r="AD816" s="933"/>
    </row>
    <row r="817" spans="1:30" ht="12.75">
      <c r="A817" s="933"/>
      <c r="B817" s="933"/>
      <c r="C817" s="933"/>
      <c r="D817" s="933"/>
      <c r="E817" s="933"/>
      <c r="F817" s="933"/>
      <c r="G817" s="933"/>
      <c r="H817" s="933"/>
      <c r="I817" s="933"/>
      <c r="J817" s="933"/>
      <c r="K817" s="935"/>
      <c r="L817" s="933"/>
      <c r="M817" s="933"/>
      <c r="N817" s="945"/>
      <c r="O817" s="933"/>
      <c r="P817" s="933"/>
      <c r="Q817" s="933"/>
      <c r="R817" s="933"/>
      <c r="S817" s="933"/>
      <c r="T817" s="933"/>
      <c r="U817" s="933"/>
      <c r="V817" s="933"/>
      <c r="W817" s="933"/>
      <c r="X817" s="933"/>
      <c r="Y817" s="933"/>
      <c r="Z817" s="933"/>
      <c r="AA817" s="933"/>
      <c r="AB817" s="933"/>
      <c r="AC817" s="933"/>
      <c r="AD817" s="933"/>
    </row>
    <row r="818" spans="1:30" ht="12.75">
      <c r="A818" s="933"/>
      <c r="B818" s="933"/>
      <c r="C818" s="933"/>
      <c r="D818" s="933"/>
      <c r="E818" s="933"/>
      <c r="F818" s="933"/>
      <c r="G818" s="933"/>
      <c r="H818" s="933"/>
      <c r="I818" s="933"/>
      <c r="J818" s="933"/>
      <c r="K818" s="935"/>
      <c r="L818" s="933"/>
      <c r="M818" s="933"/>
      <c r="N818" s="945"/>
      <c r="O818" s="933"/>
      <c r="P818" s="933"/>
      <c r="Q818" s="933"/>
      <c r="R818" s="933"/>
      <c r="S818" s="933"/>
      <c r="T818" s="933"/>
      <c r="U818" s="933"/>
      <c r="V818" s="933"/>
      <c r="W818" s="933"/>
      <c r="X818" s="933"/>
      <c r="Y818" s="933"/>
      <c r="Z818" s="933"/>
      <c r="AA818" s="933"/>
      <c r="AB818" s="933"/>
      <c r="AC818" s="933"/>
      <c r="AD818" s="933"/>
    </row>
    <row r="819" spans="1:30" ht="12.75">
      <c r="A819" s="933"/>
      <c r="B819" s="933"/>
      <c r="C819" s="933"/>
      <c r="D819" s="933"/>
      <c r="E819" s="933"/>
      <c r="F819" s="933"/>
      <c r="G819" s="933"/>
      <c r="H819" s="933"/>
      <c r="I819" s="933"/>
      <c r="J819" s="933"/>
      <c r="K819" s="935"/>
      <c r="L819" s="933"/>
      <c r="M819" s="933"/>
      <c r="N819" s="945"/>
      <c r="O819" s="933"/>
      <c r="P819" s="933"/>
      <c r="Q819" s="933"/>
      <c r="R819" s="933"/>
      <c r="S819" s="933"/>
      <c r="T819" s="933"/>
      <c r="U819" s="933"/>
      <c r="V819" s="933"/>
      <c r="W819" s="933"/>
      <c r="X819" s="933"/>
      <c r="Y819" s="933"/>
      <c r="Z819" s="933"/>
      <c r="AA819" s="933"/>
      <c r="AB819" s="933"/>
      <c r="AC819" s="933"/>
      <c r="AD819" s="933"/>
    </row>
    <row r="820" spans="1:30" ht="12.75">
      <c r="A820" s="933"/>
      <c r="B820" s="933"/>
      <c r="C820" s="933"/>
      <c r="D820" s="933"/>
      <c r="E820" s="933"/>
      <c r="F820" s="933"/>
      <c r="G820" s="933"/>
      <c r="H820" s="933"/>
      <c r="I820" s="933"/>
      <c r="J820" s="933"/>
      <c r="K820" s="935"/>
      <c r="L820" s="933"/>
      <c r="M820" s="933"/>
      <c r="N820" s="945"/>
      <c r="O820" s="933"/>
      <c r="P820" s="933"/>
      <c r="Q820" s="933"/>
      <c r="R820" s="933"/>
      <c r="S820" s="933"/>
      <c r="T820" s="933"/>
      <c r="U820" s="933"/>
      <c r="V820" s="933"/>
      <c r="W820" s="933"/>
      <c r="X820" s="933"/>
      <c r="Y820" s="933"/>
      <c r="Z820" s="933"/>
      <c r="AA820" s="933"/>
      <c r="AB820" s="933"/>
      <c r="AC820" s="933"/>
      <c r="AD820" s="933"/>
    </row>
    <row r="821" spans="1:30" ht="12.75">
      <c r="A821" s="933"/>
      <c r="B821" s="933"/>
      <c r="C821" s="933"/>
      <c r="D821" s="933"/>
      <c r="E821" s="933"/>
      <c r="F821" s="933"/>
      <c r="G821" s="933"/>
      <c r="H821" s="933"/>
      <c r="I821" s="933"/>
      <c r="J821" s="933"/>
      <c r="K821" s="935"/>
      <c r="L821" s="933"/>
      <c r="M821" s="933"/>
      <c r="N821" s="945"/>
      <c r="O821" s="933"/>
      <c r="P821" s="933"/>
      <c r="Q821" s="933"/>
      <c r="R821" s="933"/>
      <c r="S821" s="933"/>
      <c r="T821" s="933"/>
      <c r="U821" s="933"/>
      <c r="V821" s="933"/>
      <c r="W821" s="933"/>
      <c r="X821" s="933"/>
      <c r="Y821" s="933"/>
      <c r="Z821" s="933"/>
      <c r="AA821" s="933"/>
      <c r="AB821" s="933"/>
      <c r="AC821" s="933"/>
      <c r="AD821" s="933"/>
    </row>
    <row r="822" spans="1:30" ht="12.75">
      <c r="A822" s="933"/>
      <c r="B822" s="933"/>
      <c r="C822" s="933"/>
      <c r="D822" s="933"/>
      <c r="E822" s="933"/>
      <c r="F822" s="933"/>
      <c r="G822" s="933"/>
      <c r="H822" s="933"/>
      <c r="I822" s="933"/>
      <c r="J822" s="933"/>
      <c r="K822" s="935"/>
      <c r="L822" s="933"/>
      <c r="M822" s="933"/>
      <c r="N822" s="945"/>
      <c r="O822" s="933"/>
      <c r="P822" s="933"/>
      <c r="Q822" s="933"/>
      <c r="R822" s="933"/>
      <c r="S822" s="933"/>
      <c r="T822" s="933"/>
      <c r="U822" s="933"/>
      <c r="V822" s="933"/>
      <c r="W822" s="933"/>
      <c r="X822" s="933"/>
      <c r="Y822" s="933"/>
      <c r="Z822" s="933"/>
      <c r="AA822" s="933"/>
      <c r="AB822" s="933"/>
      <c r="AC822" s="933"/>
      <c r="AD822" s="933"/>
    </row>
    <row r="823" spans="1:30" ht="12.75">
      <c r="A823" s="933"/>
      <c r="B823" s="933"/>
      <c r="C823" s="933"/>
      <c r="D823" s="933"/>
      <c r="E823" s="933"/>
      <c r="F823" s="933"/>
      <c r="G823" s="933"/>
      <c r="H823" s="933"/>
      <c r="I823" s="933"/>
      <c r="J823" s="933"/>
      <c r="K823" s="935"/>
      <c r="L823" s="933"/>
      <c r="M823" s="933"/>
      <c r="N823" s="945"/>
      <c r="O823" s="933"/>
      <c r="P823" s="933"/>
      <c r="Q823" s="933"/>
      <c r="R823" s="933"/>
      <c r="S823" s="933"/>
      <c r="T823" s="933"/>
      <c r="U823" s="933"/>
      <c r="V823" s="933"/>
      <c r="W823" s="933"/>
      <c r="X823" s="933"/>
      <c r="Y823" s="933"/>
      <c r="Z823" s="933"/>
      <c r="AA823" s="933"/>
      <c r="AB823" s="933"/>
      <c r="AC823" s="933"/>
      <c r="AD823" s="933"/>
    </row>
    <row r="824" spans="1:30" ht="12.75">
      <c r="A824" s="933"/>
      <c r="B824" s="933"/>
      <c r="C824" s="933"/>
      <c r="D824" s="933"/>
      <c r="E824" s="933"/>
      <c r="F824" s="933"/>
      <c r="G824" s="933"/>
      <c r="H824" s="933"/>
      <c r="I824" s="933"/>
      <c r="J824" s="933"/>
      <c r="K824" s="935"/>
      <c r="L824" s="933"/>
      <c r="M824" s="933"/>
      <c r="N824" s="945"/>
      <c r="O824" s="933"/>
      <c r="P824" s="933"/>
      <c r="Q824" s="933"/>
      <c r="R824" s="933"/>
      <c r="S824" s="933"/>
      <c r="T824" s="933"/>
      <c r="U824" s="933"/>
      <c r="V824" s="933"/>
      <c r="W824" s="933"/>
      <c r="X824" s="933"/>
      <c r="Y824" s="933"/>
      <c r="Z824" s="933"/>
      <c r="AA824" s="933"/>
      <c r="AB824" s="933"/>
      <c r="AC824" s="933"/>
      <c r="AD824" s="933"/>
    </row>
    <row r="825" spans="1:30" ht="12.75">
      <c r="A825" s="933"/>
      <c r="B825" s="933"/>
      <c r="C825" s="933"/>
      <c r="D825" s="933"/>
      <c r="E825" s="933"/>
      <c r="F825" s="933"/>
      <c r="G825" s="933"/>
      <c r="H825" s="933"/>
      <c r="I825" s="933"/>
      <c r="J825" s="933"/>
      <c r="K825" s="935"/>
      <c r="L825" s="933"/>
      <c r="M825" s="933"/>
      <c r="N825" s="945"/>
      <c r="O825" s="933"/>
      <c r="P825" s="933"/>
      <c r="Q825" s="933"/>
      <c r="R825" s="933"/>
      <c r="S825" s="933"/>
      <c r="T825" s="933"/>
      <c r="U825" s="933"/>
      <c r="V825" s="933"/>
      <c r="W825" s="933"/>
      <c r="X825" s="933"/>
      <c r="Y825" s="933"/>
      <c r="Z825" s="933"/>
      <c r="AA825" s="933"/>
      <c r="AB825" s="933"/>
      <c r="AC825" s="933"/>
      <c r="AD825" s="933"/>
    </row>
    <row r="826" spans="1:30" ht="12.75">
      <c r="A826" s="933"/>
      <c r="B826" s="933"/>
      <c r="C826" s="933"/>
      <c r="D826" s="933"/>
      <c r="E826" s="933"/>
      <c r="F826" s="933"/>
      <c r="G826" s="933"/>
      <c r="H826" s="933"/>
      <c r="I826" s="933"/>
      <c r="J826" s="933"/>
      <c r="K826" s="935"/>
      <c r="L826" s="933"/>
      <c r="M826" s="933"/>
      <c r="N826" s="945"/>
      <c r="O826" s="933"/>
      <c r="P826" s="933"/>
      <c r="Q826" s="933"/>
      <c r="R826" s="933"/>
      <c r="S826" s="933"/>
      <c r="T826" s="933"/>
      <c r="U826" s="933"/>
      <c r="V826" s="933"/>
      <c r="W826" s="933"/>
      <c r="X826" s="933"/>
      <c r="Y826" s="933"/>
      <c r="Z826" s="933"/>
      <c r="AA826" s="933"/>
      <c r="AB826" s="933"/>
      <c r="AC826" s="933"/>
      <c r="AD826" s="933"/>
    </row>
    <row r="827" spans="1:30" ht="12.75">
      <c r="A827" s="933"/>
      <c r="B827" s="933"/>
      <c r="C827" s="933"/>
      <c r="D827" s="933"/>
      <c r="E827" s="933"/>
      <c r="F827" s="933"/>
      <c r="G827" s="933"/>
      <c r="H827" s="933"/>
      <c r="I827" s="933"/>
      <c r="J827" s="933"/>
      <c r="K827" s="935"/>
      <c r="L827" s="933"/>
      <c r="M827" s="933"/>
      <c r="N827" s="945"/>
      <c r="O827" s="933"/>
      <c r="P827" s="933"/>
      <c r="Q827" s="933"/>
      <c r="R827" s="933"/>
      <c r="S827" s="933"/>
      <c r="T827" s="933"/>
      <c r="U827" s="933"/>
      <c r="V827" s="933"/>
      <c r="W827" s="933"/>
      <c r="X827" s="933"/>
      <c r="Y827" s="933"/>
      <c r="Z827" s="933"/>
      <c r="AA827" s="933"/>
      <c r="AB827" s="933"/>
      <c r="AC827" s="933"/>
      <c r="AD827" s="933"/>
    </row>
    <row r="828" spans="1:30" ht="12.75">
      <c r="A828" s="933"/>
      <c r="B828" s="933"/>
      <c r="C828" s="933"/>
      <c r="D828" s="933"/>
      <c r="E828" s="933"/>
      <c r="F828" s="933"/>
      <c r="G828" s="933"/>
      <c r="H828" s="933"/>
      <c r="I828" s="933"/>
      <c r="J828" s="933"/>
      <c r="K828" s="935"/>
      <c r="L828" s="933"/>
      <c r="M828" s="933"/>
      <c r="N828" s="945"/>
      <c r="O828" s="933"/>
      <c r="P828" s="933"/>
      <c r="Q828" s="933"/>
      <c r="R828" s="933"/>
      <c r="S828" s="933"/>
      <c r="T828" s="933"/>
      <c r="U828" s="933"/>
      <c r="V828" s="933"/>
      <c r="W828" s="933"/>
      <c r="X828" s="933"/>
      <c r="Y828" s="933"/>
      <c r="Z828" s="933"/>
      <c r="AA828" s="933"/>
      <c r="AB828" s="933"/>
      <c r="AC828" s="933"/>
      <c r="AD828" s="933"/>
    </row>
    <row r="829" spans="1:30" ht="12.75">
      <c r="A829" s="933"/>
      <c r="B829" s="933"/>
      <c r="C829" s="933"/>
      <c r="D829" s="933"/>
      <c r="E829" s="933"/>
      <c r="F829" s="933"/>
      <c r="G829" s="933"/>
      <c r="H829" s="933"/>
      <c r="I829" s="933"/>
      <c r="J829" s="933"/>
      <c r="K829" s="935"/>
      <c r="L829" s="933"/>
      <c r="M829" s="933"/>
      <c r="N829" s="945"/>
      <c r="O829" s="933"/>
      <c r="P829" s="933"/>
      <c r="Q829" s="933"/>
      <c r="R829" s="933"/>
      <c r="S829" s="933"/>
      <c r="T829" s="933"/>
      <c r="U829" s="933"/>
      <c r="V829" s="933"/>
      <c r="W829" s="933"/>
      <c r="X829" s="933"/>
      <c r="Y829" s="933"/>
      <c r="Z829" s="933"/>
      <c r="AA829" s="933"/>
      <c r="AB829" s="933"/>
      <c r="AC829" s="933"/>
      <c r="AD829" s="933"/>
    </row>
    <row r="830" spans="1:30" ht="12.75">
      <c r="A830" s="933"/>
      <c r="B830" s="933"/>
      <c r="C830" s="933"/>
      <c r="D830" s="933"/>
      <c r="E830" s="933"/>
      <c r="F830" s="933"/>
      <c r="G830" s="933"/>
      <c r="H830" s="933"/>
      <c r="I830" s="933"/>
      <c r="J830" s="933"/>
      <c r="K830" s="935"/>
      <c r="L830" s="933"/>
      <c r="M830" s="933"/>
      <c r="N830" s="945"/>
      <c r="O830" s="933"/>
      <c r="P830" s="933"/>
      <c r="Q830" s="933"/>
      <c r="R830" s="933"/>
      <c r="S830" s="933"/>
      <c r="T830" s="933"/>
      <c r="U830" s="933"/>
      <c r="V830" s="933"/>
      <c r="W830" s="933"/>
      <c r="X830" s="933"/>
      <c r="Y830" s="933"/>
      <c r="Z830" s="933"/>
      <c r="AA830" s="933"/>
      <c r="AB830" s="933"/>
      <c r="AC830" s="933"/>
      <c r="AD830" s="933"/>
    </row>
    <row r="831" spans="1:30" ht="12.75">
      <c r="A831" s="933"/>
      <c r="B831" s="933"/>
      <c r="C831" s="933"/>
      <c r="D831" s="933"/>
      <c r="E831" s="933"/>
      <c r="F831" s="933"/>
      <c r="G831" s="933"/>
      <c r="H831" s="933"/>
      <c r="I831" s="933"/>
      <c r="J831" s="933"/>
      <c r="K831" s="935"/>
      <c r="L831" s="933"/>
      <c r="M831" s="933"/>
      <c r="N831" s="945"/>
      <c r="O831" s="933"/>
      <c r="P831" s="933"/>
      <c r="Q831" s="933"/>
      <c r="R831" s="933"/>
      <c r="S831" s="933"/>
      <c r="T831" s="933"/>
      <c r="U831" s="933"/>
      <c r="V831" s="933"/>
      <c r="W831" s="933"/>
      <c r="X831" s="933"/>
      <c r="Y831" s="933"/>
      <c r="Z831" s="933"/>
      <c r="AA831" s="933"/>
      <c r="AB831" s="933"/>
      <c r="AC831" s="933"/>
      <c r="AD831" s="933"/>
    </row>
    <row r="832" spans="1:30" ht="12.75">
      <c r="A832" s="933"/>
      <c r="B832" s="933"/>
      <c r="C832" s="933"/>
      <c r="D832" s="933"/>
      <c r="E832" s="933"/>
      <c r="F832" s="933"/>
      <c r="G832" s="933"/>
      <c r="H832" s="933"/>
      <c r="I832" s="933"/>
      <c r="J832" s="933"/>
      <c r="K832" s="935"/>
      <c r="L832" s="933"/>
      <c r="M832" s="933"/>
      <c r="N832" s="945"/>
      <c r="O832" s="933"/>
      <c r="P832" s="933"/>
      <c r="Q832" s="933"/>
      <c r="R832" s="933"/>
      <c r="S832" s="933"/>
      <c r="T832" s="933"/>
      <c r="U832" s="933"/>
      <c r="V832" s="933"/>
      <c r="W832" s="933"/>
      <c r="X832" s="933"/>
      <c r="Y832" s="933"/>
      <c r="Z832" s="933"/>
      <c r="AA832" s="933"/>
      <c r="AB832" s="933"/>
      <c r="AC832" s="933"/>
      <c r="AD832" s="933"/>
    </row>
    <row r="833" spans="1:30" ht="12.75">
      <c r="A833" s="933"/>
      <c r="B833" s="933"/>
      <c r="C833" s="933"/>
      <c r="D833" s="933"/>
      <c r="E833" s="933"/>
      <c r="F833" s="933"/>
      <c r="G833" s="933"/>
      <c r="H833" s="933"/>
      <c r="I833" s="933"/>
      <c r="J833" s="933"/>
      <c r="K833" s="935"/>
      <c r="L833" s="933"/>
      <c r="M833" s="933"/>
      <c r="N833" s="945"/>
      <c r="O833" s="933"/>
      <c r="P833" s="933"/>
      <c r="Q833" s="933"/>
      <c r="R833" s="933"/>
      <c r="S833" s="933"/>
      <c r="T833" s="933"/>
      <c r="U833" s="933"/>
      <c r="V833" s="933"/>
      <c r="W833" s="933"/>
      <c r="X833" s="933"/>
      <c r="Y833" s="933"/>
      <c r="Z833" s="933"/>
      <c r="AA833" s="933"/>
      <c r="AB833" s="933"/>
      <c r="AC833" s="933"/>
      <c r="AD833" s="933"/>
    </row>
    <row r="834" spans="1:30" ht="12.75">
      <c r="A834" s="933"/>
      <c r="B834" s="933"/>
      <c r="C834" s="933"/>
      <c r="D834" s="933"/>
      <c r="E834" s="933"/>
      <c r="F834" s="933"/>
      <c r="G834" s="933"/>
      <c r="H834" s="933"/>
      <c r="I834" s="933"/>
      <c r="J834" s="933"/>
      <c r="K834" s="935"/>
      <c r="L834" s="933"/>
      <c r="M834" s="933"/>
      <c r="N834" s="945"/>
      <c r="O834" s="933"/>
      <c r="P834" s="933"/>
      <c r="Q834" s="933"/>
      <c r="R834" s="933"/>
      <c r="S834" s="933"/>
      <c r="T834" s="933"/>
      <c r="U834" s="933"/>
      <c r="V834" s="933"/>
      <c r="W834" s="933"/>
      <c r="X834" s="933"/>
      <c r="Y834" s="933"/>
      <c r="Z834" s="933"/>
      <c r="AA834" s="933"/>
      <c r="AB834" s="933"/>
      <c r="AC834" s="933"/>
      <c r="AD834" s="933"/>
    </row>
    <row r="835" spans="1:30" ht="12.75">
      <c r="A835" s="933"/>
      <c r="B835" s="933"/>
      <c r="C835" s="933"/>
      <c r="D835" s="933"/>
      <c r="E835" s="933"/>
      <c r="F835" s="933"/>
      <c r="G835" s="933"/>
      <c r="H835" s="933"/>
      <c r="I835" s="933"/>
      <c r="J835" s="933"/>
      <c r="K835" s="935"/>
      <c r="L835" s="933"/>
      <c r="M835" s="933"/>
      <c r="N835" s="945"/>
      <c r="O835" s="933"/>
      <c r="P835" s="933"/>
      <c r="Q835" s="933"/>
      <c r="R835" s="933"/>
      <c r="S835" s="933"/>
      <c r="T835" s="933"/>
      <c r="U835" s="933"/>
      <c r="V835" s="933"/>
      <c r="W835" s="933"/>
      <c r="X835" s="933"/>
      <c r="Y835" s="933"/>
      <c r="Z835" s="933"/>
      <c r="AA835" s="933"/>
      <c r="AB835" s="933"/>
      <c r="AC835" s="933"/>
      <c r="AD835" s="933"/>
    </row>
    <row r="836" spans="1:30" ht="12.75">
      <c r="A836" s="933"/>
      <c r="B836" s="933"/>
      <c r="C836" s="933"/>
      <c r="D836" s="933"/>
      <c r="E836" s="933"/>
      <c r="F836" s="933"/>
      <c r="G836" s="933"/>
      <c r="H836" s="933"/>
      <c r="I836" s="933"/>
      <c r="J836" s="933"/>
      <c r="K836" s="935"/>
      <c r="L836" s="933"/>
      <c r="M836" s="933"/>
      <c r="N836" s="945"/>
      <c r="O836" s="933"/>
      <c r="P836" s="933"/>
      <c r="Q836" s="933"/>
      <c r="R836" s="933"/>
      <c r="S836" s="933"/>
      <c r="T836" s="933"/>
      <c r="U836" s="933"/>
      <c r="V836" s="933"/>
      <c r="W836" s="933"/>
      <c r="X836" s="933"/>
      <c r="Y836" s="933"/>
      <c r="Z836" s="933"/>
      <c r="AA836" s="933"/>
      <c r="AB836" s="933"/>
      <c r="AC836" s="933"/>
      <c r="AD836" s="933"/>
    </row>
    <row r="837" spans="1:30" ht="12.75">
      <c r="A837" s="933"/>
      <c r="B837" s="933"/>
      <c r="C837" s="933"/>
      <c r="D837" s="933"/>
      <c r="E837" s="933"/>
      <c r="F837" s="933"/>
      <c r="G837" s="933"/>
      <c r="H837" s="933"/>
      <c r="I837" s="933"/>
      <c r="J837" s="933"/>
      <c r="K837" s="935"/>
      <c r="L837" s="933"/>
      <c r="M837" s="933"/>
      <c r="N837" s="945"/>
      <c r="O837" s="933"/>
      <c r="P837" s="933"/>
      <c r="Q837" s="933"/>
      <c r="R837" s="933"/>
      <c r="S837" s="933"/>
      <c r="T837" s="933"/>
      <c r="U837" s="933"/>
      <c r="V837" s="933"/>
      <c r="W837" s="933"/>
      <c r="X837" s="933"/>
      <c r="Y837" s="933"/>
      <c r="Z837" s="933"/>
      <c r="AA837" s="933"/>
      <c r="AB837" s="933"/>
      <c r="AC837" s="933"/>
      <c r="AD837" s="933"/>
    </row>
    <row r="838" spans="1:30" ht="12.75">
      <c r="A838" s="933"/>
      <c r="B838" s="933"/>
      <c r="C838" s="933"/>
      <c r="D838" s="933"/>
      <c r="E838" s="933"/>
      <c r="F838" s="933"/>
      <c r="G838" s="933"/>
      <c r="H838" s="933"/>
      <c r="I838" s="933"/>
      <c r="J838" s="933"/>
      <c r="K838" s="935"/>
      <c r="L838" s="933"/>
      <c r="M838" s="933"/>
      <c r="N838" s="945"/>
      <c r="O838" s="933"/>
      <c r="P838" s="933"/>
      <c r="Q838" s="933"/>
      <c r="R838" s="933"/>
      <c r="S838" s="933"/>
      <c r="T838" s="933"/>
      <c r="U838" s="933"/>
      <c r="V838" s="933"/>
      <c r="W838" s="933"/>
      <c r="X838" s="933"/>
      <c r="Y838" s="933"/>
      <c r="Z838" s="933"/>
      <c r="AA838" s="933"/>
      <c r="AB838" s="933"/>
      <c r="AC838" s="933"/>
      <c r="AD838" s="933"/>
    </row>
    <row r="839" spans="1:30" ht="12.75">
      <c r="A839" s="933"/>
      <c r="B839" s="933"/>
      <c r="C839" s="933"/>
      <c r="D839" s="933"/>
      <c r="E839" s="933"/>
      <c r="F839" s="933"/>
      <c r="G839" s="933"/>
      <c r="H839" s="933"/>
      <c r="I839" s="933"/>
      <c r="J839" s="933"/>
      <c r="K839" s="935"/>
      <c r="L839" s="933"/>
      <c r="M839" s="933"/>
      <c r="N839" s="945"/>
      <c r="O839" s="933"/>
      <c r="P839" s="933"/>
      <c r="Q839" s="933"/>
      <c r="R839" s="933"/>
      <c r="S839" s="933"/>
      <c r="T839" s="933"/>
      <c r="U839" s="933"/>
      <c r="V839" s="933"/>
      <c r="W839" s="933"/>
      <c r="X839" s="933"/>
      <c r="Y839" s="933"/>
      <c r="Z839" s="933"/>
      <c r="AA839" s="933"/>
      <c r="AB839" s="933"/>
      <c r="AC839" s="933"/>
      <c r="AD839" s="933"/>
    </row>
    <row r="840" spans="1:30" ht="12.75">
      <c r="A840" s="933"/>
      <c r="B840" s="933"/>
      <c r="C840" s="933"/>
      <c r="D840" s="933"/>
      <c r="E840" s="933"/>
      <c r="F840" s="933"/>
      <c r="G840" s="933"/>
      <c r="H840" s="933"/>
      <c r="I840" s="933"/>
      <c r="J840" s="933"/>
      <c r="K840" s="935"/>
      <c r="L840" s="933"/>
      <c r="M840" s="933"/>
      <c r="N840" s="945"/>
      <c r="O840" s="933"/>
      <c r="P840" s="933"/>
      <c r="Q840" s="933"/>
      <c r="R840" s="933"/>
      <c r="S840" s="933"/>
      <c r="T840" s="933"/>
      <c r="U840" s="933"/>
      <c r="V840" s="933"/>
      <c r="W840" s="933"/>
      <c r="X840" s="933"/>
      <c r="Y840" s="933"/>
      <c r="Z840" s="933"/>
      <c r="AA840" s="933"/>
      <c r="AB840" s="933"/>
      <c r="AC840" s="933"/>
      <c r="AD840" s="933"/>
    </row>
    <row r="841" spans="1:30" ht="12.75">
      <c r="A841" s="933"/>
      <c r="B841" s="933"/>
      <c r="C841" s="933"/>
      <c r="D841" s="933"/>
      <c r="E841" s="933"/>
      <c r="F841" s="933"/>
      <c r="G841" s="933"/>
      <c r="H841" s="933"/>
      <c r="I841" s="933"/>
      <c r="J841" s="933"/>
      <c r="K841" s="935"/>
      <c r="L841" s="933"/>
      <c r="M841" s="933"/>
      <c r="N841" s="945"/>
      <c r="O841" s="933"/>
      <c r="P841" s="933"/>
      <c r="Q841" s="933"/>
      <c r="R841" s="933"/>
      <c r="S841" s="933"/>
      <c r="T841" s="933"/>
      <c r="U841" s="933"/>
      <c r="V841" s="933"/>
      <c r="W841" s="933"/>
      <c r="X841" s="933"/>
      <c r="Y841" s="933"/>
      <c r="Z841" s="933"/>
      <c r="AA841" s="933"/>
      <c r="AB841" s="933"/>
      <c r="AC841" s="933"/>
      <c r="AD841" s="933"/>
    </row>
    <row r="842" spans="1:30" ht="12.75">
      <c r="A842" s="933"/>
      <c r="B842" s="933"/>
      <c r="C842" s="933"/>
      <c r="D842" s="933"/>
      <c r="E842" s="933"/>
      <c r="F842" s="933"/>
      <c r="G842" s="933"/>
      <c r="H842" s="933"/>
      <c r="I842" s="933"/>
      <c r="J842" s="933"/>
      <c r="K842" s="935"/>
      <c r="L842" s="933"/>
      <c r="M842" s="933"/>
      <c r="N842" s="945"/>
      <c r="O842" s="933"/>
      <c r="P842" s="933"/>
      <c r="Q842" s="933"/>
      <c r="R842" s="933"/>
      <c r="S842" s="933"/>
      <c r="T842" s="933"/>
      <c r="U842" s="933"/>
      <c r="V842" s="933"/>
      <c r="W842" s="933"/>
      <c r="X842" s="933"/>
      <c r="Y842" s="933"/>
      <c r="Z842" s="933"/>
      <c r="AA842" s="933"/>
      <c r="AB842" s="933"/>
      <c r="AC842" s="933"/>
      <c r="AD842" s="933"/>
    </row>
    <row r="843" spans="1:30" ht="12.75">
      <c r="A843" s="933"/>
      <c r="B843" s="933"/>
      <c r="C843" s="933"/>
      <c r="D843" s="933"/>
      <c r="E843" s="933"/>
      <c r="F843" s="933"/>
      <c r="G843" s="933"/>
      <c r="H843" s="933"/>
      <c r="I843" s="933"/>
      <c r="J843" s="933"/>
      <c r="K843" s="935"/>
      <c r="L843" s="933"/>
      <c r="M843" s="933"/>
      <c r="N843" s="945"/>
      <c r="O843" s="933"/>
      <c r="P843" s="933"/>
      <c r="Q843" s="933"/>
      <c r="R843" s="933"/>
      <c r="S843" s="933"/>
      <c r="T843" s="933"/>
      <c r="U843" s="933"/>
      <c r="V843" s="933"/>
      <c r="W843" s="933"/>
      <c r="X843" s="933"/>
      <c r="Y843" s="933"/>
      <c r="Z843" s="933"/>
      <c r="AA843" s="933"/>
      <c r="AB843" s="933"/>
      <c r="AC843" s="933"/>
      <c r="AD843" s="933"/>
    </row>
    <row r="844" spans="1:30" ht="12.75">
      <c r="A844" s="933"/>
      <c r="B844" s="933"/>
      <c r="C844" s="933"/>
      <c r="D844" s="933"/>
      <c r="E844" s="933"/>
      <c r="F844" s="933"/>
      <c r="G844" s="933"/>
      <c r="H844" s="933"/>
      <c r="I844" s="933"/>
      <c r="J844" s="933"/>
      <c r="K844" s="935"/>
      <c r="L844" s="933"/>
      <c r="M844" s="933"/>
      <c r="N844" s="945"/>
      <c r="O844" s="933"/>
      <c r="P844" s="933"/>
      <c r="Q844" s="933"/>
      <c r="R844" s="933"/>
      <c r="S844" s="933"/>
      <c r="T844" s="933"/>
      <c r="U844" s="933"/>
      <c r="V844" s="933"/>
      <c r="W844" s="933"/>
      <c r="X844" s="933"/>
      <c r="Y844" s="933"/>
      <c r="Z844" s="933"/>
      <c r="AA844" s="933"/>
      <c r="AB844" s="933"/>
      <c r="AC844" s="933"/>
      <c r="AD844" s="933"/>
    </row>
    <row r="845" spans="1:30" ht="12.75">
      <c r="A845" s="933"/>
      <c r="B845" s="933"/>
      <c r="C845" s="933"/>
      <c r="D845" s="933"/>
      <c r="E845" s="933"/>
      <c r="F845" s="933"/>
      <c r="G845" s="933"/>
      <c r="H845" s="933"/>
      <c r="I845" s="933"/>
      <c r="J845" s="933"/>
      <c r="K845" s="935"/>
      <c r="L845" s="933"/>
      <c r="M845" s="933"/>
      <c r="N845" s="945"/>
      <c r="O845" s="933"/>
      <c r="P845" s="933"/>
      <c r="Q845" s="933"/>
      <c r="R845" s="933"/>
      <c r="S845" s="933"/>
      <c r="T845" s="933"/>
      <c r="U845" s="933"/>
      <c r="V845" s="933"/>
      <c r="W845" s="933"/>
      <c r="X845" s="933"/>
      <c r="Y845" s="933"/>
      <c r="Z845" s="933"/>
      <c r="AA845" s="933"/>
      <c r="AB845" s="933"/>
      <c r="AC845" s="933"/>
      <c r="AD845" s="933"/>
    </row>
    <row r="846" spans="1:30" ht="12.75">
      <c r="A846" s="933"/>
      <c r="B846" s="933"/>
      <c r="C846" s="933"/>
      <c r="D846" s="933"/>
      <c r="E846" s="933"/>
      <c r="F846" s="933"/>
      <c r="G846" s="933"/>
      <c r="H846" s="933"/>
      <c r="I846" s="933"/>
      <c r="J846" s="933"/>
      <c r="K846" s="935"/>
      <c r="L846" s="933"/>
      <c r="M846" s="933"/>
      <c r="N846" s="945"/>
      <c r="O846" s="933"/>
      <c r="P846" s="933"/>
      <c r="Q846" s="933"/>
      <c r="R846" s="933"/>
      <c r="S846" s="933"/>
      <c r="T846" s="933"/>
      <c r="U846" s="933"/>
      <c r="V846" s="933"/>
      <c r="W846" s="933"/>
      <c r="X846" s="933"/>
      <c r="Y846" s="933"/>
      <c r="Z846" s="933"/>
      <c r="AA846" s="933"/>
      <c r="AB846" s="933"/>
      <c r="AC846" s="933"/>
      <c r="AD846" s="933"/>
    </row>
    <row r="847" spans="1:30" ht="12.75">
      <c r="A847" s="933"/>
      <c r="B847" s="933"/>
      <c r="C847" s="933"/>
      <c r="D847" s="933"/>
      <c r="E847" s="933"/>
      <c r="F847" s="933"/>
      <c r="G847" s="933"/>
      <c r="H847" s="933"/>
      <c r="I847" s="933"/>
      <c r="J847" s="933"/>
      <c r="K847" s="935"/>
      <c r="L847" s="933"/>
      <c r="M847" s="933"/>
      <c r="N847" s="945"/>
      <c r="O847" s="933"/>
      <c r="P847" s="933"/>
      <c r="Q847" s="933"/>
      <c r="R847" s="933"/>
      <c r="S847" s="933"/>
      <c r="T847" s="933"/>
      <c r="U847" s="933"/>
      <c r="V847" s="933"/>
      <c r="W847" s="933"/>
      <c r="X847" s="933"/>
      <c r="Y847" s="933"/>
      <c r="Z847" s="933"/>
      <c r="AA847" s="933"/>
      <c r="AB847" s="933"/>
      <c r="AC847" s="933"/>
      <c r="AD847" s="933"/>
    </row>
    <row r="848" spans="1:30" ht="12.75">
      <c r="A848" s="933"/>
      <c r="B848" s="933"/>
      <c r="C848" s="933"/>
      <c r="D848" s="933"/>
      <c r="E848" s="933"/>
      <c r="F848" s="933"/>
      <c r="G848" s="933"/>
      <c r="H848" s="933"/>
      <c r="I848" s="933"/>
      <c r="J848" s="933"/>
      <c r="K848" s="935"/>
      <c r="L848" s="933"/>
      <c r="M848" s="933"/>
      <c r="N848" s="945"/>
      <c r="O848" s="933"/>
      <c r="P848" s="933"/>
      <c r="Q848" s="933"/>
      <c r="R848" s="933"/>
      <c r="S848" s="933"/>
      <c r="T848" s="933"/>
      <c r="U848" s="933"/>
      <c r="V848" s="933"/>
      <c r="W848" s="933"/>
      <c r="X848" s="933"/>
      <c r="Y848" s="933"/>
      <c r="Z848" s="933"/>
      <c r="AA848" s="933"/>
      <c r="AB848" s="933"/>
      <c r="AC848" s="933"/>
      <c r="AD848" s="933"/>
    </row>
    <row r="849" spans="1:30" ht="12.75">
      <c r="A849" s="933"/>
      <c r="B849" s="933"/>
      <c r="C849" s="933"/>
      <c r="D849" s="933"/>
      <c r="E849" s="933"/>
      <c r="F849" s="933"/>
      <c r="G849" s="933"/>
      <c r="H849" s="933"/>
      <c r="I849" s="933"/>
      <c r="J849" s="933"/>
      <c r="K849" s="935"/>
      <c r="L849" s="933"/>
      <c r="M849" s="933"/>
      <c r="N849" s="945"/>
      <c r="O849" s="933"/>
      <c r="P849" s="933"/>
      <c r="Q849" s="933"/>
      <c r="R849" s="933"/>
      <c r="S849" s="933"/>
      <c r="T849" s="933"/>
      <c r="U849" s="933"/>
      <c r="V849" s="933"/>
      <c r="W849" s="933"/>
      <c r="X849" s="933"/>
      <c r="Y849" s="933"/>
      <c r="Z849" s="933"/>
      <c r="AA849" s="933"/>
      <c r="AB849" s="933"/>
      <c r="AC849" s="933"/>
      <c r="AD849" s="933"/>
    </row>
    <row r="850" spans="1:30" ht="12.75">
      <c r="A850" s="933"/>
      <c r="B850" s="933"/>
      <c r="C850" s="933"/>
      <c r="D850" s="933"/>
      <c r="E850" s="933"/>
      <c r="F850" s="933"/>
      <c r="G850" s="933"/>
      <c r="H850" s="933"/>
      <c r="I850" s="933"/>
      <c r="J850" s="933"/>
      <c r="K850" s="935"/>
      <c r="L850" s="933"/>
      <c r="M850" s="933"/>
      <c r="N850" s="945"/>
      <c r="O850" s="933"/>
      <c r="P850" s="933"/>
      <c r="Q850" s="933"/>
      <c r="R850" s="933"/>
      <c r="S850" s="933"/>
      <c r="T850" s="933"/>
      <c r="U850" s="933"/>
      <c r="V850" s="933"/>
      <c r="W850" s="933"/>
      <c r="X850" s="933"/>
      <c r="Y850" s="933"/>
      <c r="Z850" s="933"/>
      <c r="AA850" s="933"/>
      <c r="AB850" s="933"/>
      <c r="AC850" s="933"/>
      <c r="AD850" s="933"/>
    </row>
    <row r="851" spans="1:30" ht="12.75">
      <c r="A851" s="933"/>
      <c r="B851" s="933"/>
      <c r="C851" s="933"/>
      <c r="D851" s="933"/>
      <c r="E851" s="933"/>
      <c r="F851" s="933"/>
      <c r="G851" s="933"/>
      <c r="H851" s="933"/>
      <c r="I851" s="933"/>
      <c r="J851" s="933"/>
      <c r="K851" s="935"/>
      <c r="L851" s="933"/>
      <c r="M851" s="933"/>
      <c r="N851" s="945"/>
      <c r="O851" s="933"/>
      <c r="P851" s="933"/>
      <c r="Q851" s="933"/>
      <c r="R851" s="933"/>
      <c r="S851" s="933"/>
      <c r="T851" s="933"/>
      <c r="U851" s="933"/>
      <c r="V851" s="933"/>
      <c r="W851" s="933"/>
      <c r="X851" s="933"/>
      <c r="Y851" s="933"/>
      <c r="Z851" s="933"/>
      <c r="AA851" s="933"/>
      <c r="AB851" s="933"/>
      <c r="AC851" s="933"/>
      <c r="AD851" s="933"/>
    </row>
    <row r="852" spans="1:30" ht="12.75">
      <c r="A852" s="933"/>
      <c r="B852" s="933"/>
      <c r="C852" s="933"/>
      <c r="D852" s="933"/>
      <c r="E852" s="933"/>
      <c r="F852" s="933"/>
      <c r="G852" s="933"/>
      <c r="H852" s="933"/>
      <c r="I852" s="933"/>
      <c r="J852" s="933"/>
      <c r="K852" s="935"/>
      <c r="L852" s="933"/>
      <c r="M852" s="933"/>
      <c r="N852" s="945"/>
      <c r="O852" s="933"/>
      <c r="P852" s="933"/>
      <c r="Q852" s="933"/>
      <c r="R852" s="933"/>
      <c r="S852" s="933"/>
      <c r="T852" s="933"/>
      <c r="U852" s="933"/>
      <c r="V852" s="933"/>
      <c r="W852" s="933"/>
      <c r="X852" s="933"/>
      <c r="Y852" s="933"/>
      <c r="Z852" s="933"/>
      <c r="AA852" s="933"/>
      <c r="AB852" s="933"/>
      <c r="AC852" s="933"/>
      <c r="AD852" s="933"/>
    </row>
    <row r="853" spans="1:30" ht="12.75">
      <c r="A853" s="933"/>
      <c r="B853" s="933"/>
      <c r="C853" s="933"/>
      <c r="D853" s="933"/>
      <c r="E853" s="933"/>
      <c r="F853" s="933"/>
      <c r="G853" s="933"/>
      <c r="H853" s="933"/>
      <c r="I853" s="933"/>
      <c r="J853" s="933"/>
      <c r="K853" s="935"/>
      <c r="L853" s="933"/>
      <c r="M853" s="933"/>
      <c r="N853" s="945"/>
      <c r="O853" s="933"/>
      <c r="P853" s="933"/>
      <c r="Q853" s="933"/>
      <c r="R853" s="933"/>
      <c r="S853" s="933"/>
      <c r="T853" s="933"/>
      <c r="U853" s="933"/>
      <c r="V853" s="933"/>
      <c r="W853" s="933"/>
      <c r="X853" s="933"/>
      <c r="Y853" s="933"/>
      <c r="Z853" s="933"/>
      <c r="AA853" s="933"/>
      <c r="AB853" s="933"/>
      <c r="AC853" s="933"/>
      <c r="AD853" s="933"/>
    </row>
    <row r="854" spans="1:30" ht="12.75">
      <c r="A854" s="933"/>
      <c r="B854" s="933"/>
      <c r="C854" s="933"/>
      <c r="D854" s="933"/>
      <c r="E854" s="933"/>
      <c r="F854" s="933"/>
      <c r="G854" s="933"/>
      <c r="H854" s="933"/>
      <c r="I854" s="933"/>
      <c r="J854" s="933"/>
      <c r="K854" s="935"/>
      <c r="L854" s="933"/>
      <c r="M854" s="933"/>
      <c r="N854" s="945"/>
      <c r="O854" s="933"/>
      <c r="P854" s="933"/>
      <c r="Q854" s="933"/>
      <c r="R854" s="933"/>
      <c r="S854" s="933"/>
      <c r="T854" s="933"/>
      <c r="U854" s="933"/>
      <c r="V854" s="933"/>
      <c r="W854" s="933"/>
      <c r="X854" s="933"/>
      <c r="Y854" s="933"/>
      <c r="Z854" s="933"/>
      <c r="AA854" s="933"/>
      <c r="AB854" s="933"/>
      <c r="AC854" s="933"/>
      <c r="AD854" s="933"/>
    </row>
    <row r="855" spans="1:30" ht="12.75">
      <c r="A855" s="933"/>
      <c r="B855" s="933"/>
      <c r="C855" s="933"/>
      <c r="D855" s="933"/>
      <c r="E855" s="933"/>
      <c r="F855" s="933"/>
      <c r="G855" s="933"/>
      <c r="H855" s="933"/>
      <c r="I855" s="933"/>
      <c r="J855" s="933"/>
      <c r="K855" s="935"/>
      <c r="L855" s="933"/>
      <c r="M855" s="933"/>
      <c r="N855" s="945"/>
      <c r="O855" s="933"/>
      <c r="P855" s="933"/>
      <c r="Q855" s="933"/>
      <c r="R855" s="933"/>
      <c r="S855" s="933"/>
      <c r="T855" s="933"/>
      <c r="U855" s="933"/>
      <c r="V855" s="933"/>
      <c r="W855" s="933"/>
      <c r="X855" s="933"/>
      <c r="Y855" s="933"/>
      <c r="Z855" s="933"/>
      <c r="AA855" s="933"/>
      <c r="AB855" s="933"/>
      <c r="AC855" s="933"/>
      <c r="AD855" s="933"/>
    </row>
    <row r="856" spans="1:30" ht="12.75">
      <c r="A856" s="933"/>
      <c r="B856" s="933"/>
      <c r="C856" s="933"/>
      <c r="D856" s="933"/>
      <c r="E856" s="933"/>
      <c r="F856" s="933"/>
      <c r="G856" s="933"/>
      <c r="H856" s="933"/>
      <c r="I856" s="933"/>
      <c r="J856" s="933"/>
      <c r="K856" s="935"/>
      <c r="L856" s="933"/>
      <c r="M856" s="933"/>
      <c r="N856" s="945"/>
      <c r="O856" s="933"/>
      <c r="P856" s="933"/>
      <c r="Q856" s="933"/>
      <c r="R856" s="933"/>
      <c r="S856" s="933"/>
      <c r="T856" s="933"/>
      <c r="U856" s="933"/>
      <c r="V856" s="933"/>
      <c r="W856" s="933"/>
      <c r="X856" s="933"/>
      <c r="Y856" s="933"/>
      <c r="Z856" s="933"/>
      <c r="AA856" s="933"/>
      <c r="AB856" s="933"/>
      <c r="AC856" s="933"/>
      <c r="AD856" s="933"/>
    </row>
    <row r="857" spans="1:30" ht="12.75">
      <c r="A857" s="933"/>
      <c r="B857" s="933"/>
      <c r="C857" s="933"/>
      <c r="D857" s="933"/>
      <c r="E857" s="933"/>
      <c r="F857" s="933"/>
      <c r="G857" s="933"/>
      <c r="H857" s="933"/>
      <c r="I857" s="933"/>
      <c r="J857" s="933"/>
      <c r="K857" s="935"/>
      <c r="L857" s="933"/>
      <c r="M857" s="933"/>
      <c r="N857" s="945"/>
      <c r="O857" s="933"/>
      <c r="P857" s="933"/>
      <c r="Q857" s="933"/>
      <c r="R857" s="933"/>
      <c r="S857" s="933"/>
      <c r="T857" s="933"/>
      <c r="U857" s="933"/>
      <c r="V857" s="933"/>
      <c r="W857" s="933"/>
      <c r="X857" s="933"/>
      <c r="Y857" s="933"/>
      <c r="Z857" s="933"/>
      <c r="AA857" s="933"/>
      <c r="AB857" s="933"/>
      <c r="AC857" s="933"/>
      <c r="AD857" s="933"/>
    </row>
    <row r="858" spans="1:30" ht="12.75">
      <c r="A858" s="933"/>
      <c r="B858" s="933"/>
      <c r="C858" s="933"/>
      <c r="D858" s="933"/>
      <c r="E858" s="933"/>
      <c r="F858" s="933"/>
      <c r="G858" s="933"/>
      <c r="H858" s="933"/>
      <c r="I858" s="933"/>
      <c r="J858" s="933"/>
      <c r="K858" s="935"/>
      <c r="L858" s="933"/>
      <c r="M858" s="933"/>
      <c r="N858" s="945"/>
      <c r="O858" s="933"/>
      <c r="P858" s="933"/>
      <c r="Q858" s="933"/>
      <c r="R858" s="933"/>
      <c r="S858" s="933"/>
      <c r="T858" s="933"/>
      <c r="U858" s="933"/>
      <c r="V858" s="933"/>
      <c r="W858" s="933"/>
      <c r="X858" s="933"/>
      <c r="Y858" s="933"/>
      <c r="Z858" s="933"/>
      <c r="AA858" s="933"/>
      <c r="AB858" s="933"/>
      <c r="AC858" s="933"/>
      <c r="AD858" s="933"/>
    </row>
    <row r="859" spans="1:30" ht="12.75">
      <c r="A859" s="933"/>
      <c r="B859" s="933"/>
      <c r="C859" s="933"/>
      <c r="D859" s="933"/>
      <c r="E859" s="933"/>
      <c r="F859" s="933"/>
      <c r="G859" s="933"/>
      <c r="H859" s="933"/>
      <c r="I859" s="933"/>
      <c r="J859" s="933"/>
      <c r="K859" s="935"/>
      <c r="L859" s="933"/>
      <c r="M859" s="933"/>
      <c r="N859" s="945"/>
      <c r="O859" s="933"/>
      <c r="P859" s="933"/>
      <c r="Q859" s="933"/>
      <c r="R859" s="933"/>
      <c r="S859" s="933"/>
      <c r="T859" s="933"/>
      <c r="U859" s="933"/>
      <c r="V859" s="933"/>
      <c r="W859" s="933"/>
      <c r="X859" s="933"/>
      <c r="Y859" s="933"/>
      <c r="Z859" s="933"/>
      <c r="AA859" s="933"/>
      <c r="AB859" s="933"/>
      <c r="AC859" s="933"/>
      <c r="AD859" s="933"/>
    </row>
    <row r="860" spans="1:30" ht="12.75">
      <c r="A860" s="933"/>
      <c r="B860" s="933"/>
      <c r="C860" s="933"/>
      <c r="D860" s="933"/>
      <c r="E860" s="933"/>
      <c r="F860" s="933"/>
      <c r="G860" s="933"/>
      <c r="H860" s="933"/>
      <c r="I860" s="933"/>
      <c r="J860" s="933"/>
      <c r="K860" s="935"/>
      <c r="L860" s="933"/>
      <c r="M860" s="933"/>
      <c r="N860" s="945"/>
      <c r="O860" s="933"/>
      <c r="P860" s="933"/>
      <c r="Q860" s="933"/>
      <c r="R860" s="933"/>
      <c r="S860" s="933"/>
      <c r="T860" s="933"/>
      <c r="U860" s="933"/>
      <c r="V860" s="933"/>
      <c r="W860" s="933"/>
      <c r="X860" s="933"/>
      <c r="Y860" s="933"/>
      <c r="Z860" s="933"/>
      <c r="AA860" s="933"/>
      <c r="AB860" s="933"/>
      <c r="AC860" s="933"/>
      <c r="AD860" s="933"/>
    </row>
    <row r="861" spans="1:30" ht="12.75">
      <c r="A861" s="933"/>
      <c r="B861" s="933"/>
      <c r="C861" s="933"/>
      <c r="D861" s="933"/>
      <c r="E861" s="933"/>
      <c r="F861" s="933"/>
      <c r="G861" s="933"/>
      <c r="H861" s="933"/>
      <c r="I861" s="933"/>
      <c r="J861" s="933"/>
      <c r="K861" s="935"/>
      <c r="L861" s="933"/>
      <c r="M861" s="933"/>
      <c r="N861" s="945"/>
      <c r="O861" s="933"/>
      <c r="P861" s="933"/>
      <c r="Q861" s="933"/>
      <c r="R861" s="933"/>
      <c r="S861" s="933"/>
      <c r="T861" s="933"/>
      <c r="U861" s="933"/>
      <c r="V861" s="933"/>
      <c r="W861" s="933"/>
      <c r="X861" s="933"/>
      <c r="Y861" s="933"/>
      <c r="Z861" s="933"/>
      <c r="AA861" s="933"/>
      <c r="AB861" s="933"/>
      <c r="AC861" s="933"/>
      <c r="AD861" s="933"/>
    </row>
    <row r="862" spans="1:30" ht="12.75">
      <c r="A862" s="933"/>
      <c r="B862" s="933"/>
      <c r="C862" s="933"/>
      <c r="D862" s="933"/>
      <c r="E862" s="933"/>
      <c r="F862" s="933"/>
      <c r="G862" s="933"/>
      <c r="H862" s="933"/>
      <c r="I862" s="933"/>
      <c r="J862" s="933"/>
      <c r="K862" s="935"/>
      <c r="L862" s="933"/>
      <c r="M862" s="933"/>
      <c r="N862" s="945"/>
      <c r="O862" s="933"/>
      <c r="P862" s="933"/>
      <c r="Q862" s="933"/>
      <c r="R862" s="933"/>
      <c r="S862" s="933"/>
      <c r="T862" s="933"/>
      <c r="U862" s="933"/>
      <c r="V862" s="933"/>
      <c r="W862" s="933"/>
      <c r="X862" s="933"/>
      <c r="Y862" s="933"/>
      <c r="Z862" s="933"/>
      <c r="AA862" s="933"/>
      <c r="AB862" s="933"/>
      <c r="AC862" s="933"/>
      <c r="AD862" s="933"/>
    </row>
    <row r="863" spans="1:30" ht="12.75">
      <c r="A863" s="933"/>
      <c r="B863" s="933"/>
      <c r="C863" s="933"/>
      <c r="D863" s="933"/>
      <c r="E863" s="933"/>
      <c r="F863" s="933"/>
      <c r="G863" s="933"/>
      <c r="H863" s="933"/>
      <c r="I863" s="933"/>
      <c r="J863" s="933"/>
      <c r="K863" s="935"/>
      <c r="L863" s="933"/>
      <c r="M863" s="933"/>
      <c r="N863" s="945"/>
      <c r="O863" s="933"/>
      <c r="P863" s="933"/>
      <c r="Q863" s="933"/>
      <c r="R863" s="933"/>
      <c r="S863" s="933"/>
      <c r="T863" s="933"/>
      <c r="U863" s="933"/>
      <c r="V863" s="933"/>
      <c r="W863" s="933"/>
      <c r="X863" s="933"/>
      <c r="Y863" s="933"/>
      <c r="Z863" s="933"/>
      <c r="AA863" s="933"/>
      <c r="AB863" s="933"/>
      <c r="AC863" s="933"/>
      <c r="AD863" s="933"/>
    </row>
    <row r="864" spans="1:30" ht="12.75">
      <c r="A864" s="933"/>
      <c r="B864" s="933"/>
      <c r="C864" s="933"/>
      <c r="D864" s="933"/>
      <c r="E864" s="933"/>
      <c r="F864" s="933"/>
      <c r="G864" s="933"/>
      <c r="H864" s="933"/>
      <c r="I864" s="933"/>
      <c r="J864" s="933"/>
      <c r="K864" s="935"/>
      <c r="L864" s="933"/>
      <c r="M864" s="933"/>
      <c r="N864" s="945"/>
      <c r="O864" s="933"/>
      <c r="P864" s="933"/>
      <c r="Q864" s="933"/>
      <c r="R864" s="933"/>
      <c r="S864" s="933"/>
      <c r="T864" s="933"/>
      <c r="U864" s="933"/>
      <c r="V864" s="933"/>
      <c r="W864" s="933"/>
      <c r="X864" s="933"/>
      <c r="Y864" s="933"/>
      <c r="Z864" s="933"/>
      <c r="AA864" s="933"/>
      <c r="AB864" s="933"/>
      <c r="AC864" s="933"/>
      <c r="AD864" s="933"/>
    </row>
    <row r="865" spans="1:30" ht="12.75">
      <c r="A865" s="933"/>
      <c r="B865" s="933"/>
      <c r="C865" s="933"/>
      <c r="D865" s="933"/>
      <c r="E865" s="933"/>
      <c r="F865" s="933"/>
      <c r="G865" s="933"/>
      <c r="H865" s="933"/>
      <c r="I865" s="933"/>
      <c r="J865" s="933"/>
      <c r="K865" s="935"/>
      <c r="L865" s="933"/>
      <c r="M865" s="933"/>
      <c r="N865" s="945"/>
      <c r="O865" s="933"/>
      <c r="P865" s="933"/>
      <c r="Q865" s="933"/>
      <c r="R865" s="933"/>
      <c r="S865" s="933"/>
      <c r="T865" s="933"/>
      <c r="U865" s="933"/>
      <c r="V865" s="933"/>
      <c r="W865" s="933"/>
      <c r="X865" s="933"/>
      <c r="Y865" s="933"/>
      <c r="Z865" s="933"/>
      <c r="AA865" s="933"/>
      <c r="AB865" s="933"/>
      <c r="AC865" s="933"/>
      <c r="AD865" s="933"/>
    </row>
    <row r="866" spans="1:30" ht="12.75">
      <c r="A866" s="933"/>
      <c r="B866" s="933"/>
      <c r="C866" s="933"/>
      <c r="D866" s="933"/>
      <c r="E866" s="933"/>
      <c r="F866" s="933"/>
      <c r="G866" s="933"/>
      <c r="H866" s="933"/>
      <c r="I866" s="933"/>
      <c r="J866" s="933"/>
      <c r="K866" s="935"/>
      <c r="L866" s="933"/>
      <c r="M866" s="933"/>
      <c r="N866" s="945"/>
      <c r="O866" s="933"/>
      <c r="P866" s="933"/>
      <c r="Q866" s="933"/>
      <c r="R866" s="933"/>
      <c r="S866" s="933"/>
      <c r="T866" s="933"/>
      <c r="U866" s="933"/>
      <c r="V866" s="933"/>
      <c r="W866" s="933"/>
      <c r="X866" s="933"/>
      <c r="Y866" s="933"/>
      <c r="Z866" s="933"/>
      <c r="AA866" s="933"/>
      <c r="AB866" s="933"/>
      <c r="AC866" s="933"/>
      <c r="AD866" s="933"/>
    </row>
    <row r="867" spans="1:30" ht="12.75">
      <c r="A867" s="933"/>
      <c r="B867" s="933"/>
      <c r="C867" s="933"/>
      <c r="D867" s="933"/>
      <c r="E867" s="933"/>
      <c r="F867" s="933"/>
      <c r="G867" s="933"/>
      <c r="H867" s="933"/>
      <c r="I867" s="933"/>
      <c r="J867" s="933"/>
      <c r="K867" s="935"/>
      <c r="L867" s="933"/>
      <c r="M867" s="933"/>
      <c r="N867" s="945"/>
      <c r="O867" s="933"/>
      <c r="P867" s="933"/>
      <c r="Q867" s="933"/>
      <c r="R867" s="933"/>
      <c r="S867" s="933"/>
      <c r="T867" s="933"/>
      <c r="U867" s="933"/>
      <c r="V867" s="933"/>
      <c r="W867" s="933"/>
      <c r="X867" s="933"/>
      <c r="Y867" s="933"/>
      <c r="Z867" s="933"/>
      <c r="AA867" s="933"/>
      <c r="AB867" s="933"/>
      <c r="AC867" s="933"/>
      <c r="AD867" s="933"/>
    </row>
    <row r="868" spans="1:30" ht="12.75">
      <c r="A868" s="933"/>
      <c r="B868" s="933"/>
      <c r="C868" s="933"/>
      <c r="D868" s="933"/>
      <c r="E868" s="933"/>
      <c r="F868" s="933"/>
      <c r="G868" s="933"/>
      <c r="H868" s="933"/>
      <c r="I868" s="933"/>
      <c r="J868" s="933"/>
      <c r="K868" s="935"/>
      <c r="L868" s="933"/>
      <c r="M868" s="933"/>
      <c r="N868" s="945"/>
      <c r="O868" s="933"/>
      <c r="P868" s="933"/>
      <c r="Q868" s="933"/>
      <c r="R868" s="933"/>
      <c r="S868" s="933"/>
      <c r="T868" s="933"/>
      <c r="U868" s="933"/>
      <c r="V868" s="933"/>
      <c r="W868" s="933"/>
      <c r="X868" s="933"/>
      <c r="Y868" s="933"/>
      <c r="Z868" s="933"/>
      <c r="AA868" s="933"/>
      <c r="AB868" s="933"/>
      <c r="AC868" s="933"/>
      <c r="AD868" s="933"/>
    </row>
    <row r="869" spans="1:30" ht="12.75">
      <c r="A869" s="933"/>
      <c r="B869" s="933"/>
      <c r="C869" s="933"/>
      <c r="D869" s="933"/>
      <c r="E869" s="933"/>
      <c r="F869" s="933"/>
      <c r="G869" s="933"/>
      <c r="H869" s="933"/>
      <c r="I869" s="933"/>
      <c r="J869" s="933"/>
      <c r="K869" s="935"/>
      <c r="L869" s="933"/>
      <c r="M869" s="933"/>
      <c r="N869" s="945"/>
      <c r="O869" s="933"/>
      <c r="P869" s="933"/>
      <c r="Q869" s="933"/>
      <c r="R869" s="933"/>
      <c r="S869" s="933"/>
      <c r="T869" s="933"/>
      <c r="U869" s="933"/>
      <c r="V869" s="933"/>
      <c r="W869" s="933"/>
      <c r="X869" s="933"/>
      <c r="Y869" s="933"/>
      <c r="Z869" s="933"/>
      <c r="AA869" s="933"/>
      <c r="AB869" s="933"/>
      <c r="AC869" s="933"/>
      <c r="AD869" s="933"/>
    </row>
    <row r="870" spans="1:30" ht="12.75">
      <c r="A870" s="933"/>
      <c r="B870" s="933"/>
      <c r="C870" s="933"/>
      <c r="D870" s="933"/>
      <c r="E870" s="933"/>
      <c r="F870" s="933"/>
      <c r="G870" s="933"/>
      <c r="H870" s="933"/>
      <c r="I870" s="933"/>
      <c r="J870" s="933"/>
      <c r="K870" s="935"/>
      <c r="L870" s="933"/>
      <c r="M870" s="933"/>
      <c r="N870" s="945"/>
      <c r="O870" s="933"/>
      <c r="P870" s="933"/>
      <c r="Q870" s="933"/>
      <c r="R870" s="933"/>
      <c r="S870" s="933"/>
      <c r="T870" s="933"/>
      <c r="U870" s="933"/>
      <c r="V870" s="933"/>
      <c r="W870" s="933"/>
      <c r="X870" s="933"/>
      <c r="Y870" s="933"/>
      <c r="Z870" s="933"/>
      <c r="AA870" s="933"/>
      <c r="AB870" s="933"/>
      <c r="AC870" s="933"/>
      <c r="AD870" s="933"/>
    </row>
    <row r="871" spans="1:30" ht="12.75">
      <c r="A871" s="933"/>
      <c r="B871" s="933"/>
      <c r="C871" s="933"/>
      <c r="D871" s="933"/>
      <c r="E871" s="933"/>
      <c r="F871" s="933"/>
      <c r="G871" s="933"/>
      <c r="H871" s="933"/>
      <c r="I871" s="933"/>
      <c r="J871" s="933"/>
      <c r="K871" s="935"/>
      <c r="L871" s="933"/>
      <c r="M871" s="933"/>
      <c r="N871" s="945"/>
      <c r="O871" s="933"/>
      <c r="P871" s="933"/>
      <c r="Q871" s="933"/>
      <c r="R871" s="933"/>
      <c r="S871" s="933"/>
      <c r="T871" s="933"/>
      <c r="U871" s="933"/>
      <c r="V871" s="933"/>
      <c r="W871" s="933"/>
      <c r="X871" s="933"/>
      <c r="Y871" s="933"/>
      <c r="Z871" s="933"/>
      <c r="AA871" s="933"/>
      <c r="AB871" s="933"/>
      <c r="AC871" s="933"/>
      <c r="AD871" s="933"/>
    </row>
    <row r="872" spans="1:30" ht="12.75">
      <c r="A872" s="933"/>
      <c r="B872" s="933"/>
      <c r="C872" s="933"/>
      <c r="D872" s="933"/>
      <c r="E872" s="933"/>
      <c r="F872" s="933"/>
      <c r="G872" s="933"/>
      <c r="H872" s="933"/>
      <c r="I872" s="933"/>
      <c r="J872" s="933"/>
      <c r="K872" s="935"/>
      <c r="L872" s="933"/>
      <c r="M872" s="933"/>
      <c r="N872" s="945"/>
      <c r="O872" s="933"/>
      <c r="P872" s="933"/>
      <c r="Q872" s="933"/>
      <c r="R872" s="933"/>
      <c r="S872" s="933"/>
      <c r="T872" s="933"/>
      <c r="U872" s="933"/>
      <c r="V872" s="933"/>
      <c r="W872" s="933"/>
      <c r="X872" s="933"/>
      <c r="Y872" s="933"/>
      <c r="Z872" s="933"/>
      <c r="AA872" s="933"/>
      <c r="AB872" s="933"/>
      <c r="AC872" s="933"/>
      <c r="AD872" s="933"/>
    </row>
    <row r="873" spans="1:30" ht="12.75">
      <c r="A873" s="933"/>
      <c r="B873" s="933"/>
      <c r="C873" s="933"/>
      <c r="D873" s="933"/>
      <c r="E873" s="933"/>
      <c r="F873" s="933"/>
      <c r="G873" s="933"/>
      <c r="H873" s="933"/>
      <c r="I873" s="933"/>
      <c r="J873" s="933"/>
      <c r="K873" s="935"/>
      <c r="L873" s="933"/>
      <c r="M873" s="933"/>
      <c r="N873" s="945"/>
      <c r="O873" s="933"/>
      <c r="P873" s="933"/>
      <c r="Q873" s="933"/>
      <c r="R873" s="933"/>
      <c r="S873" s="933"/>
      <c r="T873" s="933"/>
      <c r="U873" s="933"/>
      <c r="V873" s="933"/>
      <c r="W873" s="933"/>
      <c r="X873" s="933"/>
      <c r="Y873" s="933"/>
      <c r="Z873" s="933"/>
      <c r="AA873" s="933"/>
      <c r="AB873" s="933"/>
      <c r="AC873" s="933"/>
      <c r="AD873" s="933"/>
    </row>
    <row r="874" spans="1:30" ht="12.75">
      <c r="A874" s="933"/>
      <c r="B874" s="933"/>
      <c r="C874" s="933"/>
      <c r="D874" s="933"/>
      <c r="E874" s="933"/>
      <c r="F874" s="933"/>
      <c r="G874" s="933"/>
      <c r="H874" s="933"/>
      <c r="I874" s="933"/>
      <c r="J874" s="933"/>
      <c r="K874" s="935"/>
      <c r="L874" s="933"/>
      <c r="M874" s="933"/>
      <c r="N874" s="945"/>
      <c r="O874" s="933"/>
      <c r="P874" s="933"/>
      <c r="Q874" s="933"/>
      <c r="R874" s="933"/>
      <c r="S874" s="933"/>
      <c r="T874" s="933"/>
      <c r="U874" s="933"/>
      <c r="V874" s="933"/>
      <c r="W874" s="933"/>
      <c r="X874" s="933"/>
      <c r="Y874" s="933"/>
      <c r="Z874" s="933"/>
      <c r="AA874" s="933"/>
      <c r="AB874" s="933"/>
      <c r="AC874" s="933"/>
      <c r="AD874" s="933"/>
    </row>
    <row r="875" spans="1:30" ht="12.75">
      <c r="A875" s="933"/>
      <c r="B875" s="933"/>
      <c r="C875" s="933"/>
      <c r="D875" s="933"/>
      <c r="E875" s="933"/>
      <c r="F875" s="933"/>
      <c r="G875" s="933"/>
      <c r="H875" s="933"/>
      <c r="I875" s="933"/>
      <c r="J875" s="933"/>
      <c r="K875" s="935"/>
      <c r="L875" s="933"/>
      <c r="M875" s="933"/>
      <c r="N875" s="945"/>
      <c r="O875" s="933"/>
      <c r="P875" s="933"/>
      <c r="Q875" s="933"/>
      <c r="R875" s="933"/>
      <c r="S875" s="933"/>
      <c r="T875" s="933"/>
      <c r="U875" s="933"/>
      <c r="V875" s="933"/>
      <c r="W875" s="933"/>
      <c r="X875" s="933"/>
      <c r="Y875" s="933"/>
      <c r="Z875" s="933"/>
      <c r="AA875" s="933"/>
      <c r="AB875" s="933"/>
      <c r="AC875" s="933"/>
      <c r="AD875" s="933"/>
    </row>
    <row r="876" spans="1:30" ht="12.75">
      <c r="A876" s="933"/>
      <c r="B876" s="933"/>
      <c r="C876" s="933"/>
      <c r="D876" s="933"/>
      <c r="E876" s="933"/>
      <c r="F876" s="933"/>
      <c r="G876" s="933"/>
      <c r="H876" s="933"/>
      <c r="I876" s="933"/>
      <c r="J876" s="933"/>
      <c r="K876" s="935"/>
      <c r="L876" s="933"/>
      <c r="M876" s="933"/>
      <c r="N876" s="945"/>
      <c r="O876" s="933"/>
      <c r="P876" s="933"/>
      <c r="Q876" s="933"/>
      <c r="R876" s="933"/>
      <c r="S876" s="933"/>
      <c r="T876" s="933"/>
      <c r="U876" s="933"/>
      <c r="V876" s="933"/>
      <c r="W876" s="933"/>
      <c r="X876" s="933"/>
      <c r="Y876" s="933"/>
      <c r="Z876" s="933"/>
      <c r="AA876" s="933"/>
      <c r="AB876" s="933"/>
      <c r="AC876" s="933"/>
      <c r="AD876" s="933"/>
    </row>
    <row r="877" spans="1:30" ht="12.75">
      <c r="A877" s="933"/>
      <c r="B877" s="933"/>
      <c r="C877" s="933"/>
      <c r="D877" s="933"/>
      <c r="E877" s="933"/>
      <c r="F877" s="933"/>
      <c r="G877" s="933"/>
      <c r="H877" s="933"/>
      <c r="I877" s="933"/>
      <c r="J877" s="933"/>
      <c r="K877" s="935"/>
      <c r="L877" s="933"/>
      <c r="M877" s="933"/>
      <c r="N877" s="945"/>
      <c r="O877" s="933"/>
      <c r="P877" s="933"/>
      <c r="Q877" s="933"/>
      <c r="R877" s="933"/>
      <c r="S877" s="933"/>
      <c r="T877" s="933"/>
      <c r="U877" s="933"/>
      <c r="V877" s="933"/>
      <c r="W877" s="933"/>
      <c r="X877" s="933"/>
      <c r="Y877" s="933"/>
      <c r="Z877" s="933"/>
      <c r="AA877" s="933"/>
      <c r="AB877" s="933"/>
      <c r="AC877" s="933"/>
      <c r="AD877" s="933"/>
    </row>
    <row r="878" spans="1:30" ht="12.75">
      <c r="A878" s="933"/>
      <c r="B878" s="933"/>
      <c r="C878" s="933"/>
      <c r="D878" s="933"/>
      <c r="E878" s="933"/>
      <c r="F878" s="933"/>
      <c r="G878" s="933"/>
      <c r="H878" s="933"/>
      <c r="I878" s="933"/>
      <c r="J878" s="933"/>
      <c r="K878" s="935"/>
      <c r="L878" s="933"/>
      <c r="M878" s="933"/>
      <c r="N878" s="945"/>
      <c r="O878" s="933"/>
      <c r="P878" s="933"/>
      <c r="Q878" s="933"/>
      <c r="R878" s="933"/>
      <c r="S878" s="933"/>
      <c r="T878" s="933"/>
      <c r="U878" s="933"/>
      <c r="V878" s="933"/>
      <c r="W878" s="933"/>
      <c r="X878" s="933"/>
      <c r="Y878" s="933"/>
      <c r="Z878" s="933"/>
      <c r="AA878" s="933"/>
      <c r="AB878" s="933"/>
      <c r="AC878" s="933"/>
      <c r="AD878" s="933"/>
    </row>
    <row r="879" spans="1:30" ht="12.75">
      <c r="A879" s="933"/>
      <c r="B879" s="933"/>
      <c r="C879" s="933"/>
      <c r="D879" s="933"/>
      <c r="E879" s="933"/>
      <c r="F879" s="933"/>
      <c r="G879" s="933"/>
      <c r="H879" s="933"/>
      <c r="I879" s="933"/>
      <c r="J879" s="933"/>
      <c r="K879" s="935"/>
      <c r="L879" s="933"/>
      <c r="M879" s="933"/>
      <c r="N879" s="945"/>
      <c r="O879" s="933"/>
      <c r="P879" s="933"/>
      <c r="Q879" s="933"/>
      <c r="R879" s="933"/>
      <c r="S879" s="933"/>
      <c r="T879" s="933"/>
      <c r="U879" s="933"/>
      <c r="V879" s="933"/>
      <c r="W879" s="933"/>
      <c r="X879" s="933"/>
      <c r="Y879" s="933"/>
      <c r="Z879" s="933"/>
      <c r="AA879" s="933"/>
      <c r="AB879" s="933"/>
      <c r="AC879" s="933"/>
      <c r="AD879" s="933"/>
    </row>
    <row r="880" spans="1:30" ht="12.75">
      <c r="A880" s="933"/>
      <c r="B880" s="933"/>
      <c r="C880" s="933"/>
      <c r="D880" s="933"/>
      <c r="E880" s="933"/>
      <c r="F880" s="933"/>
      <c r="G880" s="933"/>
      <c r="H880" s="933"/>
      <c r="I880" s="933"/>
      <c r="J880" s="933"/>
      <c r="K880" s="935"/>
      <c r="L880" s="933"/>
      <c r="M880" s="933"/>
      <c r="N880" s="945"/>
      <c r="O880" s="933"/>
      <c r="P880" s="933"/>
      <c r="Q880" s="933"/>
      <c r="R880" s="933"/>
      <c r="S880" s="933"/>
      <c r="T880" s="933"/>
      <c r="U880" s="933"/>
      <c r="V880" s="933"/>
      <c r="W880" s="933"/>
      <c r="X880" s="933"/>
      <c r="Y880" s="933"/>
      <c r="Z880" s="933"/>
      <c r="AA880" s="933"/>
      <c r="AB880" s="933"/>
      <c r="AC880" s="933"/>
      <c r="AD880" s="933"/>
    </row>
    <row r="881" spans="1:30" ht="12.75">
      <c r="A881" s="933"/>
      <c r="B881" s="933"/>
      <c r="C881" s="933"/>
      <c r="D881" s="933"/>
      <c r="E881" s="933"/>
      <c r="F881" s="933"/>
      <c r="G881" s="933"/>
      <c r="H881" s="933"/>
      <c r="I881" s="933"/>
      <c r="J881" s="933"/>
      <c r="K881" s="935"/>
      <c r="L881" s="933"/>
      <c r="M881" s="933"/>
      <c r="N881" s="945"/>
      <c r="O881" s="933"/>
      <c r="P881" s="933"/>
      <c r="Q881" s="933"/>
      <c r="R881" s="933"/>
      <c r="S881" s="933"/>
      <c r="T881" s="933"/>
      <c r="U881" s="933"/>
      <c r="V881" s="933"/>
      <c r="W881" s="933"/>
      <c r="X881" s="933"/>
      <c r="Y881" s="933"/>
      <c r="Z881" s="933"/>
      <c r="AA881" s="933"/>
      <c r="AB881" s="933"/>
      <c r="AC881" s="933"/>
      <c r="AD881" s="933"/>
    </row>
    <row r="882" spans="1:30" ht="12.75">
      <c r="A882" s="933"/>
      <c r="B882" s="933"/>
      <c r="C882" s="933"/>
      <c r="D882" s="933"/>
      <c r="E882" s="933"/>
      <c r="F882" s="933"/>
      <c r="G882" s="933"/>
      <c r="H882" s="933"/>
      <c r="I882" s="933"/>
      <c r="J882" s="933"/>
      <c r="K882" s="935"/>
      <c r="L882" s="933"/>
      <c r="M882" s="933"/>
      <c r="N882" s="945"/>
      <c r="O882" s="933"/>
      <c r="P882" s="933"/>
      <c r="Q882" s="933"/>
      <c r="R882" s="933"/>
      <c r="S882" s="933"/>
      <c r="T882" s="933"/>
      <c r="U882" s="933"/>
      <c r="V882" s="933"/>
      <c r="W882" s="933"/>
      <c r="X882" s="933"/>
      <c r="Y882" s="933"/>
      <c r="Z882" s="933"/>
      <c r="AA882" s="933"/>
      <c r="AB882" s="933"/>
      <c r="AC882" s="933"/>
      <c r="AD882" s="933"/>
    </row>
    <row r="883" spans="1:30" ht="12.75">
      <c r="A883" s="933"/>
      <c r="B883" s="933"/>
      <c r="C883" s="933"/>
      <c r="D883" s="933"/>
      <c r="E883" s="933"/>
      <c r="F883" s="933"/>
      <c r="G883" s="933"/>
      <c r="H883" s="933"/>
      <c r="I883" s="933"/>
      <c r="J883" s="933"/>
      <c r="K883" s="935"/>
      <c r="L883" s="933"/>
      <c r="M883" s="933"/>
      <c r="N883" s="945"/>
      <c r="O883" s="933"/>
      <c r="P883" s="933"/>
      <c r="Q883" s="933"/>
      <c r="R883" s="933"/>
      <c r="S883" s="933"/>
      <c r="T883" s="933"/>
      <c r="U883" s="933"/>
      <c r="V883" s="933"/>
      <c r="W883" s="933"/>
      <c r="X883" s="933"/>
      <c r="Y883" s="933"/>
      <c r="Z883" s="933"/>
      <c r="AA883" s="933"/>
      <c r="AB883" s="933"/>
      <c r="AC883" s="933"/>
      <c r="AD883" s="933"/>
    </row>
    <row r="884" spans="1:30" ht="12.75">
      <c r="A884" s="933"/>
      <c r="B884" s="933"/>
      <c r="C884" s="933"/>
      <c r="D884" s="933"/>
      <c r="E884" s="933"/>
      <c r="F884" s="933"/>
      <c r="G884" s="933"/>
      <c r="H884" s="933"/>
      <c r="I884" s="933"/>
      <c r="J884" s="933"/>
      <c r="K884" s="935"/>
      <c r="L884" s="933"/>
      <c r="M884" s="933"/>
      <c r="N884" s="945"/>
      <c r="O884" s="933"/>
      <c r="P884" s="933"/>
      <c r="Q884" s="933"/>
      <c r="R884" s="933"/>
      <c r="S884" s="933"/>
      <c r="T884" s="933"/>
      <c r="U884" s="933"/>
      <c r="V884" s="933"/>
      <c r="W884" s="933"/>
      <c r="X884" s="933"/>
      <c r="Y884" s="933"/>
      <c r="Z884" s="933"/>
      <c r="AA884" s="933"/>
      <c r="AB884" s="933"/>
      <c r="AC884" s="933"/>
      <c r="AD884" s="933"/>
    </row>
    <row r="885" spans="1:30" ht="12.75">
      <c r="A885" s="933"/>
      <c r="B885" s="933"/>
      <c r="C885" s="933"/>
      <c r="D885" s="933"/>
      <c r="E885" s="933"/>
      <c r="F885" s="933"/>
      <c r="G885" s="933"/>
      <c r="H885" s="933"/>
      <c r="I885" s="933"/>
      <c r="J885" s="933"/>
      <c r="K885" s="935"/>
      <c r="L885" s="933"/>
      <c r="M885" s="933"/>
      <c r="N885" s="945"/>
      <c r="O885" s="933"/>
      <c r="P885" s="933"/>
      <c r="Q885" s="933"/>
      <c r="R885" s="933"/>
      <c r="S885" s="933"/>
      <c r="T885" s="933"/>
      <c r="U885" s="933"/>
      <c r="V885" s="933"/>
      <c r="W885" s="933"/>
      <c r="X885" s="933"/>
      <c r="Y885" s="933"/>
      <c r="Z885" s="933"/>
      <c r="AA885" s="933"/>
      <c r="AB885" s="933"/>
      <c r="AC885" s="933"/>
      <c r="AD885" s="933"/>
    </row>
    <row r="886" spans="1:30" ht="12.75">
      <c r="A886" s="933"/>
      <c r="B886" s="933"/>
      <c r="C886" s="933"/>
      <c r="D886" s="933"/>
      <c r="E886" s="933"/>
      <c r="F886" s="933"/>
      <c r="G886" s="933"/>
      <c r="H886" s="933"/>
      <c r="I886" s="933"/>
      <c r="J886" s="933"/>
      <c r="K886" s="935"/>
      <c r="L886" s="933"/>
      <c r="M886" s="933"/>
      <c r="N886" s="945"/>
      <c r="O886" s="933"/>
      <c r="P886" s="933"/>
      <c r="Q886" s="933"/>
      <c r="R886" s="933"/>
      <c r="S886" s="933"/>
      <c r="T886" s="933"/>
      <c r="U886" s="933"/>
      <c r="V886" s="933"/>
      <c r="W886" s="933"/>
      <c r="X886" s="933"/>
      <c r="Y886" s="933"/>
      <c r="Z886" s="933"/>
      <c r="AA886" s="933"/>
      <c r="AB886" s="933"/>
      <c r="AC886" s="933"/>
      <c r="AD886" s="933"/>
    </row>
    <row r="887" spans="1:30" ht="12.75">
      <c r="A887" s="933"/>
      <c r="B887" s="933"/>
      <c r="C887" s="933"/>
      <c r="D887" s="933"/>
      <c r="E887" s="933"/>
      <c r="F887" s="933"/>
      <c r="G887" s="933"/>
      <c r="H887" s="933"/>
      <c r="I887" s="933"/>
      <c r="J887" s="933"/>
      <c r="K887" s="935"/>
      <c r="L887" s="933"/>
      <c r="M887" s="933"/>
      <c r="N887" s="945"/>
      <c r="O887" s="933"/>
      <c r="P887" s="933"/>
      <c r="Q887" s="933"/>
      <c r="R887" s="933"/>
      <c r="S887" s="933"/>
      <c r="T887" s="933"/>
      <c r="U887" s="933"/>
      <c r="V887" s="933"/>
      <c r="W887" s="933"/>
      <c r="X887" s="933"/>
      <c r="Y887" s="933"/>
      <c r="Z887" s="933"/>
      <c r="AA887" s="933"/>
      <c r="AB887" s="933"/>
      <c r="AC887" s="933"/>
      <c r="AD887" s="933"/>
    </row>
    <row r="888" spans="1:30" ht="12.75">
      <c r="A888" s="933"/>
      <c r="B888" s="933"/>
      <c r="C888" s="933"/>
      <c r="D888" s="933"/>
      <c r="E888" s="933"/>
      <c r="F888" s="933"/>
      <c r="G888" s="933"/>
      <c r="H888" s="933"/>
      <c r="I888" s="933"/>
      <c r="J888" s="933"/>
      <c r="K888" s="935"/>
      <c r="L888" s="933"/>
      <c r="M888" s="933"/>
      <c r="N888" s="945"/>
      <c r="O888" s="933"/>
      <c r="P888" s="933"/>
      <c r="Q888" s="933"/>
      <c r="R888" s="933"/>
      <c r="S888" s="933"/>
      <c r="T888" s="933"/>
      <c r="U888" s="933"/>
      <c r="V888" s="933"/>
      <c r="W888" s="933"/>
      <c r="X888" s="933"/>
      <c r="Y888" s="933"/>
      <c r="Z888" s="933"/>
      <c r="AA888" s="933"/>
      <c r="AB888" s="933"/>
      <c r="AC888" s="933"/>
      <c r="AD888" s="933"/>
    </row>
    <row r="889" spans="1:30" ht="12.75">
      <c r="A889" s="933"/>
      <c r="B889" s="933"/>
      <c r="C889" s="933"/>
      <c r="D889" s="933"/>
      <c r="E889" s="933"/>
      <c r="F889" s="933"/>
      <c r="G889" s="933"/>
      <c r="H889" s="933"/>
      <c r="I889" s="933"/>
      <c r="J889" s="933"/>
      <c r="K889" s="935"/>
      <c r="L889" s="933"/>
      <c r="M889" s="933"/>
      <c r="N889" s="945"/>
      <c r="O889" s="933"/>
      <c r="P889" s="933"/>
      <c r="Q889" s="933"/>
      <c r="R889" s="933"/>
      <c r="S889" s="933"/>
      <c r="T889" s="933"/>
      <c r="U889" s="933"/>
      <c r="V889" s="933"/>
      <c r="W889" s="933"/>
      <c r="X889" s="933"/>
      <c r="Y889" s="933"/>
      <c r="Z889" s="933"/>
      <c r="AA889" s="933"/>
      <c r="AB889" s="933"/>
      <c r="AC889" s="933"/>
      <c r="AD889" s="933"/>
    </row>
    <row r="890" spans="1:30" ht="12.75">
      <c r="A890" s="933"/>
      <c r="B890" s="933"/>
      <c r="C890" s="933"/>
      <c r="D890" s="933"/>
      <c r="E890" s="933"/>
      <c r="F890" s="933"/>
      <c r="G890" s="933"/>
      <c r="H890" s="933"/>
      <c r="I890" s="933"/>
      <c r="J890" s="933"/>
      <c r="K890" s="935"/>
      <c r="L890" s="933"/>
      <c r="M890" s="933"/>
      <c r="N890" s="945"/>
      <c r="O890" s="933"/>
      <c r="P890" s="933"/>
      <c r="Q890" s="933"/>
      <c r="R890" s="933"/>
      <c r="S890" s="933"/>
      <c r="T890" s="933"/>
      <c r="U890" s="933"/>
      <c r="V890" s="933"/>
      <c r="W890" s="933"/>
      <c r="X890" s="933"/>
      <c r="Y890" s="933"/>
      <c r="Z890" s="933"/>
      <c r="AA890" s="933"/>
      <c r="AB890" s="933"/>
      <c r="AC890" s="933"/>
      <c r="AD890" s="933"/>
    </row>
    <row r="891" spans="1:30" ht="12.75">
      <c r="A891" s="933"/>
      <c r="B891" s="933"/>
      <c r="C891" s="933"/>
      <c r="D891" s="933"/>
      <c r="E891" s="933"/>
      <c r="F891" s="933"/>
      <c r="G891" s="933"/>
      <c r="H891" s="933"/>
      <c r="I891" s="933"/>
      <c r="J891" s="933"/>
      <c r="K891" s="935"/>
      <c r="L891" s="933"/>
      <c r="M891" s="933"/>
      <c r="N891" s="945"/>
      <c r="O891" s="933"/>
      <c r="P891" s="933"/>
      <c r="Q891" s="933"/>
      <c r="R891" s="933"/>
      <c r="S891" s="933"/>
      <c r="T891" s="933"/>
      <c r="U891" s="933"/>
      <c r="V891" s="933"/>
      <c r="W891" s="933"/>
      <c r="X891" s="933"/>
      <c r="Y891" s="933"/>
      <c r="Z891" s="933"/>
      <c r="AA891" s="933"/>
      <c r="AB891" s="933"/>
      <c r="AC891" s="933"/>
      <c r="AD891" s="933"/>
    </row>
    <row r="892" spans="1:30" ht="12.75">
      <c r="A892" s="933"/>
      <c r="B892" s="933"/>
      <c r="C892" s="933"/>
      <c r="D892" s="933"/>
      <c r="E892" s="933"/>
      <c r="F892" s="933"/>
      <c r="G892" s="933"/>
      <c r="H892" s="933"/>
      <c r="I892" s="933"/>
      <c r="J892" s="933"/>
      <c r="K892" s="935"/>
      <c r="L892" s="933"/>
      <c r="M892" s="933"/>
      <c r="N892" s="945"/>
      <c r="O892" s="933"/>
      <c r="P892" s="933"/>
      <c r="Q892" s="933"/>
      <c r="R892" s="933"/>
      <c r="S892" s="933"/>
      <c r="T892" s="933"/>
      <c r="U892" s="933"/>
      <c r="V892" s="933"/>
      <c r="W892" s="933"/>
      <c r="X892" s="933"/>
      <c r="Y892" s="933"/>
      <c r="Z892" s="933"/>
      <c r="AA892" s="933"/>
      <c r="AB892" s="933"/>
      <c r="AC892" s="933"/>
      <c r="AD892" s="933"/>
    </row>
    <row r="893" spans="1:30" ht="12.75">
      <c r="A893" s="933"/>
      <c r="B893" s="933"/>
      <c r="C893" s="933"/>
      <c r="D893" s="933"/>
      <c r="E893" s="933"/>
      <c r="F893" s="933"/>
      <c r="G893" s="933"/>
      <c r="H893" s="933"/>
      <c r="I893" s="933"/>
      <c r="J893" s="933"/>
      <c r="K893" s="935"/>
      <c r="L893" s="933"/>
      <c r="M893" s="933"/>
      <c r="N893" s="945"/>
      <c r="O893" s="933"/>
      <c r="P893" s="933"/>
      <c r="Q893" s="933"/>
      <c r="R893" s="933"/>
      <c r="S893" s="933"/>
      <c r="T893" s="933"/>
      <c r="U893" s="933"/>
      <c r="V893" s="933"/>
      <c r="W893" s="933"/>
      <c r="X893" s="933"/>
      <c r="Y893" s="933"/>
      <c r="Z893" s="933"/>
      <c r="AA893" s="933"/>
      <c r="AB893" s="933"/>
      <c r="AC893" s="933"/>
      <c r="AD893" s="933"/>
    </row>
    <row r="894" spans="1:30" ht="12.75">
      <c r="A894" s="933"/>
      <c r="B894" s="933"/>
      <c r="C894" s="933"/>
      <c r="D894" s="933"/>
      <c r="E894" s="933"/>
      <c r="F894" s="933"/>
      <c r="G894" s="933"/>
      <c r="H894" s="933"/>
      <c r="I894" s="933"/>
      <c r="J894" s="933"/>
      <c r="K894" s="935"/>
      <c r="L894" s="933"/>
      <c r="M894" s="933"/>
      <c r="N894" s="945"/>
      <c r="O894" s="933"/>
      <c r="P894" s="933"/>
      <c r="Q894" s="933"/>
      <c r="R894" s="933"/>
      <c r="S894" s="933"/>
      <c r="T894" s="933"/>
      <c r="U894" s="933"/>
      <c r="V894" s="933"/>
      <c r="W894" s="933"/>
      <c r="X894" s="933"/>
      <c r="Y894" s="933"/>
      <c r="Z894" s="933"/>
      <c r="AA894" s="933"/>
      <c r="AB894" s="933"/>
      <c r="AC894" s="933"/>
      <c r="AD894" s="933"/>
    </row>
    <row r="895" spans="1:30" ht="12.75">
      <c r="A895" s="933"/>
      <c r="B895" s="933"/>
      <c r="C895" s="933"/>
      <c r="D895" s="933"/>
      <c r="E895" s="933"/>
      <c r="F895" s="933"/>
      <c r="G895" s="933"/>
      <c r="H895" s="933"/>
      <c r="I895" s="933"/>
      <c r="J895" s="933"/>
      <c r="K895" s="935"/>
      <c r="L895" s="933"/>
      <c r="M895" s="933"/>
      <c r="N895" s="945"/>
      <c r="O895" s="933"/>
      <c r="P895" s="933"/>
      <c r="Q895" s="933"/>
      <c r="R895" s="933"/>
      <c r="S895" s="933"/>
      <c r="T895" s="933"/>
      <c r="U895" s="933"/>
      <c r="V895" s="933"/>
      <c r="W895" s="933"/>
      <c r="X895" s="933"/>
      <c r="Y895" s="933"/>
      <c r="Z895" s="933"/>
      <c r="AA895" s="933"/>
      <c r="AB895" s="933"/>
      <c r="AC895" s="933"/>
      <c r="AD895" s="933"/>
    </row>
    <row r="896" spans="1:30" ht="12.75">
      <c r="A896" s="933"/>
      <c r="B896" s="933"/>
      <c r="C896" s="933"/>
      <c r="D896" s="933"/>
      <c r="E896" s="933"/>
      <c r="F896" s="933"/>
      <c r="G896" s="933"/>
      <c r="H896" s="933"/>
      <c r="I896" s="933"/>
      <c r="J896" s="933"/>
      <c r="K896" s="935"/>
      <c r="L896" s="933"/>
      <c r="M896" s="933"/>
      <c r="N896" s="945"/>
      <c r="O896" s="933"/>
      <c r="P896" s="933"/>
      <c r="Q896" s="933"/>
      <c r="R896" s="933"/>
      <c r="S896" s="933"/>
      <c r="T896" s="933"/>
      <c r="U896" s="933"/>
      <c r="V896" s="933"/>
      <c r="W896" s="933"/>
      <c r="X896" s="933"/>
      <c r="Y896" s="933"/>
      <c r="Z896" s="933"/>
      <c r="AA896" s="933"/>
      <c r="AB896" s="933"/>
      <c r="AC896" s="933"/>
      <c r="AD896" s="933"/>
    </row>
    <row r="897" spans="1:30" ht="12.75">
      <c r="A897" s="933"/>
      <c r="B897" s="933"/>
      <c r="C897" s="933"/>
      <c r="D897" s="933"/>
      <c r="E897" s="933"/>
      <c r="F897" s="933"/>
      <c r="G897" s="933"/>
      <c r="H897" s="933"/>
      <c r="I897" s="933"/>
      <c r="J897" s="933"/>
      <c r="K897" s="935"/>
      <c r="L897" s="933"/>
      <c r="M897" s="933"/>
      <c r="N897" s="945"/>
      <c r="O897" s="933"/>
      <c r="P897" s="933"/>
      <c r="Q897" s="933"/>
      <c r="R897" s="933"/>
      <c r="S897" s="933"/>
      <c r="T897" s="933"/>
      <c r="U897" s="933"/>
      <c r="V897" s="933"/>
      <c r="W897" s="933"/>
      <c r="X897" s="933"/>
      <c r="Y897" s="933"/>
      <c r="Z897" s="933"/>
      <c r="AA897" s="933"/>
      <c r="AB897" s="933"/>
      <c r="AC897" s="933"/>
      <c r="AD897" s="933"/>
    </row>
    <row r="898" spans="1:30" ht="12.75">
      <c r="A898" s="933"/>
      <c r="B898" s="933"/>
      <c r="C898" s="933"/>
      <c r="D898" s="933"/>
      <c r="E898" s="933"/>
      <c r="F898" s="933"/>
      <c r="G898" s="933"/>
      <c r="H898" s="933"/>
      <c r="I898" s="933"/>
      <c r="J898" s="933"/>
      <c r="K898" s="935"/>
      <c r="L898" s="933"/>
      <c r="M898" s="933"/>
      <c r="N898" s="945"/>
      <c r="O898" s="933"/>
      <c r="P898" s="933"/>
      <c r="Q898" s="933"/>
      <c r="R898" s="933"/>
      <c r="S898" s="933"/>
      <c r="T898" s="933"/>
      <c r="U898" s="933"/>
      <c r="V898" s="933"/>
      <c r="W898" s="933"/>
      <c r="X898" s="933"/>
      <c r="Y898" s="933"/>
      <c r="Z898" s="933"/>
      <c r="AA898" s="933"/>
      <c r="AB898" s="933"/>
      <c r="AC898" s="933"/>
      <c r="AD898" s="933"/>
    </row>
    <row r="899" spans="1:30" ht="12.75">
      <c r="A899" s="933"/>
      <c r="B899" s="933"/>
      <c r="C899" s="933"/>
      <c r="D899" s="933"/>
      <c r="E899" s="933"/>
      <c r="F899" s="933"/>
      <c r="G899" s="933"/>
      <c r="H899" s="933"/>
      <c r="I899" s="933"/>
      <c r="J899" s="933"/>
      <c r="K899" s="935"/>
      <c r="L899" s="933"/>
      <c r="M899" s="933"/>
      <c r="N899" s="945"/>
      <c r="O899" s="933"/>
      <c r="P899" s="933"/>
      <c r="Q899" s="933"/>
      <c r="R899" s="933"/>
      <c r="S899" s="933"/>
      <c r="T899" s="933"/>
      <c r="U899" s="933"/>
      <c r="V899" s="933"/>
      <c r="W899" s="933"/>
      <c r="X899" s="933"/>
      <c r="Y899" s="933"/>
      <c r="Z899" s="933"/>
      <c r="AA899" s="933"/>
      <c r="AB899" s="933"/>
      <c r="AC899" s="933"/>
      <c r="AD899" s="933"/>
    </row>
    <row r="900" spans="1:30" ht="12.75">
      <c r="A900" s="933"/>
      <c r="B900" s="933"/>
      <c r="C900" s="933"/>
      <c r="D900" s="933"/>
      <c r="E900" s="933"/>
      <c r="F900" s="933"/>
      <c r="G900" s="933"/>
      <c r="H900" s="933"/>
      <c r="I900" s="933"/>
      <c r="J900" s="933"/>
      <c r="K900" s="935"/>
      <c r="L900" s="933"/>
      <c r="M900" s="933"/>
      <c r="N900" s="945"/>
      <c r="O900" s="933"/>
      <c r="P900" s="933"/>
      <c r="Q900" s="933"/>
      <c r="R900" s="933"/>
      <c r="S900" s="933"/>
      <c r="T900" s="933"/>
      <c r="U900" s="933"/>
      <c r="V900" s="933"/>
      <c r="W900" s="933"/>
      <c r="X900" s="933"/>
      <c r="Y900" s="933"/>
      <c r="Z900" s="933"/>
      <c r="AA900" s="933"/>
      <c r="AB900" s="933"/>
      <c r="AC900" s="933"/>
      <c r="AD900" s="933"/>
    </row>
    <row r="901" spans="1:30" ht="12.75">
      <c r="A901" s="933"/>
      <c r="B901" s="933"/>
      <c r="C901" s="933"/>
      <c r="D901" s="933"/>
      <c r="E901" s="933"/>
      <c r="F901" s="933"/>
      <c r="G901" s="933"/>
      <c r="H901" s="933"/>
      <c r="I901" s="933"/>
      <c r="J901" s="933"/>
      <c r="K901" s="935"/>
      <c r="L901" s="933"/>
      <c r="M901" s="933"/>
      <c r="N901" s="945"/>
      <c r="O901" s="933"/>
      <c r="P901" s="933"/>
      <c r="Q901" s="933"/>
      <c r="R901" s="933"/>
      <c r="S901" s="933"/>
      <c r="T901" s="933"/>
      <c r="U901" s="933"/>
      <c r="V901" s="933"/>
      <c r="W901" s="933"/>
      <c r="X901" s="933"/>
      <c r="Y901" s="933"/>
      <c r="Z901" s="933"/>
      <c r="AA901" s="933"/>
      <c r="AB901" s="933"/>
      <c r="AC901" s="933"/>
      <c r="AD901" s="933"/>
    </row>
    <row r="902" spans="1:30" ht="12.75">
      <c r="A902" s="933"/>
      <c r="B902" s="933"/>
      <c r="C902" s="933"/>
      <c r="D902" s="933"/>
      <c r="E902" s="933"/>
      <c r="F902" s="933"/>
      <c r="G902" s="933"/>
      <c r="H902" s="933"/>
      <c r="I902" s="933"/>
      <c r="J902" s="933"/>
      <c r="K902" s="935"/>
      <c r="L902" s="933"/>
      <c r="M902" s="933"/>
      <c r="N902" s="945"/>
      <c r="O902" s="933"/>
      <c r="P902" s="933"/>
      <c r="Q902" s="933"/>
      <c r="R902" s="933"/>
      <c r="S902" s="933"/>
      <c r="T902" s="933"/>
      <c r="U902" s="933"/>
      <c r="V902" s="933"/>
      <c r="W902" s="933"/>
      <c r="X902" s="933"/>
      <c r="Y902" s="933"/>
      <c r="Z902" s="933"/>
      <c r="AA902" s="933"/>
      <c r="AB902" s="933"/>
      <c r="AC902" s="933"/>
      <c r="AD902" s="933"/>
    </row>
    <row r="903" spans="1:30" ht="12.75">
      <c r="A903" s="933"/>
      <c r="B903" s="933"/>
      <c r="C903" s="933"/>
      <c r="D903" s="933"/>
      <c r="E903" s="933"/>
      <c r="F903" s="933"/>
      <c r="G903" s="933"/>
      <c r="H903" s="933"/>
      <c r="I903" s="933"/>
      <c r="J903" s="933"/>
      <c r="K903" s="935"/>
      <c r="L903" s="933"/>
      <c r="M903" s="933"/>
      <c r="N903" s="945"/>
      <c r="O903" s="933"/>
      <c r="P903" s="933"/>
      <c r="Q903" s="933"/>
      <c r="R903" s="933"/>
      <c r="S903" s="933"/>
      <c r="T903" s="933"/>
      <c r="U903" s="933"/>
      <c r="V903" s="933"/>
      <c r="W903" s="933"/>
      <c r="X903" s="933"/>
      <c r="Y903" s="933"/>
      <c r="Z903" s="933"/>
      <c r="AA903" s="933"/>
      <c r="AB903" s="933"/>
      <c r="AC903" s="933"/>
      <c r="AD903" s="933"/>
    </row>
    <row r="904" spans="1:30" ht="12.75">
      <c r="A904" s="933"/>
      <c r="B904" s="933"/>
      <c r="C904" s="933"/>
      <c r="D904" s="933"/>
      <c r="E904" s="933"/>
      <c r="F904" s="933"/>
      <c r="G904" s="933"/>
      <c r="H904" s="933"/>
      <c r="I904" s="933"/>
      <c r="J904" s="933"/>
      <c r="K904" s="935"/>
      <c r="L904" s="933"/>
      <c r="M904" s="933"/>
      <c r="N904" s="945"/>
      <c r="O904" s="933"/>
      <c r="P904" s="933"/>
      <c r="Q904" s="933"/>
      <c r="R904" s="933"/>
      <c r="S904" s="933"/>
      <c r="T904" s="933"/>
      <c r="U904" s="933"/>
      <c r="V904" s="933"/>
      <c r="W904" s="933"/>
      <c r="X904" s="933"/>
      <c r="Y904" s="933"/>
      <c r="Z904" s="933"/>
      <c r="AA904" s="933"/>
      <c r="AB904" s="933"/>
      <c r="AC904" s="933"/>
      <c r="AD904" s="933"/>
    </row>
    <row r="905" spans="1:30" ht="12.75">
      <c r="A905" s="933"/>
      <c r="B905" s="933"/>
      <c r="C905" s="933"/>
      <c r="D905" s="933"/>
      <c r="E905" s="933"/>
      <c r="F905" s="933"/>
      <c r="G905" s="933"/>
      <c r="H905" s="933"/>
      <c r="I905" s="933"/>
      <c r="J905" s="933"/>
      <c r="K905" s="935"/>
      <c r="L905" s="933"/>
      <c r="M905" s="933"/>
      <c r="N905" s="945"/>
      <c r="O905" s="933"/>
      <c r="P905" s="933"/>
      <c r="Q905" s="933"/>
      <c r="R905" s="933"/>
      <c r="S905" s="933"/>
      <c r="T905" s="933"/>
      <c r="U905" s="933"/>
      <c r="V905" s="933"/>
      <c r="W905" s="933"/>
      <c r="X905" s="933"/>
      <c r="Y905" s="933"/>
      <c r="Z905" s="933"/>
      <c r="AA905" s="933"/>
      <c r="AB905" s="933"/>
      <c r="AC905" s="933"/>
      <c r="AD905" s="933"/>
    </row>
    <row r="906" spans="1:30" ht="12.75">
      <c r="A906" s="933"/>
      <c r="B906" s="933"/>
      <c r="C906" s="933"/>
      <c r="D906" s="933"/>
      <c r="E906" s="933"/>
      <c r="F906" s="933"/>
      <c r="G906" s="933"/>
      <c r="H906" s="933"/>
      <c r="I906" s="933"/>
      <c r="J906" s="933"/>
      <c r="K906" s="935"/>
      <c r="L906" s="933"/>
      <c r="M906" s="933"/>
      <c r="N906" s="945"/>
      <c r="O906" s="933"/>
      <c r="P906" s="933"/>
      <c r="Q906" s="933"/>
      <c r="R906" s="933"/>
      <c r="S906" s="933"/>
      <c r="T906" s="933"/>
      <c r="U906" s="933"/>
      <c r="V906" s="933"/>
      <c r="W906" s="933"/>
      <c r="X906" s="933"/>
      <c r="Y906" s="933"/>
      <c r="Z906" s="933"/>
      <c r="AA906" s="933"/>
      <c r="AB906" s="933"/>
      <c r="AC906" s="933"/>
      <c r="AD906" s="933"/>
    </row>
    <row r="907" spans="1:30" ht="12.75">
      <c r="A907" s="933"/>
      <c r="B907" s="933"/>
      <c r="C907" s="933"/>
      <c r="D907" s="933"/>
      <c r="E907" s="933"/>
      <c r="F907" s="933"/>
      <c r="G907" s="933"/>
      <c r="H907" s="933"/>
      <c r="I907" s="933"/>
      <c r="J907" s="933"/>
      <c r="K907" s="935"/>
      <c r="L907" s="933"/>
      <c r="M907" s="933"/>
      <c r="N907" s="945"/>
      <c r="O907" s="933"/>
      <c r="P907" s="933"/>
      <c r="Q907" s="933"/>
      <c r="R907" s="933"/>
      <c r="S907" s="933"/>
      <c r="T907" s="933"/>
      <c r="U907" s="933"/>
      <c r="V907" s="933"/>
      <c r="W907" s="933"/>
      <c r="X907" s="933"/>
      <c r="Y907" s="933"/>
      <c r="Z907" s="933"/>
      <c r="AA907" s="933"/>
      <c r="AB907" s="933"/>
      <c r="AC907" s="933"/>
      <c r="AD907" s="933"/>
    </row>
    <row r="908" spans="1:30" ht="12.75">
      <c r="A908" s="933"/>
      <c r="B908" s="933"/>
      <c r="C908" s="933"/>
      <c r="D908" s="933"/>
      <c r="E908" s="933"/>
      <c r="F908" s="933"/>
      <c r="G908" s="933"/>
      <c r="H908" s="933"/>
      <c r="I908" s="933"/>
      <c r="J908" s="933"/>
      <c r="K908" s="935"/>
      <c r="L908" s="933"/>
      <c r="M908" s="933"/>
      <c r="N908" s="945"/>
      <c r="O908" s="933"/>
      <c r="P908" s="933"/>
      <c r="Q908" s="933"/>
      <c r="R908" s="933"/>
      <c r="S908" s="933"/>
      <c r="T908" s="933"/>
      <c r="U908" s="933"/>
      <c r="V908" s="933"/>
      <c r="W908" s="933"/>
      <c r="X908" s="933"/>
      <c r="Y908" s="933"/>
      <c r="Z908" s="933"/>
      <c r="AA908" s="933"/>
      <c r="AB908" s="933"/>
      <c r="AC908" s="933"/>
      <c r="AD908" s="933"/>
    </row>
    <row r="909" spans="1:30" ht="12.75">
      <c r="A909" s="933"/>
      <c r="B909" s="933"/>
      <c r="C909" s="933"/>
      <c r="D909" s="933"/>
      <c r="E909" s="933"/>
      <c r="F909" s="933"/>
      <c r="G909" s="933"/>
      <c r="H909" s="933"/>
      <c r="I909" s="933"/>
      <c r="J909" s="933"/>
      <c r="K909" s="935"/>
      <c r="L909" s="933"/>
      <c r="M909" s="933"/>
      <c r="N909" s="945"/>
      <c r="O909" s="933"/>
      <c r="P909" s="933"/>
      <c r="Q909" s="933"/>
      <c r="R909" s="933"/>
      <c r="S909" s="933"/>
      <c r="T909" s="933"/>
      <c r="U909" s="933"/>
      <c r="V909" s="933"/>
      <c r="W909" s="933"/>
      <c r="X909" s="933"/>
      <c r="Y909" s="933"/>
      <c r="Z909" s="933"/>
      <c r="AA909" s="933"/>
      <c r="AB909" s="933"/>
      <c r="AC909" s="933"/>
      <c r="AD909" s="933"/>
    </row>
    <row r="910" spans="1:30" ht="12.75">
      <c r="A910" s="933"/>
      <c r="B910" s="933"/>
      <c r="C910" s="933"/>
      <c r="D910" s="933"/>
      <c r="E910" s="933"/>
      <c r="F910" s="933"/>
      <c r="G910" s="933"/>
      <c r="H910" s="933"/>
      <c r="I910" s="933"/>
      <c r="J910" s="933"/>
      <c r="K910" s="935"/>
      <c r="L910" s="933"/>
      <c r="M910" s="933"/>
      <c r="N910" s="945"/>
      <c r="O910" s="933"/>
      <c r="P910" s="933"/>
      <c r="Q910" s="933"/>
      <c r="R910" s="933"/>
      <c r="S910" s="933"/>
      <c r="T910" s="933"/>
      <c r="U910" s="933"/>
      <c r="V910" s="933"/>
      <c r="W910" s="933"/>
      <c r="X910" s="933"/>
      <c r="Y910" s="933"/>
      <c r="Z910" s="933"/>
      <c r="AA910" s="933"/>
      <c r="AB910" s="933"/>
      <c r="AC910" s="933"/>
      <c r="AD910" s="933"/>
    </row>
    <row r="911" spans="1:30" ht="12.75">
      <c r="A911" s="933"/>
      <c r="B911" s="933"/>
      <c r="C911" s="933"/>
      <c r="D911" s="933"/>
      <c r="E911" s="933"/>
      <c r="F911" s="933"/>
      <c r="G911" s="933"/>
      <c r="H911" s="933"/>
      <c r="I911" s="933"/>
      <c r="J911" s="933"/>
      <c r="K911" s="935"/>
      <c r="L911" s="933"/>
      <c r="M911" s="933"/>
      <c r="N911" s="945"/>
      <c r="O911" s="933"/>
      <c r="P911" s="933"/>
      <c r="Q911" s="933"/>
      <c r="R911" s="933"/>
      <c r="S911" s="933"/>
      <c r="T911" s="933"/>
      <c r="U911" s="933"/>
      <c r="V911" s="933"/>
      <c r="W911" s="933"/>
      <c r="X911" s="933"/>
      <c r="Y911" s="933"/>
      <c r="Z911" s="933"/>
      <c r="AA911" s="933"/>
      <c r="AB911" s="933"/>
      <c r="AC911" s="933"/>
      <c r="AD911" s="933"/>
    </row>
    <row r="912" spans="1:30" ht="12.75">
      <c r="A912" s="933"/>
      <c r="B912" s="933"/>
      <c r="C912" s="933"/>
      <c r="D912" s="933"/>
      <c r="E912" s="933"/>
      <c r="F912" s="933"/>
      <c r="G912" s="933"/>
      <c r="H912" s="933"/>
      <c r="I912" s="933"/>
      <c r="J912" s="933"/>
      <c r="K912" s="935"/>
      <c r="L912" s="933"/>
      <c r="M912" s="933"/>
      <c r="N912" s="945"/>
      <c r="O912" s="933"/>
      <c r="P912" s="933"/>
      <c r="Q912" s="933"/>
      <c r="R912" s="933"/>
      <c r="S912" s="933"/>
      <c r="T912" s="933"/>
      <c r="U912" s="933"/>
      <c r="V912" s="933"/>
      <c r="W912" s="933"/>
      <c r="X912" s="933"/>
      <c r="Y912" s="933"/>
      <c r="Z912" s="933"/>
      <c r="AA912" s="933"/>
      <c r="AB912" s="933"/>
      <c r="AC912" s="933"/>
      <c r="AD912" s="933"/>
    </row>
    <row r="913" spans="1:30" ht="12.75">
      <c r="A913" s="933"/>
      <c r="B913" s="933"/>
      <c r="C913" s="933"/>
      <c r="D913" s="933"/>
      <c r="E913" s="933"/>
      <c r="F913" s="933"/>
      <c r="G913" s="933"/>
      <c r="H913" s="933"/>
      <c r="I913" s="933"/>
      <c r="J913" s="933"/>
      <c r="K913" s="935"/>
      <c r="L913" s="933"/>
      <c r="M913" s="933"/>
      <c r="N913" s="945"/>
      <c r="O913" s="933"/>
      <c r="P913" s="933"/>
      <c r="Q913" s="933"/>
      <c r="R913" s="933"/>
      <c r="S913" s="933"/>
      <c r="T913" s="933"/>
      <c r="U913" s="933"/>
      <c r="V913" s="933"/>
      <c r="W913" s="933"/>
      <c r="X913" s="933"/>
      <c r="Y913" s="933"/>
      <c r="Z913" s="933"/>
      <c r="AA913" s="933"/>
      <c r="AB913" s="933"/>
      <c r="AC913" s="933"/>
      <c r="AD913" s="933"/>
    </row>
    <row r="914" spans="1:30" ht="12.75">
      <c r="A914" s="933"/>
      <c r="B914" s="933"/>
      <c r="C914" s="933"/>
      <c r="D914" s="933"/>
      <c r="E914" s="933"/>
      <c r="F914" s="933"/>
      <c r="G914" s="933"/>
      <c r="H914" s="933"/>
      <c r="I914" s="933"/>
      <c r="J914" s="933"/>
      <c r="K914" s="935"/>
      <c r="L914" s="933"/>
      <c r="M914" s="933"/>
      <c r="N914" s="945"/>
      <c r="O914" s="933"/>
      <c r="P914" s="933"/>
      <c r="Q914" s="933"/>
      <c r="R914" s="933"/>
      <c r="S914" s="933"/>
      <c r="T914" s="933"/>
      <c r="U914" s="933"/>
      <c r="V914" s="933"/>
      <c r="W914" s="933"/>
      <c r="X914" s="933"/>
      <c r="Y914" s="933"/>
      <c r="Z914" s="933"/>
      <c r="AA914" s="933"/>
      <c r="AB914" s="933"/>
      <c r="AC914" s="933"/>
      <c r="AD914" s="933"/>
    </row>
    <row r="915" spans="1:30" ht="12.75">
      <c r="A915" s="933"/>
      <c r="B915" s="933"/>
      <c r="C915" s="933"/>
      <c r="D915" s="933"/>
      <c r="E915" s="933"/>
      <c r="F915" s="933"/>
      <c r="G915" s="933"/>
      <c r="H915" s="933"/>
      <c r="I915" s="933"/>
      <c r="J915" s="933"/>
      <c r="K915" s="935"/>
      <c r="L915" s="933"/>
      <c r="M915" s="933"/>
      <c r="N915" s="945"/>
      <c r="O915" s="933"/>
      <c r="P915" s="933"/>
      <c r="Q915" s="933"/>
      <c r="R915" s="933"/>
      <c r="S915" s="933"/>
      <c r="T915" s="933"/>
      <c r="U915" s="933"/>
      <c r="V915" s="933"/>
      <c r="W915" s="933"/>
      <c r="X915" s="933"/>
      <c r="Y915" s="933"/>
      <c r="Z915" s="933"/>
      <c r="AA915" s="933"/>
      <c r="AB915" s="933"/>
      <c r="AC915" s="933"/>
      <c r="AD915" s="933"/>
    </row>
    <row r="916" spans="1:30" ht="12.75">
      <c r="A916" s="933"/>
      <c r="B916" s="933"/>
      <c r="C916" s="933"/>
      <c r="D916" s="933"/>
      <c r="E916" s="933"/>
      <c r="F916" s="933"/>
      <c r="G916" s="933"/>
      <c r="H916" s="933"/>
      <c r="I916" s="933"/>
      <c r="J916" s="933"/>
      <c r="K916" s="935"/>
      <c r="L916" s="933"/>
      <c r="M916" s="933"/>
      <c r="N916" s="945"/>
      <c r="O916" s="933"/>
      <c r="P916" s="933"/>
      <c r="Q916" s="933"/>
      <c r="R916" s="933"/>
      <c r="S916" s="933"/>
      <c r="T916" s="933"/>
      <c r="U916" s="933"/>
      <c r="V916" s="933"/>
      <c r="W916" s="933"/>
      <c r="X916" s="933"/>
      <c r="Y916" s="933"/>
      <c r="Z916" s="933"/>
      <c r="AA916" s="933"/>
      <c r="AB916" s="933"/>
      <c r="AC916" s="933"/>
      <c r="AD916" s="933"/>
    </row>
    <row r="917" spans="1:30" ht="12.75">
      <c r="A917" s="933"/>
      <c r="B917" s="933"/>
      <c r="C917" s="933"/>
      <c r="D917" s="933"/>
      <c r="E917" s="933"/>
      <c r="F917" s="933"/>
      <c r="G917" s="933"/>
      <c r="H917" s="933"/>
      <c r="I917" s="933"/>
      <c r="J917" s="933"/>
      <c r="K917" s="935"/>
      <c r="L917" s="933"/>
      <c r="M917" s="933"/>
      <c r="N917" s="945"/>
      <c r="O917" s="933"/>
      <c r="P917" s="933"/>
      <c r="Q917" s="933"/>
      <c r="R917" s="933"/>
      <c r="S917" s="933"/>
      <c r="T917" s="933"/>
      <c r="U917" s="933"/>
      <c r="V917" s="933"/>
      <c r="W917" s="933"/>
      <c r="X917" s="933"/>
      <c r="Y917" s="933"/>
      <c r="Z917" s="933"/>
      <c r="AA917" s="933"/>
      <c r="AB917" s="933"/>
      <c r="AC917" s="933"/>
      <c r="AD917" s="933"/>
    </row>
    <row r="918" spans="1:30" ht="12.75">
      <c r="A918" s="933"/>
      <c r="B918" s="933"/>
      <c r="C918" s="933"/>
      <c r="D918" s="933"/>
      <c r="E918" s="933"/>
      <c r="F918" s="933"/>
      <c r="G918" s="933"/>
      <c r="H918" s="933"/>
      <c r="I918" s="933"/>
      <c r="J918" s="933"/>
      <c r="K918" s="935"/>
      <c r="L918" s="933"/>
      <c r="M918" s="933"/>
      <c r="N918" s="945"/>
      <c r="O918" s="933"/>
      <c r="P918" s="933"/>
      <c r="Q918" s="933"/>
      <c r="R918" s="933"/>
      <c r="S918" s="933"/>
      <c r="T918" s="933"/>
      <c r="U918" s="933"/>
      <c r="V918" s="933"/>
      <c r="W918" s="933"/>
      <c r="X918" s="933"/>
      <c r="Y918" s="933"/>
      <c r="Z918" s="933"/>
      <c r="AA918" s="933"/>
      <c r="AB918" s="933"/>
      <c r="AC918" s="933"/>
      <c r="AD918" s="933"/>
    </row>
    <row r="919" spans="1:30" ht="12.75">
      <c r="A919" s="933"/>
      <c r="B919" s="933"/>
      <c r="C919" s="933"/>
      <c r="D919" s="933"/>
      <c r="E919" s="933"/>
      <c r="F919" s="933"/>
      <c r="G919" s="933"/>
      <c r="H919" s="933"/>
      <c r="I919" s="933"/>
      <c r="J919" s="933"/>
      <c r="K919" s="935"/>
      <c r="L919" s="933"/>
      <c r="M919" s="933"/>
      <c r="N919" s="945"/>
      <c r="O919" s="933"/>
      <c r="P919" s="933"/>
      <c r="Q919" s="933"/>
      <c r="R919" s="933"/>
      <c r="S919" s="933"/>
      <c r="T919" s="933"/>
      <c r="U919" s="933"/>
      <c r="V919" s="933"/>
      <c r="W919" s="933"/>
      <c r="X919" s="933"/>
      <c r="Y919" s="933"/>
      <c r="Z919" s="933"/>
      <c r="AA919" s="933"/>
      <c r="AB919" s="933"/>
      <c r="AC919" s="933"/>
      <c r="AD919" s="933"/>
    </row>
    <row r="920" spans="1:30" ht="12.75">
      <c r="A920" s="933"/>
      <c r="B920" s="933"/>
      <c r="C920" s="933"/>
      <c r="D920" s="933"/>
      <c r="E920" s="933"/>
      <c r="F920" s="933"/>
      <c r="G920" s="933"/>
      <c r="H920" s="933"/>
      <c r="I920" s="933"/>
      <c r="J920" s="933"/>
      <c r="K920" s="935"/>
      <c r="L920" s="933"/>
      <c r="M920" s="933"/>
      <c r="N920" s="945"/>
      <c r="O920" s="933"/>
      <c r="P920" s="933"/>
      <c r="Q920" s="933"/>
      <c r="R920" s="933"/>
      <c r="S920" s="933"/>
      <c r="T920" s="933"/>
      <c r="U920" s="933"/>
      <c r="V920" s="933"/>
      <c r="W920" s="933"/>
      <c r="X920" s="933"/>
      <c r="Y920" s="933"/>
      <c r="Z920" s="933"/>
      <c r="AA920" s="933"/>
      <c r="AB920" s="933"/>
      <c r="AC920" s="933"/>
      <c r="AD920" s="933"/>
    </row>
    <row r="921" spans="1:30" ht="12.75">
      <c r="A921" s="933"/>
      <c r="B921" s="933"/>
      <c r="C921" s="933"/>
      <c r="D921" s="933"/>
      <c r="E921" s="933"/>
      <c r="F921" s="933"/>
      <c r="G921" s="933"/>
      <c r="H921" s="933"/>
      <c r="I921" s="933"/>
      <c r="J921" s="933"/>
      <c r="K921" s="935"/>
      <c r="L921" s="933"/>
      <c r="M921" s="933"/>
      <c r="N921" s="945"/>
      <c r="O921" s="933"/>
      <c r="P921" s="933"/>
      <c r="Q921" s="933"/>
      <c r="R921" s="933"/>
      <c r="S921" s="933"/>
      <c r="T921" s="933"/>
      <c r="U921" s="933"/>
      <c r="V921" s="933"/>
      <c r="W921" s="933"/>
      <c r="X921" s="933"/>
      <c r="Y921" s="933"/>
      <c r="Z921" s="933"/>
      <c r="AA921" s="933"/>
      <c r="AB921" s="933"/>
      <c r="AC921" s="933"/>
      <c r="AD921" s="933"/>
    </row>
    <row r="922" spans="1:30" ht="12.75">
      <c r="A922" s="933"/>
      <c r="B922" s="933"/>
      <c r="C922" s="933"/>
      <c r="D922" s="933"/>
      <c r="E922" s="933"/>
      <c r="F922" s="933"/>
      <c r="G922" s="933"/>
      <c r="H922" s="933"/>
      <c r="I922" s="933"/>
      <c r="J922" s="933"/>
      <c r="K922" s="935"/>
      <c r="L922" s="933"/>
      <c r="M922" s="933"/>
      <c r="N922" s="945"/>
      <c r="O922" s="933"/>
      <c r="P922" s="933"/>
      <c r="Q922" s="933"/>
      <c r="R922" s="933"/>
      <c r="S922" s="933"/>
      <c r="T922" s="933"/>
      <c r="U922" s="933"/>
      <c r="V922" s="933"/>
      <c r="W922" s="933"/>
      <c r="X922" s="933"/>
      <c r="Y922" s="933"/>
      <c r="Z922" s="933"/>
      <c r="AA922" s="933"/>
      <c r="AB922" s="933"/>
      <c r="AC922" s="933"/>
      <c r="AD922" s="933"/>
    </row>
    <row r="923" spans="1:30" ht="12.75">
      <c r="A923" s="933"/>
      <c r="B923" s="933"/>
      <c r="C923" s="933"/>
      <c r="D923" s="933"/>
      <c r="E923" s="933"/>
      <c r="F923" s="933"/>
      <c r="G923" s="933"/>
      <c r="H923" s="933"/>
      <c r="I923" s="933"/>
      <c r="J923" s="933"/>
      <c r="K923" s="935"/>
      <c r="L923" s="933"/>
      <c r="M923" s="933"/>
      <c r="N923" s="945"/>
      <c r="O923" s="933"/>
      <c r="P923" s="933"/>
      <c r="Q923" s="933"/>
      <c r="R923" s="933"/>
      <c r="S923" s="933"/>
      <c r="T923" s="933"/>
      <c r="U923" s="933"/>
      <c r="V923" s="933"/>
      <c r="W923" s="933"/>
      <c r="X923" s="933"/>
      <c r="Y923" s="933"/>
      <c r="Z923" s="933"/>
      <c r="AA923" s="933"/>
      <c r="AB923" s="933"/>
      <c r="AC923" s="933"/>
      <c r="AD923" s="933"/>
    </row>
    <row r="924" spans="1:30" ht="12.75">
      <c r="A924" s="933"/>
      <c r="B924" s="933"/>
      <c r="C924" s="933"/>
      <c r="D924" s="933"/>
      <c r="E924" s="933"/>
      <c r="F924" s="933"/>
      <c r="G924" s="933"/>
      <c r="H924" s="933"/>
      <c r="I924" s="933"/>
      <c r="J924" s="933"/>
      <c r="K924" s="935"/>
      <c r="L924" s="933"/>
      <c r="M924" s="933"/>
      <c r="N924" s="945"/>
      <c r="O924" s="933"/>
      <c r="P924" s="933"/>
      <c r="Q924" s="933"/>
      <c r="R924" s="933"/>
      <c r="S924" s="933"/>
      <c r="T924" s="933"/>
      <c r="U924" s="933"/>
      <c r="V924" s="933"/>
      <c r="W924" s="933"/>
      <c r="X924" s="933"/>
      <c r="Y924" s="933"/>
      <c r="Z924" s="933"/>
      <c r="AA924" s="933"/>
      <c r="AB924" s="933"/>
      <c r="AC924" s="933"/>
      <c r="AD924" s="933"/>
    </row>
    <row r="925" spans="1:30" ht="12.75">
      <c r="A925" s="933"/>
      <c r="B925" s="933"/>
      <c r="C925" s="933"/>
      <c r="D925" s="933"/>
      <c r="E925" s="933"/>
      <c r="F925" s="933"/>
      <c r="G925" s="933"/>
      <c r="H925" s="933"/>
      <c r="I925" s="933"/>
      <c r="J925" s="933"/>
      <c r="K925" s="935"/>
      <c r="L925" s="933"/>
      <c r="M925" s="933"/>
      <c r="N925" s="945"/>
      <c r="O925" s="933"/>
      <c r="P925" s="933"/>
      <c r="Q925" s="933"/>
      <c r="R925" s="933"/>
      <c r="S925" s="933"/>
      <c r="T925" s="933"/>
      <c r="U925" s="933"/>
      <c r="V925" s="933"/>
      <c r="W925" s="933"/>
      <c r="X925" s="933"/>
      <c r="Y925" s="933"/>
      <c r="Z925" s="933"/>
      <c r="AA925" s="933"/>
      <c r="AB925" s="933"/>
      <c r="AC925" s="933"/>
      <c r="AD925" s="933"/>
    </row>
    <row r="926" spans="1:30" ht="12.75">
      <c r="A926" s="933"/>
      <c r="B926" s="933"/>
      <c r="C926" s="933"/>
      <c r="D926" s="933"/>
      <c r="E926" s="933"/>
      <c r="F926" s="933"/>
      <c r="G926" s="933"/>
      <c r="H926" s="933"/>
      <c r="I926" s="933"/>
      <c r="J926" s="933"/>
      <c r="K926" s="935"/>
      <c r="L926" s="933"/>
      <c r="M926" s="933"/>
      <c r="N926" s="945"/>
      <c r="O926" s="933"/>
      <c r="P926" s="933"/>
      <c r="Q926" s="933"/>
      <c r="R926" s="933"/>
      <c r="S926" s="933"/>
      <c r="T926" s="933"/>
      <c r="U926" s="933"/>
      <c r="V926" s="933"/>
      <c r="W926" s="933"/>
      <c r="X926" s="933"/>
      <c r="Y926" s="933"/>
      <c r="Z926" s="933"/>
      <c r="AA926" s="933"/>
      <c r="AB926" s="933"/>
      <c r="AC926" s="933"/>
      <c r="AD926" s="933"/>
    </row>
    <row r="927" spans="1:30" ht="12.75">
      <c r="A927" s="933"/>
      <c r="B927" s="933"/>
      <c r="C927" s="933"/>
      <c r="D927" s="933"/>
      <c r="E927" s="933"/>
      <c r="F927" s="933"/>
      <c r="G927" s="933"/>
      <c r="H927" s="933"/>
      <c r="I927" s="933"/>
      <c r="J927" s="933"/>
      <c r="K927" s="935"/>
      <c r="L927" s="933"/>
      <c r="M927" s="933"/>
      <c r="N927" s="945"/>
      <c r="O927" s="933"/>
      <c r="P927" s="933"/>
      <c r="Q927" s="933"/>
      <c r="R927" s="933"/>
      <c r="S927" s="933"/>
      <c r="T927" s="933"/>
      <c r="U927" s="933"/>
      <c r="V927" s="933"/>
      <c r="W927" s="933"/>
      <c r="X927" s="933"/>
      <c r="Y927" s="933"/>
      <c r="Z927" s="933"/>
      <c r="AA927" s="933"/>
      <c r="AB927" s="933"/>
      <c r="AC927" s="933"/>
      <c r="AD927" s="933"/>
    </row>
    <row r="928" spans="1:30" ht="12.75">
      <c r="A928" s="933"/>
      <c r="B928" s="933"/>
      <c r="C928" s="933"/>
      <c r="D928" s="933"/>
      <c r="E928" s="933"/>
      <c r="F928" s="933"/>
      <c r="G928" s="933"/>
      <c r="H928" s="933"/>
      <c r="I928" s="933"/>
      <c r="J928" s="933"/>
      <c r="K928" s="935"/>
      <c r="L928" s="933"/>
      <c r="M928" s="933"/>
      <c r="N928" s="945"/>
      <c r="O928" s="933"/>
      <c r="P928" s="933"/>
      <c r="Q928" s="933"/>
      <c r="R928" s="933"/>
      <c r="S928" s="933"/>
      <c r="T928" s="933"/>
      <c r="U928" s="933"/>
      <c r="V928" s="933"/>
      <c r="W928" s="933"/>
      <c r="X928" s="933"/>
      <c r="Y928" s="933"/>
      <c r="Z928" s="933"/>
      <c r="AA928" s="933"/>
      <c r="AB928" s="933"/>
      <c r="AC928" s="933"/>
      <c r="AD928" s="933"/>
    </row>
    <row r="929" spans="1:30" ht="12.75">
      <c r="A929" s="933"/>
      <c r="B929" s="933"/>
      <c r="C929" s="933"/>
      <c r="D929" s="933"/>
      <c r="E929" s="933"/>
      <c r="F929" s="933"/>
      <c r="G929" s="933"/>
      <c r="H929" s="933"/>
      <c r="I929" s="933"/>
      <c r="J929" s="933"/>
      <c r="K929" s="935"/>
      <c r="L929" s="933"/>
      <c r="M929" s="933"/>
      <c r="N929" s="945"/>
      <c r="O929" s="933"/>
      <c r="P929" s="933"/>
      <c r="Q929" s="933"/>
      <c r="R929" s="933"/>
      <c r="S929" s="933"/>
      <c r="T929" s="933"/>
      <c r="U929" s="933"/>
      <c r="V929" s="933"/>
      <c r="W929" s="933"/>
      <c r="X929" s="933"/>
      <c r="Y929" s="933"/>
      <c r="Z929" s="933"/>
      <c r="AA929" s="933"/>
      <c r="AB929" s="933"/>
      <c r="AC929" s="933"/>
      <c r="AD929" s="933"/>
    </row>
    <row r="930" spans="1:30" ht="12.75">
      <c r="A930" s="933"/>
      <c r="B930" s="933"/>
      <c r="C930" s="933"/>
      <c r="D930" s="933"/>
      <c r="E930" s="933"/>
      <c r="F930" s="933"/>
      <c r="G930" s="933"/>
      <c r="H930" s="933"/>
      <c r="I930" s="933"/>
      <c r="J930" s="933"/>
      <c r="K930" s="935"/>
      <c r="L930" s="933"/>
      <c r="M930" s="933"/>
      <c r="N930" s="945"/>
      <c r="O930" s="933"/>
      <c r="P930" s="933"/>
      <c r="Q930" s="933"/>
      <c r="R930" s="933"/>
      <c r="S930" s="933"/>
      <c r="T930" s="933"/>
      <c r="U930" s="933"/>
      <c r="V930" s="933"/>
      <c r="W930" s="933"/>
      <c r="X930" s="933"/>
      <c r="Y930" s="933"/>
      <c r="Z930" s="933"/>
      <c r="AA930" s="933"/>
      <c r="AB930" s="933"/>
      <c r="AC930" s="933"/>
      <c r="AD930" s="933"/>
    </row>
    <row r="931" spans="1:30" ht="12.75">
      <c r="A931" s="933"/>
      <c r="B931" s="933"/>
      <c r="C931" s="933"/>
      <c r="D931" s="933"/>
      <c r="E931" s="933"/>
      <c r="F931" s="933"/>
      <c r="G931" s="933"/>
      <c r="H931" s="933"/>
      <c r="I931" s="933"/>
      <c r="J931" s="933"/>
      <c r="K931" s="935"/>
      <c r="L931" s="933"/>
      <c r="M931" s="933"/>
      <c r="N931" s="945"/>
      <c r="O931" s="933"/>
      <c r="P931" s="933"/>
      <c r="Q931" s="933"/>
      <c r="R931" s="933"/>
      <c r="S931" s="933"/>
      <c r="T931" s="933"/>
      <c r="U931" s="933"/>
      <c r="V931" s="933"/>
      <c r="W931" s="933"/>
      <c r="X931" s="933"/>
      <c r="Y931" s="933"/>
      <c r="Z931" s="933"/>
      <c r="AA931" s="933"/>
      <c r="AB931" s="933"/>
      <c r="AC931" s="933"/>
      <c r="AD931" s="933"/>
    </row>
    <row r="932" spans="1:30" ht="12.75">
      <c r="A932" s="933"/>
      <c r="B932" s="933"/>
      <c r="C932" s="933"/>
      <c r="D932" s="933"/>
      <c r="E932" s="933"/>
      <c r="F932" s="933"/>
      <c r="G932" s="933"/>
      <c r="H932" s="933"/>
      <c r="I932" s="933"/>
      <c r="J932" s="933"/>
      <c r="K932" s="935"/>
      <c r="L932" s="933"/>
      <c r="M932" s="933"/>
      <c r="N932" s="945"/>
      <c r="O932" s="933"/>
      <c r="P932" s="933"/>
      <c r="Q932" s="933"/>
      <c r="R932" s="933"/>
      <c r="S932" s="933"/>
      <c r="T932" s="933"/>
      <c r="U932" s="933"/>
      <c r="V932" s="933"/>
      <c r="W932" s="933"/>
      <c r="X932" s="933"/>
      <c r="Y932" s="933"/>
      <c r="Z932" s="933"/>
      <c r="AA932" s="933"/>
      <c r="AB932" s="933"/>
      <c r="AC932" s="933"/>
      <c r="AD932" s="933"/>
    </row>
    <row r="933" spans="1:30" ht="12.75">
      <c r="A933" s="933"/>
      <c r="B933" s="933"/>
      <c r="C933" s="933"/>
      <c r="D933" s="933"/>
      <c r="E933" s="933"/>
      <c r="F933" s="933"/>
      <c r="G933" s="933"/>
      <c r="H933" s="933"/>
      <c r="I933" s="933"/>
      <c r="J933" s="933"/>
      <c r="K933" s="935"/>
      <c r="L933" s="933"/>
      <c r="M933" s="933"/>
      <c r="N933" s="945"/>
      <c r="O933" s="933"/>
      <c r="P933" s="933"/>
      <c r="Q933" s="933"/>
      <c r="R933" s="933"/>
      <c r="S933" s="933"/>
      <c r="T933" s="933"/>
      <c r="U933" s="933"/>
      <c r="V933" s="933"/>
      <c r="W933" s="933"/>
      <c r="X933" s="933"/>
      <c r="Y933" s="933"/>
      <c r="Z933" s="933"/>
      <c r="AA933" s="933"/>
      <c r="AB933" s="933"/>
      <c r="AC933" s="933"/>
      <c r="AD933" s="933"/>
    </row>
    <row r="934" spans="1:30" ht="12.75">
      <c r="A934" s="933"/>
      <c r="B934" s="933"/>
      <c r="C934" s="933"/>
      <c r="D934" s="933"/>
      <c r="E934" s="933"/>
      <c r="F934" s="933"/>
      <c r="G934" s="933"/>
      <c r="H934" s="933"/>
      <c r="I934" s="933"/>
      <c r="J934" s="933"/>
      <c r="K934" s="935"/>
      <c r="L934" s="933"/>
      <c r="M934" s="933"/>
      <c r="N934" s="945"/>
      <c r="O934" s="933"/>
      <c r="P934" s="933"/>
      <c r="Q934" s="933"/>
      <c r="R934" s="933"/>
      <c r="S934" s="933"/>
      <c r="T934" s="933"/>
      <c r="U934" s="933"/>
      <c r="V934" s="933"/>
      <c r="W934" s="933"/>
      <c r="X934" s="933"/>
      <c r="Y934" s="933"/>
      <c r="Z934" s="933"/>
      <c r="AA934" s="933"/>
      <c r="AB934" s="933"/>
      <c r="AC934" s="933"/>
      <c r="AD934" s="933"/>
    </row>
    <row r="935" spans="1:30" ht="12.75">
      <c r="A935" s="933"/>
      <c r="B935" s="933"/>
      <c r="C935" s="933"/>
      <c r="D935" s="933"/>
      <c r="E935" s="933"/>
      <c r="F935" s="933"/>
      <c r="G935" s="933"/>
      <c r="H935" s="933"/>
      <c r="I935" s="933"/>
      <c r="J935" s="933"/>
      <c r="K935" s="935"/>
      <c r="L935" s="933"/>
      <c r="M935" s="933"/>
      <c r="N935" s="945"/>
      <c r="O935" s="933"/>
      <c r="P935" s="933"/>
      <c r="Q935" s="933"/>
      <c r="R935" s="933"/>
      <c r="S935" s="933"/>
      <c r="T935" s="933"/>
      <c r="U935" s="933"/>
      <c r="V935" s="933"/>
      <c r="W935" s="933"/>
      <c r="X935" s="933"/>
      <c r="Y935" s="933"/>
      <c r="Z935" s="933"/>
      <c r="AA935" s="933"/>
      <c r="AB935" s="933"/>
      <c r="AC935" s="933"/>
      <c r="AD935" s="933"/>
    </row>
    <row r="936" spans="1:30" ht="12.75">
      <c r="A936" s="933"/>
      <c r="B936" s="933"/>
      <c r="C936" s="933"/>
      <c r="D936" s="933"/>
      <c r="E936" s="933"/>
      <c r="F936" s="933"/>
      <c r="G936" s="933"/>
      <c r="H936" s="933"/>
      <c r="I936" s="933"/>
      <c r="J936" s="933"/>
      <c r="K936" s="935"/>
      <c r="L936" s="933"/>
      <c r="M936" s="933"/>
      <c r="N936" s="945"/>
      <c r="O936" s="933"/>
      <c r="P936" s="933"/>
      <c r="Q936" s="933"/>
      <c r="R936" s="933"/>
      <c r="S936" s="933"/>
      <c r="T936" s="933"/>
      <c r="U936" s="933"/>
      <c r="V936" s="933"/>
      <c r="W936" s="933"/>
      <c r="X936" s="933"/>
      <c r="Y936" s="933"/>
      <c r="Z936" s="933"/>
      <c r="AA936" s="933"/>
      <c r="AB936" s="933"/>
      <c r="AC936" s="933"/>
      <c r="AD936" s="933"/>
    </row>
    <row r="937" spans="1:30" ht="12.75">
      <c r="A937" s="933"/>
      <c r="B937" s="933"/>
      <c r="C937" s="933"/>
      <c r="D937" s="933"/>
      <c r="E937" s="933"/>
      <c r="F937" s="933"/>
      <c r="G937" s="933"/>
      <c r="H937" s="933"/>
      <c r="I937" s="933"/>
      <c r="J937" s="933"/>
      <c r="K937" s="935"/>
      <c r="L937" s="933"/>
      <c r="M937" s="933"/>
      <c r="N937" s="945"/>
      <c r="O937" s="933"/>
      <c r="P937" s="933"/>
      <c r="Q937" s="933"/>
      <c r="R937" s="933"/>
      <c r="S937" s="933"/>
      <c r="T937" s="933"/>
      <c r="U937" s="933"/>
      <c r="V937" s="933"/>
      <c r="W937" s="933"/>
      <c r="X937" s="933"/>
      <c r="Y937" s="933"/>
      <c r="Z937" s="933"/>
      <c r="AA937" s="933"/>
      <c r="AB937" s="933"/>
      <c r="AC937" s="933"/>
      <c r="AD937" s="933"/>
    </row>
    <row r="938" spans="1:30" ht="12.75">
      <c r="A938" s="933"/>
      <c r="B938" s="933"/>
      <c r="C938" s="933"/>
      <c r="D938" s="933"/>
      <c r="E938" s="933"/>
      <c r="F938" s="933"/>
      <c r="G938" s="933"/>
      <c r="H938" s="933"/>
      <c r="I938" s="933"/>
      <c r="J938" s="933"/>
      <c r="K938" s="935"/>
      <c r="L938" s="933"/>
      <c r="M938" s="933"/>
      <c r="N938" s="945"/>
      <c r="O938" s="933"/>
      <c r="P938" s="933"/>
      <c r="Q938" s="933"/>
      <c r="R938" s="933"/>
      <c r="S938" s="933"/>
      <c r="T938" s="933"/>
      <c r="U938" s="933"/>
      <c r="V938" s="933"/>
      <c r="W938" s="933"/>
      <c r="X938" s="933"/>
      <c r="Y938" s="933"/>
      <c r="Z938" s="933"/>
      <c r="AA938" s="933"/>
      <c r="AB938" s="933"/>
      <c r="AC938" s="933"/>
      <c r="AD938" s="933"/>
    </row>
    <row r="939" spans="1:30" ht="12.75">
      <c r="A939" s="933"/>
      <c r="B939" s="933"/>
      <c r="C939" s="933"/>
      <c r="D939" s="933"/>
      <c r="E939" s="933"/>
      <c r="F939" s="933"/>
      <c r="G939" s="933"/>
      <c r="H939" s="933"/>
      <c r="I939" s="933"/>
      <c r="J939" s="933"/>
      <c r="K939" s="935"/>
      <c r="L939" s="933"/>
      <c r="M939" s="933"/>
      <c r="N939" s="945"/>
      <c r="O939" s="933"/>
      <c r="P939" s="933"/>
      <c r="Q939" s="933"/>
      <c r="R939" s="933"/>
      <c r="S939" s="933"/>
      <c r="T939" s="933"/>
      <c r="U939" s="933"/>
      <c r="V939" s="933"/>
      <c r="W939" s="933"/>
      <c r="X939" s="933"/>
      <c r="Y939" s="933"/>
      <c r="Z939" s="933"/>
      <c r="AA939" s="933"/>
      <c r="AB939" s="933"/>
      <c r="AC939" s="933"/>
      <c r="AD939" s="933"/>
    </row>
    <row r="940" spans="1:30" ht="12.75">
      <c r="A940" s="933"/>
      <c r="B940" s="933"/>
      <c r="C940" s="933"/>
      <c r="D940" s="933"/>
      <c r="E940" s="933"/>
      <c r="F940" s="933"/>
      <c r="G940" s="933"/>
      <c r="H940" s="933"/>
      <c r="I940" s="933"/>
      <c r="J940" s="933"/>
      <c r="K940" s="935"/>
      <c r="L940" s="933"/>
      <c r="M940" s="933"/>
      <c r="N940" s="945"/>
      <c r="O940" s="933"/>
      <c r="P940" s="933"/>
      <c r="Q940" s="933"/>
      <c r="R940" s="933"/>
      <c r="S940" s="933"/>
      <c r="T940" s="933"/>
      <c r="U940" s="933"/>
      <c r="V940" s="933"/>
      <c r="W940" s="933"/>
      <c r="X940" s="933"/>
      <c r="Y940" s="933"/>
      <c r="Z940" s="933"/>
      <c r="AA940" s="933"/>
      <c r="AB940" s="933"/>
      <c r="AC940" s="933"/>
      <c r="AD940" s="933"/>
    </row>
    <row r="941" spans="1:30" ht="12.75">
      <c r="A941" s="933"/>
      <c r="B941" s="933"/>
      <c r="C941" s="933"/>
      <c r="D941" s="933"/>
      <c r="E941" s="933"/>
      <c r="F941" s="933"/>
      <c r="G941" s="933"/>
      <c r="H941" s="933"/>
      <c r="I941" s="933"/>
      <c r="J941" s="933"/>
      <c r="K941" s="935"/>
      <c r="L941" s="933"/>
      <c r="M941" s="933"/>
      <c r="N941" s="945"/>
      <c r="O941" s="933"/>
      <c r="P941" s="933"/>
      <c r="Q941" s="933"/>
      <c r="R941" s="933"/>
      <c r="S941" s="933"/>
      <c r="T941" s="933"/>
      <c r="U941" s="933"/>
      <c r="V941" s="933"/>
      <c r="W941" s="933"/>
      <c r="X941" s="933"/>
      <c r="Y941" s="933"/>
      <c r="Z941" s="933"/>
      <c r="AA941" s="933"/>
      <c r="AB941" s="933"/>
      <c r="AC941" s="933"/>
      <c r="AD941" s="933"/>
    </row>
    <row r="942" spans="1:30" ht="12.75">
      <c r="A942" s="933"/>
      <c r="B942" s="933"/>
      <c r="C942" s="933"/>
      <c r="D942" s="933"/>
      <c r="E942" s="933"/>
      <c r="F942" s="933"/>
      <c r="G942" s="933"/>
      <c r="H942" s="933"/>
      <c r="I942" s="933"/>
      <c r="J942" s="933"/>
      <c r="K942" s="935"/>
      <c r="L942" s="933"/>
      <c r="M942" s="933"/>
      <c r="N942" s="945"/>
      <c r="O942" s="933"/>
      <c r="P942" s="933"/>
      <c r="Q942" s="933"/>
      <c r="R942" s="933"/>
      <c r="S942" s="933"/>
      <c r="T942" s="933"/>
      <c r="U942" s="933"/>
      <c r="V942" s="933"/>
      <c r="W942" s="933"/>
      <c r="X942" s="933"/>
      <c r="Y942" s="933"/>
      <c r="Z942" s="933"/>
      <c r="AA942" s="933"/>
      <c r="AB942" s="933"/>
      <c r="AC942" s="933"/>
      <c r="AD942" s="933"/>
    </row>
    <row r="943" spans="1:30" ht="12.75">
      <c r="A943" s="933"/>
      <c r="B943" s="933"/>
      <c r="C943" s="933"/>
      <c r="D943" s="933"/>
      <c r="E943" s="933"/>
      <c r="F943" s="933"/>
      <c r="G943" s="933"/>
      <c r="H943" s="933"/>
      <c r="I943" s="933"/>
      <c r="J943" s="933"/>
      <c r="K943" s="935"/>
      <c r="L943" s="933"/>
      <c r="M943" s="933"/>
      <c r="N943" s="945"/>
      <c r="O943" s="933"/>
      <c r="P943" s="933"/>
      <c r="Q943" s="933"/>
      <c r="R943" s="933"/>
      <c r="S943" s="933"/>
      <c r="T943" s="933"/>
      <c r="U943" s="933"/>
      <c r="V943" s="933"/>
      <c r="W943" s="933"/>
      <c r="X943" s="933"/>
      <c r="Y943" s="933"/>
      <c r="Z943" s="933"/>
      <c r="AA943" s="933"/>
      <c r="AB943" s="933"/>
      <c r="AC943" s="933"/>
      <c r="AD943" s="933"/>
    </row>
    <row r="944" spans="1:30" ht="12.75">
      <c r="A944" s="933"/>
      <c r="B944" s="933"/>
      <c r="C944" s="933"/>
      <c r="D944" s="933"/>
      <c r="E944" s="933"/>
      <c r="F944" s="933"/>
      <c r="G944" s="933"/>
      <c r="H944" s="933"/>
      <c r="I944" s="933"/>
      <c r="J944" s="933"/>
      <c r="K944" s="935"/>
      <c r="L944" s="933"/>
      <c r="M944" s="933"/>
      <c r="N944" s="945"/>
      <c r="O944" s="933"/>
      <c r="P944" s="933"/>
      <c r="Q944" s="933"/>
      <c r="R944" s="933"/>
      <c r="S944" s="933"/>
      <c r="T944" s="933"/>
      <c r="U944" s="933"/>
      <c r="V944" s="933"/>
      <c r="W944" s="933"/>
      <c r="X944" s="933"/>
      <c r="Y944" s="933"/>
      <c r="Z944" s="933"/>
      <c r="AA944" s="933"/>
      <c r="AB944" s="933"/>
      <c r="AC944" s="933"/>
      <c r="AD944" s="933"/>
    </row>
    <row r="945" spans="1:30" ht="12.75">
      <c r="A945" s="933"/>
      <c r="B945" s="933"/>
      <c r="C945" s="933"/>
      <c r="D945" s="933"/>
      <c r="E945" s="933"/>
      <c r="F945" s="933"/>
      <c r="G945" s="933"/>
      <c r="H945" s="933"/>
      <c r="I945" s="933"/>
      <c r="J945" s="933"/>
      <c r="K945" s="935"/>
      <c r="L945" s="933"/>
      <c r="M945" s="933"/>
      <c r="N945" s="945"/>
      <c r="O945" s="933"/>
      <c r="P945" s="933"/>
      <c r="Q945" s="933"/>
      <c r="R945" s="933"/>
      <c r="S945" s="933"/>
      <c r="T945" s="933"/>
      <c r="U945" s="933"/>
      <c r="V945" s="933"/>
      <c r="W945" s="933"/>
      <c r="X945" s="933"/>
      <c r="Y945" s="933"/>
      <c r="Z945" s="933"/>
      <c r="AA945" s="933"/>
      <c r="AB945" s="933"/>
      <c r="AC945" s="933"/>
      <c r="AD945" s="933"/>
    </row>
    <row r="946" spans="1:30" ht="12.75">
      <c r="A946" s="933"/>
      <c r="B946" s="933"/>
      <c r="C946" s="933"/>
      <c r="D946" s="933"/>
      <c r="E946" s="933"/>
      <c r="F946" s="933"/>
      <c r="G946" s="933"/>
      <c r="H946" s="933"/>
      <c r="I946" s="933"/>
      <c r="J946" s="933"/>
      <c r="K946" s="935"/>
      <c r="L946" s="933"/>
      <c r="M946" s="933"/>
      <c r="N946" s="945"/>
      <c r="O946" s="933"/>
      <c r="P946" s="933"/>
      <c r="Q946" s="933"/>
      <c r="R946" s="933"/>
      <c r="S946" s="933"/>
      <c r="T946" s="933"/>
      <c r="U946" s="933"/>
      <c r="V946" s="933"/>
      <c r="W946" s="933"/>
      <c r="X946" s="933"/>
      <c r="Y946" s="933"/>
      <c r="Z946" s="933"/>
      <c r="AA946" s="933"/>
      <c r="AB946" s="933"/>
      <c r="AC946" s="933"/>
      <c r="AD946" s="933"/>
    </row>
    <row r="947" spans="1:30" ht="12.75">
      <c r="A947" s="933"/>
      <c r="B947" s="933"/>
      <c r="C947" s="933"/>
      <c r="D947" s="933"/>
      <c r="E947" s="933"/>
      <c r="F947" s="933"/>
      <c r="G947" s="933"/>
      <c r="H947" s="933"/>
      <c r="I947" s="933"/>
      <c r="J947" s="933"/>
      <c r="K947" s="935"/>
      <c r="L947" s="933"/>
      <c r="M947" s="933"/>
      <c r="N947" s="945"/>
      <c r="O947" s="933"/>
      <c r="P947" s="933"/>
      <c r="Q947" s="933"/>
      <c r="R947" s="933"/>
      <c r="S947" s="933"/>
      <c r="T947" s="933"/>
      <c r="U947" s="933"/>
      <c r="V947" s="933"/>
      <c r="W947" s="933"/>
      <c r="X947" s="933"/>
      <c r="Y947" s="933"/>
      <c r="Z947" s="933"/>
      <c r="AA947" s="933"/>
      <c r="AB947" s="933"/>
      <c r="AC947" s="933"/>
      <c r="AD947" s="933"/>
    </row>
    <row r="948" spans="1:30" ht="12.75">
      <c r="A948" s="933"/>
      <c r="B948" s="933"/>
      <c r="C948" s="933"/>
      <c r="D948" s="933"/>
      <c r="E948" s="933"/>
      <c r="F948" s="933"/>
      <c r="G948" s="933"/>
      <c r="H948" s="933"/>
      <c r="I948" s="933"/>
      <c r="J948" s="933"/>
      <c r="K948" s="935"/>
      <c r="L948" s="933"/>
      <c r="M948" s="933"/>
      <c r="N948" s="945"/>
      <c r="O948" s="933"/>
      <c r="P948" s="933"/>
      <c r="Q948" s="933"/>
      <c r="R948" s="933"/>
      <c r="S948" s="933"/>
      <c r="T948" s="933"/>
      <c r="U948" s="933"/>
      <c r="V948" s="933"/>
      <c r="W948" s="933"/>
      <c r="X948" s="933"/>
      <c r="Y948" s="933"/>
      <c r="Z948" s="933"/>
      <c r="AA948" s="933"/>
      <c r="AB948" s="933"/>
      <c r="AC948" s="933"/>
      <c r="AD948" s="933"/>
    </row>
    <row r="949" spans="1:30" ht="12.75">
      <c r="A949" s="933"/>
      <c r="B949" s="933"/>
      <c r="C949" s="933"/>
      <c r="D949" s="933"/>
      <c r="E949" s="933"/>
      <c r="F949" s="933"/>
      <c r="G949" s="933"/>
      <c r="H949" s="933"/>
      <c r="I949" s="933"/>
      <c r="J949" s="933"/>
      <c r="K949" s="935"/>
      <c r="L949" s="933"/>
      <c r="M949" s="933"/>
      <c r="N949" s="945"/>
      <c r="O949" s="933"/>
      <c r="P949" s="933"/>
      <c r="Q949" s="933"/>
      <c r="R949" s="933"/>
      <c r="S949" s="933"/>
      <c r="T949" s="933"/>
      <c r="U949" s="933"/>
      <c r="V949" s="933"/>
      <c r="W949" s="933"/>
      <c r="X949" s="933"/>
      <c r="Y949" s="933"/>
      <c r="Z949" s="933"/>
      <c r="AA949" s="933"/>
      <c r="AB949" s="933"/>
      <c r="AC949" s="933"/>
      <c r="AD949" s="933"/>
    </row>
    <row r="950" spans="1:30" ht="12.75">
      <c r="A950" s="933"/>
      <c r="B950" s="933"/>
      <c r="C950" s="933"/>
      <c r="D950" s="933"/>
      <c r="E950" s="933"/>
      <c r="F950" s="933"/>
      <c r="G950" s="933"/>
      <c r="H950" s="933"/>
      <c r="I950" s="933"/>
      <c r="J950" s="933"/>
      <c r="K950" s="935"/>
      <c r="L950" s="933"/>
      <c r="M950" s="933"/>
      <c r="N950" s="945"/>
      <c r="O950" s="933"/>
      <c r="P950" s="933"/>
      <c r="Q950" s="933"/>
      <c r="R950" s="933"/>
      <c r="S950" s="933"/>
      <c r="T950" s="933"/>
      <c r="U950" s="933"/>
      <c r="V950" s="933"/>
      <c r="W950" s="933"/>
      <c r="X950" s="933"/>
      <c r="Y950" s="933"/>
      <c r="Z950" s="933"/>
      <c r="AA950" s="933"/>
      <c r="AB950" s="933"/>
      <c r="AC950" s="933"/>
      <c r="AD950" s="933"/>
    </row>
    <row r="951" spans="1:30" ht="12.75">
      <c r="A951" s="933"/>
      <c r="B951" s="933"/>
      <c r="C951" s="933"/>
      <c r="D951" s="933"/>
      <c r="E951" s="933"/>
      <c r="F951" s="933"/>
      <c r="G951" s="933"/>
      <c r="H951" s="933"/>
      <c r="I951" s="933"/>
      <c r="J951" s="933"/>
      <c r="K951" s="935"/>
      <c r="L951" s="933"/>
      <c r="M951" s="933"/>
      <c r="N951" s="945"/>
      <c r="O951" s="933"/>
      <c r="P951" s="933"/>
      <c r="Q951" s="933"/>
      <c r="R951" s="933"/>
      <c r="S951" s="933"/>
      <c r="T951" s="933"/>
      <c r="U951" s="933"/>
      <c r="V951" s="933"/>
      <c r="W951" s="933"/>
      <c r="X951" s="933"/>
      <c r="Y951" s="933"/>
      <c r="Z951" s="933"/>
      <c r="AA951" s="933"/>
      <c r="AB951" s="933"/>
      <c r="AC951" s="933"/>
      <c r="AD951" s="933"/>
    </row>
    <row r="952" spans="1:30" ht="12.75">
      <c r="A952" s="933"/>
      <c r="B952" s="933"/>
      <c r="C952" s="933"/>
      <c r="D952" s="933"/>
      <c r="E952" s="933"/>
      <c r="F952" s="933"/>
      <c r="G952" s="933"/>
      <c r="H952" s="933"/>
      <c r="I952" s="933"/>
      <c r="J952" s="933"/>
      <c r="K952" s="935"/>
      <c r="L952" s="933"/>
      <c r="M952" s="933"/>
      <c r="N952" s="945"/>
      <c r="O952" s="933"/>
      <c r="P952" s="933"/>
      <c r="Q952" s="933"/>
      <c r="R952" s="933"/>
      <c r="S952" s="933"/>
      <c r="T952" s="933"/>
      <c r="U952" s="933"/>
      <c r="V952" s="933"/>
      <c r="W952" s="933"/>
      <c r="X952" s="933"/>
      <c r="Y952" s="933"/>
      <c r="Z952" s="933"/>
      <c r="AA952" s="933"/>
      <c r="AB952" s="933"/>
      <c r="AC952" s="933"/>
      <c r="AD952" s="933"/>
    </row>
    <row r="953" spans="1:30" ht="12.75">
      <c r="A953" s="933"/>
      <c r="B953" s="933"/>
      <c r="C953" s="933"/>
      <c r="D953" s="933"/>
      <c r="E953" s="933"/>
      <c r="F953" s="933"/>
      <c r="G953" s="933"/>
      <c r="H953" s="933"/>
      <c r="I953" s="933"/>
      <c r="J953" s="933"/>
      <c r="K953" s="935"/>
      <c r="L953" s="933"/>
      <c r="M953" s="933"/>
      <c r="N953" s="945"/>
      <c r="O953" s="933"/>
      <c r="P953" s="933"/>
      <c r="Q953" s="933"/>
      <c r="R953" s="933"/>
      <c r="S953" s="933"/>
      <c r="T953" s="933"/>
      <c r="U953" s="933"/>
      <c r="V953" s="933"/>
      <c r="W953" s="933"/>
      <c r="X953" s="933"/>
      <c r="Y953" s="933"/>
      <c r="Z953" s="933"/>
      <c r="AA953" s="933"/>
      <c r="AB953" s="933"/>
      <c r="AC953" s="933"/>
      <c r="AD953" s="933"/>
    </row>
    <row r="954" spans="1:30" ht="12.75">
      <c r="A954" s="933"/>
      <c r="B954" s="933"/>
      <c r="C954" s="933"/>
      <c r="D954" s="933"/>
      <c r="E954" s="933"/>
      <c r="F954" s="933"/>
      <c r="G954" s="933"/>
      <c r="H954" s="933"/>
      <c r="I954" s="933"/>
      <c r="J954" s="933"/>
      <c r="K954" s="935"/>
      <c r="L954" s="933"/>
      <c r="M954" s="933"/>
      <c r="N954" s="945"/>
      <c r="O954" s="933"/>
      <c r="P954" s="933"/>
      <c r="Q954" s="933"/>
      <c r="R954" s="933"/>
      <c r="S954" s="933"/>
      <c r="T954" s="933"/>
      <c r="U954" s="933"/>
      <c r="V954" s="933"/>
      <c r="W954" s="933"/>
      <c r="X954" s="933"/>
      <c r="Y954" s="933"/>
      <c r="Z954" s="933"/>
      <c r="AA954" s="933"/>
      <c r="AB954" s="933"/>
      <c r="AC954" s="933"/>
      <c r="AD954" s="933"/>
    </row>
    <row r="955" spans="1:30" ht="12.75">
      <c r="A955" s="933"/>
      <c r="B955" s="933"/>
      <c r="C955" s="933"/>
      <c r="D955" s="933"/>
      <c r="E955" s="933"/>
      <c r="F955" s="933"/>
      <c r="G955" s="933"/>
      <c r="H955" s="933"/>
      <c r="I955" s="933"/>
      <c r="J955" s="933"/>
      <c r="K955" s="935"/>
      <c r="L955" s="933"/>
      <c r="M955" s="933"/>
      <c r="N955" s="945"/>
      <c r="O955" s="933"/>
      <c r="P955" s="933"/>
      <c r="Q955" s="933"/>
      <c r="R955" s="933"/>
      <c r="S955" s="933"/>
      <c r="T955" s="933"/>
      <c r="U955" s="933"/>
      <c r="V955" s="933"/>
      <c r="W955" s="933"/>
      <c r="X955" s="933"/>
      <c r="Y955" s="933"/>
      <c r="Z955" s="933"/>
      <c r="AA955" s="933"/>
      <c r="AB955" s="933"/>
      <c r="AC955" s="933"/>
      <c r="AD955" s="933"/>
    </row>
    <row r="956" spans="1:30" ht="12.75">
      <c r="A956" s="933"/>
      <c r="B956" s="933"/>
      <c r="C956" s="933"/>
      <c r="D956" s="933"/>
      <c r="E956" s="933"/>
      <c r="F956" s="933"/>
      <c r="G956" s="933"/>
      <c r="H956" s="933"/>
      <c r="I956" s="933"/>
      <c r="J956" s="933"/>
      <c r="K956" s="935"/>
      <c r="L956" s="933"/>
      <c r="M956" s="933"/>
      <c r="N956" s="945"/>
      <c r="O956" s="933"/>
      <c r="P956" s="933"/>
      <c r="Q956" s="933"/>
      <c r="R956" s="933"/>
      <c r="S956" s="933"/>
      <c r="T956" s="933"/>
      <c r="U956" s="933"/>
      <c r="V956" s="933"/>
      <c r="W956" s="933"/>
      <c r="X956" s="933"/>
      <c r="Y956" s="933"/>
      <c r="Z956" s="933"/>
      <c r="AA956" s="933"/>
      <c r="AB956" s="933"/>
      <c r="AC956" s="933"/>
      <c r="AD956" s="933"/>
    </row>
    <row r="957" spans="1:30" ht="12.75">
      <c r="A957" s="933"/>
      <c r="B957" s="933"/>
      <c r="C957" s="933"/>
      <c r="D957" s="933"/>
      <c r="E957" s="933"/>
      <c r="F957" s="933"/>
      <c r="G957" s="933"/>
      <c r="H957" s="933"/>
      <c r="I957" s="933"/>
      <c r="J957" s="933"/>
      <c r="K957" s="935"/>
      <c r="L957" s="933"/>
      <c r="M957" s="933"/>
      <c r="N957" s="945"/>
      <c r="O957" s="933"/>
      <c r="P957" s="933"/>
      <c r="Q957" s="933"/>
      <c r="R957" s="933"/>
      <c r="S957" s="933"/>
      <c r="T957" s="933"/>
      <c r="U957" s="933"/>
      <c r="V957" s="933"/>
      <c r="W957" s="933"/>
      <c r="X957" s="933"/>
      <c r="Y957" s="933"/>
      <c r="Z957" s="933"/>
      <c r="AA957" s="933"/>
      <c r="AB957" s="933"/>
      <c r="AC957" s="933"/>
      <c r="AD957" s="933"/>
    </row>
    <row r="958" spans="1:30" ht="12.75">
      <c r="A958" s="933"/>
      <c r="B958" s="933"/>
      <c r="C958" s="933"/>
      <c r="D958" s="933"/>
      <c r="E958" s="933"/>
      <c r="F958" s="933"/>
      <c r="G958" s="933"/>
      <c r="H958" s="933"/>
      <c r="I958" s="933"/>
      <c r="J958" s="933"/>
      <c r="K958" s="935"/>
      <c r="L958" s="933"/>
      <c r="M958" s="933"/>
      <c r="N958" s="945"/>
      <c r="O958" s="933"/>
      <c r="P958" s="933"/>
      <c r="Q958" s="933"/>
      <c r="R958" s="933"/>
      <c r="S958" s="933"/>
      <c r="T958" s="933"/>
      <c r="U958" s="933"/>
      <c r="V958" s="933"/>
      <c r="W958" s="933"/>
      <c r="X958" s="933"/>
      <c r="Y958" s="933"/>
      <c r="Z958" s="933"/>
      <c r="AA958" s="933"/>
      <c r="AB958" s="933"/>
      <c r="AC958" s="933"/>
      <c r="AD958" s="933"/>
    </row>
    <row r="959" spans="1:30" ht="12.75">
      <c r="A959" s="933"/>
      <c r="B959" s="933"/>
      <c r="C959" s="933"/>
      <c r="D959" s="933"/>
      <c r="E959" s="933"/>
      <c r="F959" s="933"/>
      <c r="G959" s="933"/>
      <c r="H959" s="933"/>
      <c r="I959" s="933"/>
      <c r="J959" s="933"/>
      <c r="K959" s="935"/>
      <c r="L959" s="933"/>
      <c r="M959" s="933"/>
      <c r="N959" s="945"/>
      <c r="O959" s="933"/>
      <c r="P959" s="933"/>
      <c r="Q959" s="933"/>
      <c r="R959" s="933"/>
      <c r="S959" s="933"/>
      <c r="T959" s="933"/>
      <c r="U959" s="933"/>
      <c r="V959" s="933"/>
      <c r="W959" s="933"/>
      <c r="X959" s="933"/>
      <c r="Y959" s="933"/>
      <c r="Z959" s="933"/>
      <c r="AA959" s="933"/>
      <c r="AB959" s="933"/>
      <c r="AC959" s="933"/>
      <c r="AD959" s="933"/>
    </row>
    <row r="960" spans="1:30" ht="12.75">
      <c r="A960" s="933"/>
      <c r="B960" s="933"/>
      <c r="C960" s="933"/>
      <c r="D960" s="933"/>
      <c r="E960" s="933"/>
      <c r="F960" s="933"/>
      <c r="G960" s="933"/>
      <c r="H960" s="933"/>
      <c r="I960" s="933"/>
      <c r="J960" s="933"/>
      <c r="K960" s="935"/>
      <c r="L960" s="933"/>
      <c r="M960" s="933"/>
      <c r="N960" s="945"/>
      <c r="O960" s="933"/>
      <c r="P960" s="933"/>
      <c r="Q960" s="933"/>
      <c r="R960" s="933"/>
      <c r="S960" s="933"/>
      <c r="T960" s="933"/>
      <c r="U960" s="933"/>
      <c r="V960" s="933"/>
      <c r="W960" s="933"/>
      <c r="X960" s="933"/>
      <c r="Y960" s="933"/>
      <c r="Z960" s="933"/>
      <c r="AA960" s="933"/>
      <c r="AB960" s="933"/>
      <c r="AC960" s="933"/>
      <c r="AD960" s="933"/>
    </row>
    <row r="961" spans="1:30" ht="12.75">
      <c r="A961" s="933"/>
      <c r="B961" s="933"/>
      <c r="C961" s="933"/>
      <c r="D961" s="933"/>
      <c r="E961" s="933"/>
      <c r="F961" s="933"/>
      <c r="G961" s="933"/>
      <c r="H961" s="933"/>
      <c r="I961" s="933"/>
      <c r="J961" s="933"/>
      <c r="K961" s="935"/>
      <c r="L961" s="933"/>
      <c r="M961" s="933"/>
      <c r="N961" s="945"/>
      <c r="O961" s="933"/>
      <c r="P961" s="933"/>
      <c r="Q961" s="933"/>
      <c r="R961" s="933"/>
      <c r="S961" s="933"/>
      <c r="T961" s="933"/>
      <c r="U961" s="933"/>
      <c r="V961" s="933"/>
      <c r="W961" s="933"/>
      <c r="X961" s="933"/>
      <c r="Y961" s="933"/>
      <c r="Z961" s="933"/>
      <c r="AA961" s="933"/>
      <c r="AB961" s="933"/>
      <c r="AC961" s="933"/>
      <c r="AD961" s="933"/>
    </row>
    <row r="962" spans="1:30" ht="12.75">
      <c r="A962" s="933"/>
      <c r="B962" s="933"/>
      <c r="C962" s="933"/>
      <c r="D962" s="933"/>
      <c r="E962" s="933"/>
      <c r="F962" s="933"/>
      <c r="G962" s="933"/>
      <c r="H962" s="933"/>
      <c r="I962" s="933"/>
      <c r="J962" s="933"/>
      <c r="K962" s="935"/>
      <c r="L962" s="933"/>
      <c r="M962" s="933"/>
      <c r="N962" s="945"/>
      <c r="O962" s="933"/>
      <c r="P962" s="933"/>
      <c r="Q962" s="933"/>
      <c r="R962" s="933"/>
      <c r="S962" s="933"/>
      <c r="T962" s="933"/>
      <c r="U962" s="933"/>
      <c r="V962" s="933"/>
      <c r="W962" s="933"/>
      <c r="X962" s="933"/>
      <c r="Y962" s="933"/>
      <c r="Z962" s="933"/>
      <c r="AA962" s="933"/>
      <c r="AB962" s="933"/>
      <c r="AC962" s="933"/>
      <c r="AD962" s="933"/>
    </row>
    <row r="963" spans="1:30" ht="12.75">
      <c r="A963" s="933"/>
      <c r="B963" s="933"/>
      <c r="C963" s="933"/>
      <c r="D963" s="933"/>
      <c r="E963" s="933"/>
      <c r="F963" s="933"/>
      <c r="G963" s="933"/>
      <c r="H963" s="933"/>
      <c r="I963" s="933"/>
      <c r="J963" s="933"/>
      <c r="K963" s="935"/>
      <c r="L963" s="933"/>
      <c r="M963" s="933"/>
      <c r="N963" s="945"/>
      <c r="O963" s="933"/>
      <c r="P963" s="933"/>
      <c r="Q963" s="933"/>
      <c r="R963" s="933"/>
      <c r="S963" s="933"/>
      <c r="T963" s="933"/>
      <c r="U963" s="933"/>
      <c r="V963" s="933"/>
      <c r="W963" s="933"/>
      <c r="X963" s="933"/>
      <c r="Y963" s="933"/>
      <c r="Z963" s="933"/>
      <c r="AA963" s="933"/>
      <c r="AB963" s="933"/>
      <c r="AC963" s="933"/>
      <c r="AD963" s="933"/>
    </row>
    <row r="964" spans="1:30" ht="12.75">
      <c r="A964" s="933"/>
      <c r="B964" s="933"/>
      <c r="C964" s="933"/>
      <c r="D964" s="933"/>
      <c r="E964" s="933"/>
      <c r="F964" s="933"/>
      <c r="G964" s="933"/>
      <c r="H964" s="933"/>
      <c r="I964" s="933"/>
      <c r="J964" s="933"/>
      <c r="K964" s="935"/>
      <c r="L964" s="933"/>
      <c r="M964" s="933"/>
      <c r="N964" s="945"/>
      <c r="O964" s="933"/>
      <c r="P964" s="933"/>
      <c r="Q964" s="933"/>
      <c r="R964" s="933"/>
      <c r="S964" s="933"/>
      <c r="T964" s="933"/>
      <c r="U964" s="933"/>
      <c r="V964" s="933"/>
      <c r="W964" s="933"/>
      <c r="X964" s="933"/>
      <c r="Y964" s="933"/>
      <c r="Z964" s="933"/>
      <c r="AA964" s="933"/>
      <c r="AB964" s="933"/>
      <c r="AC964" s="933"/>
      <c r="AD964" s="933"/>
    </row>
    <row r="965" spans="1:30" ht="12.75">
      <c r="A965" s="933"/>
      <c r="B965" s="933"/>
      <c r="C965" s="933"/>
      <c r="D965" s="933"/>
      <c r="E965" s="933"/>
      <c r="F965" s="933"/>
      <c r="G965" s="933"/>
      <c r="H965" s="933"/>
      <c r="I965" s="933"/>
      <c r="J965" s="933"/>
      <c r="K965" s="935"/>
      <c r="L965" s="933"/>
      <c r="M965" s="933"/>
      <c r="N965" s="945"/>
      <c r="O965" s="933"/>
      <c r="P965" s="933"/>
      <c r="Q965" s="933"/>
      <c r="R965" s="933"/>
      <c r="S965" s="933"/>
      <c r="T965" s="933"/>
      <c r="U965" s="933"/>
      <c r="V965" s="933"/>
      <c r="W965" s="933"/>
      <c r="X965" s="933"/>
      <c r="Y965" s="933"/>
      <c r="Z965" s="933"/>
      <c r="AA965" s="933"/>
      <c r="AB965" s="933"/>
      <c r="AC965" s="933"/>
      <c r="AD965" s="933"/>
    </row>
    <row r="966" spans="1:30" ht="12.75">
      <c r="A966" s="933"/>
      <c r="B966" s="933"/>
      <c r="C966" s="933"/>
      <c r="D966" s="933"/>
      <c r="E966" s="933"/>
      <c r="F966" s="933"/>
      <c r="G966" s="933"/>
      <c r="H966" s="933"/>
      <c r="I966" s="933"/>
      <c r="J966" s="933"/>
      <c r="K966" s="935"/>
      <c r="L966" s="933"/>
      <c r="M966" s="933"/>
      <c r="N966" s="945"/>
      <c r="O966" s="933"/>
      <c r="P966" s="933"/>
      <c r="Q966" s="933"/>
      <c r="R966" s="933"/>
      <c r="S966" s="933"/>
      <c r="T966" s="933"/>
      <c r="U966" s="933"/>
      <c r="V966" s="933"/>
      <c r="W966" s="933"/>
      <c r="X966" s="933"/>
      <c r="Y966" s="933"/>
      <c r="Z966" s="933"/>
      <c r="AA966" s="933"/>
      <c r="AB966" s="933"/>
      <c r="AC966" s="933"/>
      <c r="AD966" s="933"/>
    </row>
    <row r="967" spans="1:30" ht="12.75">
      <c r="A967" s="933"/>
      <c r="B967" s="933"/>
      <c r="C967" s="933"/>
      <c r="D967" s="933"/>
      <c r="E967" s="933"/>
      <c r="F967" s="933"/>
      <c r="G967" s="933"/>
      <c r="H967" s="933"/>
      <c r="I967" s="933"/>
      <c r="J967" s="933"/>
      <c r="K967" s="935"/>
      <c r="L967" s="933"/>
      <c r="M967" s="933"/>
      <c r="N967" s="945"/>
      <c r="O967" s="933"/>
      <c r="P967" s="933"/>
      <c r="Q967" s="933"/>
      <c r="R967" s="933"/>
      <c r="S967" s="933"/>
      <c r="T967" s="933"/>
      <c r="U967" s="933"/>
      <c r="V967" s="933"/>
      <c r="W967" s="933"/>
      <c r="X967" s="933"/>
      <c r="Y967" s="933"/>
      <c r="Z967" s="933"/>
      <c r="AA967" s="933"/>
      <c r="AB967" s="933"/>
      <c r="AC967" s="933"/>
      <c r="AD967" s="933"/>
    </row>
    <row r="968" spans="1:30" ht="12.75">
      <c r="A968" s="933"/>
      <c r="B968" s="933"/>
      <c r="C968" s="933"/>
      <c r="D968" s="933"/>
      <c r="E968" s="933"/>
      <c r="F968" s="933"/>
      <c r="G968" s="933"/>
      <c r="H968" s="933"/>
      <c r="I968" s="933"/>
      <c r="J968" s="933"/>
      <c r="K968" s="935"/>
      <c r="L968" s="933"/>
      <c r="M968" s="933"/>
      <c r="N968" s="945"/>
      <c r="O968" s="933"/>
      <c r="P968" s="933"/>
      <c r="Q968" s="933"/>
      <c r="R968" s="933"/>
      <c r="S968" s="933"/>
      <c r="T968" s="933"/>
      <c r="U968" s="933"/>
      <c r="V968" s="933"/>
      <c r="W968" s="933"/>
      <c r="X968" s="933"/>
      <c r="Y968" s="933"/>
      <c r="Z968" s="933"/>
      <c r="AA968" s="933"/>
      <c r="AB968" s="933"/>
      <c r="AC968" s="933"/>
      <c r="AD968" s="933"/>
    </row>
    <row r="969" spans="1:30" ht="12.75">
      <c r="A969" s="933"/>
      <c r="B969" s="933"/>
      <c r="C969" s="933"/>
      <c r="D969" s="933"/>
      <c r="E969" s="933"/>
      <c r="F969" s="933"/>
      <c r="G969" s="933"/>
      <c r="H969" s="933"/>
      <c r="I969" s="933"/>
      <c r="J969" s="933"/>
      <c r="K969" s="935"/>
      <c r="L969" s="933"/>
      <c r="M969" s="933"/>
      <c r="N969" s="945"/>
      <c r="O969" s="933"/>
      <c r="P969" s="933"/>
      <c r="Q969" s="933"/>
      <c r="R969" s="933"/>
      <c r="S969" s="933"/>
      <c r="T969" s="933"/>
      <c r="U969" s="933"/>
      <c r="V969" s="933"/>
      <c r="W969" s="933"/>
      <c r="X969" s="933"/>
      <c r="Y969" s="933"/>
      <c r="Z969" s="933"/>
      <c r="AA969" s="933"/>
      <c r="AB969" s="933"/>
      <c r="AC969" s="933"/>
      <c r="AD969" s="933"/>
    </row>
    <row r="970" spans="1:30" ht="12.75">
      <c r="A970" s="933"/>
      <c r="B970" s="933"/>
      <c r="C970" s="933"/>
      <c r="D970" s="933"/>
      <c r="E970" s="933"/>
      <c r="F970" s="933"/>
      <c r="G970" s="933"/>
      <c r="H970" s="933"/>
      <c r="I970" s="933"/>
      <c r="J970" s="933"/>
      <c r="K970" s="935"/>
      <c r="L970" s="933"/>
      <c r="M970" s="933"/>
      <c r="N970" s="945"/>
      <c r="O970" s="933"/>
      <c r="P970" s="933"/>
      <c r="Q970" s="933"/>
      <c r="R970" s="933"/>
      <c r="S970" s="933"/>
      <c r="T970" s="933"/>
      <c r="U970" s="933"/>
      <c r="V970" s="933"/>
      <c r="W970" s="933"/>
      <c r="X970" s="933"/>
      <c r="Y970" s="933"/>
      <c r="Z970" s="933"/>
      <c r="AA970" s="933"/>
      <c r="AB970" s="933"/>
      <c r="AC970" s="933"/>
      <c r="AD970" s="933"/>
    </row>
    <row r="971" spans="1:30" ht="12.75">
      <c r="A971" s="933"/>
      <c r="B971" s="933"/>
      <c r="C971" s="933"/>
      <c r="D971" s="933"/>
      <c r="E971" s="933"/>
      <c r="F971" s="933"/>
      <c r="G971" s="933"/>
      <c r="H971" s="933"/>
      <c r="I971" s="933"/>
      <c r="J971" s="933"/>
      <c r="K971" s="935"/>
      <c r="L971" s="933"/>
      <c r="M971" s="933"/>
      <c r="N971" s="945"/>
      <c r="O971" s="933"/>
      <c r="P971" s="933"/>
      <c r="Q971" s="933"/>
      <c r="R971" s="933"/>
      <c r="S971" s="933"/>
      <c r="T971" s="933"/>
      <c r="U971" s="933"/>
      <c r="V971" s="933"/>
      <c r="W971" s="933"/>
      <c r="X971" s="933"/>
      <c r="Y971" s="933"/>
      <c r="Z971" s="933"/>
      <c r="AA971" s="933"/>
      <c r="AB971" s="933"/>
      <c r="AC971" s="933"/>
      <c r="AD971" s="933"/>
    </row>
    <row r="972" spans="1:30" ht="12.75">
      <c r="A972" s="933"/>
      <c r="B972" s="933"/>
      <c r="C972" s="933"/>
      <c r="D972" s="933"/>
      <c r="E972" s="933"/>
      <c r="F972" s="933"/>
      <c r="G972" s="933"/>
      <c r="H972" s="933"/>
      <c r="I972" s="933"/>
      <c r="J972" s="933"/>
      <c r="K972" s="935"/>
      <c r="L972" s="933"/>
      <c r="M972" s="933"/>
      <c r="N972" s="945"/>
      <c r="O972" s="933"/>
      <c r="P972" s="933"/>
      <c r="Q972" s="933"/>
      <c r="R972" s="933"/>
      <c r="S972" s="933"/>
      <c r="T972" s="933"/>
      <c r="U972" s="933"/>
      <c r="V972" s="933"/>
      <c r="W972" s="933"/>
      <c r="X972" s="933"/>
      <c r="Y972" s="933"/>
      <c r="Z972" s="933"/>
      <c r="AA972" s="933"/>
      <c r="AB972" s="933"/>
      <c r="AC972" s="933"/>
      <c r="AD972" s="933"/>
    </row>
    <row r="973" spans="1:30" ht="12.75">
      <c r="A973" s="933"/>
      <c r="B973" s="933"/>
      <c r="C973" s="933"/>
      <c r="D973" s="933"/>
      <c r="E973" s="933"/>
      <c r="F973" s="933"/>
      <c r="G973" s="933"/>
      <c r="H973" s="933"/>
      <c r="I973" s="933"/>
      <c r="J973" s="933"/>
      <c r="K973" s="935"/>
      <c r="L973" s="933"/>
      <c r="M973" s="933"/>
      <c r="N973" s="945"/>
      <c r="O973" s="933"/>
      <c r="P973" s="933"/>
      <c r="Q973" s="933"/>
      <c r="R973" s="933"/>
      <c r="S973" s="933"/>
      <c r="T973" s="933"/>
      <c r="U973" s="933"/>
      <c r="V973" s="933"/>
      <c r="W973" s="933"/>
      <c r="X973" s="933"/>
      <c r="Y973" s="933"/>
      <c r="Z973" s="933"/>
      <c r="AA973" s="933"/>
      <c r="AB973" s="933"/>
      <c r="AC973" s="933"/>
      <c r="AD973" s="933"/>
    </row>
    <row r="974" spans="1:30" ht="12.75">
      <c r="A974" s="933"/>
      <c r="B974" s="933"/>
      <c r="C974" s="933"/>
      <c r="D974" s="933"/>
      <c r="E974" s="933"/>
      <c r="F974" s="933"/>
      <c r="G974" s="933"/>
      <c r="H974" s="933"/>
      <c r="I974" s="933"/>
      <c r="J974" s="933"/>
      <c r="K974" s="935"/>
      <c r="L974" s="933"/>
      <c r="M974" s="933"/>
      <c r="N974" s="945"/>
      <c r="O974" s="933"/>
      <c r="P974" s="933"/>
      <c r="Q974" s="933"/>
      <c r="R974" s="933"/>
      <c r="S974" s="933"/>
      <c r="T974" s="933"/>
      <c r="U974" s="933"/>
      <c r="V974" s="933"/>
      <c r="W974" s="933"/>
      <c r="X974" s="933"/>
      <c r="Y974" s="933"/>
      <c r="Z974" s="933"/>
      <c r="AA974" s="933"/>
      <c r="AB974" s="933"/>
      <c r="AC974" s="933"/>
      <c r="AD974" s="933"/>
    </row>
    <row r="975" spans="1:30" ht="12.75">
      <c r="A975" s="933"/>
      <c r="B975" s="933"/>
      <c r="C975" s="933"/>
      <c r="D975" s="933"/>
      <c r="E975" s="933"/>
      <c r="F975" s="933"/>
      <c r="G975" s="933"/>
      <c r="H975" s="933"/>
      <c r="I975" s="933"/>
      <c r="J975" s="933"/>
      <c r="K975" s="935"/>
      <c r="L975" s="933"/>
      <c r="M975" s="933"/>
      <c r="N975" s="945"/>
      <c r="O975" s="933"/>
      <c r="P975" s="933"/>
      <c r="Q975" s="933"/>
      <c r="R975" s="933"/>
      <c r="S975" s="933"/>
      <c r="T975" s="933"/>
      <c r="U975" s="933"/>
      <c r="V975" s="933"/>
      <c r="W975" s="933"/>
      <c r="X975" s="933"/>
      <c r="Y975" s="933"/>
      <c r="Z975" s="933"/>
      <c r="AA975" s="933"/>
      <c r="AB975" s="933"/>
      <c r="AC975" s="933"/>
      <c r="AD975" s="933"/>
    </row>
    <row r="976" spans="1:30" ht="12.75">
      <c r="A976" s="933"/>
      <c r="B976" s="933"/>
      <c r="C976" s="933"/>
      <c r="D976" s="933"/>
      <c r="E976" s="933"/>
      <c r="F976" s="933"/>
      <c r="G976" s="933"/>
      <c r="H976" s="933"/>
      <c r="I976" s="933"/>
      <c r="J976" s="933"/>
      <c r="K976" s="935"/>
      <c r="L976" s="933"/>
      <c r="M976" s="933"/>
      <c r="N976" s="945"/>
      <c r="O976" s="933"/>
      <c r="P976" s="933"/>
      <c r="Q976" s="933"/>
      <c r="R976" s="933"/>
      <c r="S976" s="933"/>
      <c r="T976" s="933"/>
      <c r="U976" s="933"/>
      <c r="V976" s="933"/>
      <c r="W976" s="933"/>
      <c r="X976" s="933"/>
      <c r="Y976" s="933"/>
      <c r="Z976" s="933"/>
      <c r="AA976" s="933"/>
      <c r="AB976" s="933"/>
      <c r="AC976" s="933"/>
      <c r="AD976" s="933"/>
    </row>
    <row r="977" spans="1:30" ht="12.75">
      <c r="A977" s="933"/>
      <c r="B977" s="933"/>
      <c r="C977" s="933"/>
      <c r="D977" s="933"/>
      <c r="E977" s="933"/>
      <c r="F977" s="933"/>
      <c r="G977" s="933"/>
      <c r="H977" s="933"/>
      <c r="I977" s="933"/>
      <c r="J977" s="933"/>
      <c r="K977" s="935"/>
      <c r="L977" s="933"/>
      <c r="M977" s="933"/>
      <c r="N977" s="945"/>
      <c r="O977" s="933"/>
      <c r="P977" s="933"/>
      <c r="Q977" s="933"/>
      <c r="R977" s="933"/>
      <c r="S977" s="933"/>
      <c r="T977" s="933"/>
      <c r="U977" s="933"/>
      <c r="V977" s="933"/>
      <c r="W977" s="933"/>
      <c r="X977" s="933"/>
      <c r="Y977" s="933"/>
      <c r="Z977" s="933"/>
      <c r="AA977" s="933"/>
      <c r="AB977" s="933"/>
      <c r="AC977" s="933"/>
      <c r="AD977" s="933"/>
    </row>
    <row r="978" spans="1:30" ht="12.75">
      <c r="A978" s="933"/>
      <c r="B978" s="933"/>
      <c r="C978" s="933"/>
      <c r="D978" s="933"/>
      <c r="E978" s="933"/>
      <c r="F978" s="933"/>
      <c r="G978" s="933"/>
      <c r="H978" s="933"/>
      <c r="I978" s="933"/>
      <c r="J978" s="933"/>
      <c r="K978" s="935"/>
      <c r="L978" s="933"/>
      <c r="M978" s="933"/>
      <c r="N978" s="945"/>
      <c r="O978" s="933"/>
      <c r="P978" s="933"/>
      <c r="Q978" s="933"/>
      <c r="R978" s="933"/>
      <c r="S978" s="933"/>
      <c r="T978" s="933"/>
      <c r="U978" s="933"/>
      <c r="V978" s="933"/>
      <c r="W978" s="933"/>
      <c r="X978" s="933"/>
      <c r="Y978" s="933"/>
      <c r="Z978" s="933"/>
      <c r="AA978" s="933"/>
      <c r="AB978" s="933"/>
      <c r="AC978" s="933"/>
      <c r="AD978" s="933"/>
    </row>
    <row r="979" spans="1:30" ht="12.75">
      <c r="A979" s="933"/>
      <c r="B979" s="933"/>
      <c r="C979" s="933"/>
      <c r="D979" s="933"/>
      <c r="E979" s="933"/>
      <c r="F979" s="933"/>
      <c r="G979" s="933"/>
      <c r="H979" s="933"/>
      <c r="I979" s="933"/>
      <c r="J979" s="933"/>
      <c r="K979" s="935"/>
      <c r="L979" s="933"/>
      <c r="M979" s="933"/>
      <c r="N979" s="945"/>
      <c r="O979" s="933"/>
      <c r="P979" s="933"/>
      <c r="Q979" s="933"/>
      <c r="R979" s="933"/>
      <c r="S979" s="933"/>
      <c r="T979" s="933"/>
      <c r="U979" s="933"/>
      <c r="V979" s="933"/>
      <c r="W979" s="933"/>
      <c r="X979" s="933"/>
      <c r="Y979" s="933"/>
      <c r="Z979" s="933"/>
      <c r="AA979" s="933"/>
      <c r="AB979" s="933"/>
      <c r="AC979" s="933"/>
      <c r="AD979" s="933"/>
    </row>
    <row r="980" spans="1:30" ht="12.75">
      <c r="A980" s="933"/>
      <c r="B980" s="933"/>
      <c r="C980" s="933"/>
      <c r="D980" s="933"/>
      <c r="E980" s="933"/>
      <c r="F980" s="933"/>
      <c r="G980" s="933"/>
      <c r="H980" s="933"/>
      <c r="I980" s="933"/>
      <c r="J980" s="933"/>
      <c r="K980" s="935"/>
      <c r="L980" s="933"/>
      <c r="M980" s="933"/>
      <c r="N980" s="945"/>
      <c r="O980" s="933"/>
      <c r="P980" s="933"/>
      <c r="Q980" s="933"/>
      <c r="R980" s="933"/>
      <c r="S980" s="933"/>
      <c r="T980" s="933"/>
      <c r="U980" s="933"/>
      <c r="V980" s="933"/>
      <c r="W980" s="933"/>
      <c r="X980" s="933"/>
      <c r="Y980" s="933"/>
      <c r="Z980" s="933"/>
      <c r="AA980" s="933"/>
      <c r="AB980" s="933"/>
      <c r="AC980" s="933"/>
      <c r="AD980" s="933"/>
    </row>
    <row r="981" spans="1:30" ht="12.75">
      <c r="A981" s="933"/>
      <c r="B981" s="933"/>
      <c r="C981" s="933"/>
      <c r="D981" s="933"/>
      <c r="E981" s="933"/>
      <c r="F981" s="933"/>
      <c r="G981" s="933"/>
      <c r="H981" s="933"/>
      <c r="I981" s="933"/>
      <c r="J981" s="933"/>
      <c r="K981" s="935"/>
      <c r="L981" s="933"/>
      <c r="M981" s="933"/>
      <c r="N981" s="945"/>
      <c r="O981" s="933"/>
      <c r="P981" s="933"/>
      <c r="Q981" s="933"/>
      <c r="R981" s="933"/>
      <c r="S981" s="933"/>
      <c r="T981" s="933"/>
      <c r="U981" s="933"/>
      <c r="V981" s="933"/>
      <c r="W981" s="933"/>
      <c r="X981" s="933"/>
      <c r="Y981" s="933"/>
      <c r="Z981" s="933"/>
      <c r="AA981" s="933"/>
      <c r="AB981" s="933"/>
      <c r="AC981" s="933"/>
      <c r="AD981" s="933"/>
    </row>
    <row r="982" spans="1:30" ht="12.75">
      <c r="A982" s="933"/>
      <c r="B982" s="933"/>
      <c r="C982" s="933"/>
      <c r="D982" s="933"/>
      <c r="E982" s="933"/>
      <c r="F982" s="933"/>
      <c r="G982" s="933"/>
      <c r="H982" s="933"/>
      <c r="I982" s="933"/>
      <c r="J982" s="933"/>
      <c r="K982" s="935"/>
      <c r="L982" s="933"/>
      <c r="M982" s="933"/>
      <c r="N982" s="945"/>
      <c r="O982" s="933"/>
      <c r="P982" s="933"/>
      <c r="Q982" s="933"/>
      <c r="R982" s="933"/>
      <c r="S982" s="933"/>
      <c r="T982" s="933"/>
      <c r="U982" s="933"/>
      <c r="V982" s="933"/>
      <c r="W982" s="933"/>
      <c r="X982" s="933"/>
      <c r="Y982" s="933"/>
      <c r="Z982" s="933"/>
      <c r="AA982" s="933"/>
      <c r="AB982" s="933"/>
      <c r="AC982" s="933"/>
      <c r="AD982" s="933"/>
    </row>
    <row r="983" spans="1:30" ht="12.75">
      <c r="A983" s="933"/>
      <c r="B983" s="933"/>
      <c r="C983" s="933"/>
      <c r="D983" s="933"/>
      <c r="E983" s="933"/>
      <c r="F983" s="933"/>
      <c r="G983" s="933"/>
      <c r="H983" s="933"/>
      <c r="I983" s="933"/>
      <c r="J983" s="933"/>
      <c r="K983" s="935"/>
      <c r="L983" s="933"/>
      <c r="M983" s="933"/>
      <c r="N983" s="945"/>
      <c r="O983" s="933"/>
      <c r="P983" s="933"/>
      <c r="Q983" s="933"/>
      <c r="R983" s="933"/>
      <c r="S983" s="933"/>
      <c r="T983" s="933"/>
      <c r="U983" s="933"/>
      <c r="V983" s="933"/>
      <c r="W983" s="933"/>
      <c r="X983" s="933"/>
      <c r="Y983" s="933"/>
      <c r="Z983" s="933"/>
      <c r="AA983" s="933"/>
      <c r="AB983" s="933"/>
      <c r="AC983" s="933"/>
      <c r="AD983" s="933"/>
    </row>
    <row r="984" spans="1:30" ht="12.75">
      <c r="A984" s="933"/>
      <c r="B984" s="933"/>
      <c r="C984" s="933"/>
      <c r="D984" s="933"/>
      <c r="E984" s="933"/>
      <c r="F984" s="933"/>
      <c r="G984" s="933"/>
      <c r="H984" s="933"/>
      <c r="I984" s="933"/>
      <c r="J984" s="933"/>
      <c r="K984" s="935"/>
      <c r="L984" s="933"/>
      <c r="M984" s="933"/>
      <c r="N984" s="945"/>
      <c r="O984" s="933"/>
      <c r="P984" s="933"/>
      <c r="Q984" s="933"/>
      <c r="R984" s="933"/>
      <c r="S984" s="933"/>
      <c r="T984" s="933"/>
      <c r="U984" s="933"/>
      <c r="V984" s="933"/>
      <c r="W984" s="933"/>
      <c r="X984" s="933"/>
      <c r="Y984" s="933"/>
      <c r="Z984" s="933"/>
      <c r="AA984" s="933"/>
      <c r="AB984" s="933"/>
      <c r="AC984" s="933"/>
      <c r="AD984" s="933"/>
    </row>
    <row r="985" spans="1:30" ht="12.75">
      <c r="A985" s="933"/>
      <c r="B985" s="933"/>
      <c r="C985" s="933"/>
      <c r="D985" s="933"/>
      <c r="E985" s="933"/>
      <c r="F985" s="933"/>
      <c r="G985" s="933"/>
      <c r="H985" s="933"/>
      <c r="I985" s="933"/>
      <c r="J985" s="933"/>
      <c r="K985" s="935"/>
      <c r="L985" s="933"/>
      <c r="M985" s="933"/>
      <c r="N985" s="945"/>
      <c r="O985" s="933"/>
      <c r="P985" s="933"/>
      <c r="Q985" s="933"/>
      <c r="R985" s="933"/>
      <c r="S985" s="933"/>
      <c r="T985" s="933"/>
      <c r="U985" s="933"/>
      <c r="V985" s="933"/>
      <c r="W985" s="933"/>
      <c r="X985" s="933"/>
      <c r="Y985" s="933"/>
      <c r="Z985" s="933"/>
      <c r="AA985" s="933"/>
      <c r="AB985" s="933"/>
      <c r="AC985" s="933"/>
      <c r="AD985" s="933"/>
    </row>
    <row r="986" spans="1:30" ht="12.75">
      <c r="A986" s="933"/>
      <c r="B986" s="933"/>
      <c r="C986" s="933"/>
      <c r="D986" s="933"/>
      <c r="E986" s="933"/>
      <c r="F986" s="933"/>
      <c r="G986" s="933"/>
      <c r="H986" s="933"/>
      <c r="I986" s="933"/>
      <c r="J986" s="933"/>
      <c r="K986" s="935"/>
      <c r="L986" s="933"/>
      <c r="M986" s="933"/>
      <c r="N986" s="945"/>
      <c r="O986" s="933"/>
      <c r="P986" s="933"/>
      <c r="Q986" s="933"/>
      <c r="R986" s="933"/>
      <c r="S986" s="933"/>
      <c r="T986" s="933"/>
      <c r="U986" s="933"/>
      <c r="V986" s="933"/>
      <c r="W986" s="933"/>
      <c r="X986" s="933"/>
      <c r="Y986" s="933"/>
      <c r="Z986" s="933"/>
      <c r="AA986" s="933"/>
      <c r="AB986" s="933"/>
      <c r="AC986" s="933"/>
      <c r="AD986" s="933"/>
    </row>
    <row r="987" spans="1:30" ht="12.75">
      <c r="A987" s="933"/>
      <c r="B987" s="933"/>
      <c r="C987" s="933"/>
      <c r="D987" s="933"/>
      <c r="E987" s="933"/>
      <c r="F987" s="933"/>
      <c r="G987" s="933"/>
      <c r="H987" s="933"/>
      <c r="I987" s="933"/>
      <c r="J987" s="933"/>
      <c r="K987" s="935"/>
      <c r="L987" s="933"/>
      <c r="M987" s="933"/>
      <c r="N987" s="945"/>
      <c r="O987" s="933"/>
      <c r="P987" s="933"/>
      <c r="Q987" s="933"/>
      <c r="R987" s="933"/>
      <c r="S987" s="933"/>
      <c r="T987" s="933"/>
      <c r="U987" s="933"/>
      <c r="V987" s="933"/>
      <c r="W987" s="933"/>
      <c r="X987" s="933"/>
      <c r="Y987" s="933"/>
      <c r="Z987" s="933"/>
      <c r="AA987" s="933"/>
      <c r="AB987" s="933"/>
      <c r="AC987" s="933"/>
      <c r="AD987" s="933"/>
    </row>
    <row r="988" spans="1:30" ht="12.75">
      <c r="A988" s="933"/>
      <c r="B988" s="933"/>
      <c r="C988" s="933"/>
      <c r="D988" s="933"/>
      <c r="E988" s="933"/>
      <c r="F988" s="933"/>
      <c r="G988" s="933"/>
      <c r="H988" s="933"/>
      <c r="I988" s="933"/>
      <c r="J988" s="933"/>
      <c r="K988" s="935"/>
      <c r="L988" s="933"/>
      <c r="M988" s="933"/>
      <c r="N988" s="945"/>
      <c r="O988" s="933"/>
      <c r="P988" s="933"/>
      <c r="Q988" s="933"/>
      <c r="R988" s="933"/>
      <c r="S988" s="933"/>
      <c r="T988" s="933"/>
      <c r="U988" s="933"/>
      <c r="V988" s="933"/>
      <c r="W988" s="933"/>
      <c r="X988" s="933"/>
      <c r="Y988" s="933"/>
      <c r="Z988" s="933"/>
      <c r="AA988" s="933"/>
      <c r="AB988" s="933"/>
      <c r="AC988" s="933"/>
      <c r="AD988" s="933"/>
    </row>
    <row r="989" spans="1:30" ht="12.75">
      <c r="A989" s="933"/>
      <c r="B989" s="933"/>
      <c r="C989" s="933"/>
      <c r="D989" s="933"/>
      <c r="E989" s="933"/>
      <c r="F989" s="933"/>
      <c r="G989" s="933"/>
      <c r="H989" s="933"/>
      <c r="I989" s="933"/>
      <c r="J989" s="933"/>
      <c r="K989" s="935"/>
      <c r="L989" s="933"/>
      <c r="M989" s="933"/>
      <c r="N989" s="945"/>
      <c r="O989" s="933"/>
      <c r="P989" s="933"/>
      <c r="Q989" s="933"/>
      <c r="R989" s="933"/>
      <c r="S989" s="933"/>
      <c r="T989" s="933"/>
      <c r="U989" s="933"/>
      <c r="V989" s="933"/>
      <c r="W989" s="933"/>
      <c r="X989" s="933"/>
      <c r="Y989" s="933"/>
      <c r="Z989" s="933"/>
      <c r="AA989" s="933"/>
      <c r="AB989" s="933"/>
      <c r="AC989" s="933"/>
      <c r="AD989" s="933"/>
    </row>
    <row r="990" spans="1:30" ht="12.75">
      <c r="A990" s="933"/>
      <c r="B990" s="933"/>
      <c r="C990" s="933"/>
      <c r="D990" s="933"/>
      <c r="E990" s="933"/>
      <c r="F990" s="933"/>
      <c r="G990" s="933"/>
      <c r="H990" s="933"/>
      <c r="I990" s="933"/>
      <c r="J990" s="933"/>
      <c r="K990" s="935"/>
      <c r="L990" s="933"/>
      <c r="M990" s="933"/>
      <c r="N990" s="945"/>
      <c r="O990" s="933"/>
      <c r="P990" s="933"/>
      <c r="Q990" s="933"/>
      <c r="R990" s="933"/>
      <c r="S990" s="933"/>
      <c r="T990" s="933"/>
      <c r="U990" s="933"/>
      <c r="V990" s="933"/>
      <c r="W990" s="933"/>
      <c r="X990" s="933"/>
      <c r="Y990" s="933"/>
      <c r="Z990" s="933"/>
      <c r="AA990" s="933"/>
      <c r="AB990" s="933"/>
      <c r="AC990" s="933"/>
      <c r="AD990" s="933"/>
    </row>
    <row r="991" spans="1:30" ht="12.75">
      <c r="A991" s="933"/>
      <c r="B991" s="933"/>
      <c r="C991" s="933"/>
      <c r="D991" s="933"/>
      <c r="E991" s="933"/>
      <c r="F991" s="933"/>
      <c r="G991" s="933"/>
      <c r="H991" s="933"/>
      <c r="I991" s="933"/>
      <c r="J991" s="933"/>
      <c r="K991" s="935"/>
      <c r="L991" s="933"/>
      <c r="M991" s="933"/>
      <c r="N991" s="945"/>
      <c r="O991" s="933"/>
      <c r="P991" s="933"/>
      <c r="Q991" s="933"/>
      <c r="R991" s="933"/>
      <c r="S991" s="933"/>
      <c r="T991" s="933"/>
      <c r="U991" s="933"/>
      <c r="V991" s="933"/>
      <c r="W991" s="933"/>
      <c r="X991" s="933"/>
      <c r="Y991" s="933"/>
      <c r="Z991" s="933"/>
      <c r="AA991" s="933"/>
      <c r="AB991" s="933"/>
      <c r="AC991" s="933"/>
      <c r="AD991" s="933"/>
    </row>
    <row r="992" spans="1:30" ht="12.75">
      <c r="A992" s="933"/>
      <c r="B992" s="933"/>
      <c r="C992" s="933"/>
      <c r="D992" s="933"/>
      <c r="E992" s="933"/>
      <c r="F992" s="933"/>
      <c r="G992" s="933"/>
      <c r="H992" s="933"/>
      <c r="I992" s="933"/>
      <c r="J992" s="933"/>
      <c r="K992" s="935"/>
      <c r="L992" s="933"/>
      <c r="M992" s="933"/>
      <c r="N992" s="945"/>
      <c r="O992" s="933"/>
      <c r="P992" s="933"/>
      <c r="Q992" s="933"/>
      <c r="R992" s="933"/>
      <c r="S992" s="933"/>
      <c r="T992" s="933"/>
      <c r="U992" s="933"/>
      <c r="V992" s="933"/>
      <c r="W992" s="933"/>
      <c r="X992" s="933"/>
      <c r="Y992" s="933"/>
      <c r="Z992" s="933"/>
      <c r="AA992" s="933"/>
      <c r="AB992" s="933"/>
      <c r="AC992" s="933"/>
      <c r="AD992" s="933"/>
    </row>
    <row r="993" spans="1:30" ht="12.75">
      <c r="A993" s="933"/>
      <c r="B993" s="933"/>
      <c r="C993" s="933"/>
      <c r="D993" s="933"/>
      <c r="E993" s="933"/>
      <c r="F993" s="933"/>
      <c r="G993" s="933"/>
      <c r="H993" s="933"/>
      <c r="I993" s="933"/>
      <c r="J993" s="933"/>
      <c r="K993" s="935"/>
      <c r="L993" s="933"/>
      <c r="M993" s="933"/>
      <c r="N993" s="945"/>
      <c r="O993" s="933"/>
      <c r="P993" s="933"/>
      <c r="Q993" s="933"/>
      <c r="R993" s="933"/>
      <c r="S993" s="933"/>
      <c r="T993" s="933"/>
      <c r="U993" s="933"/>
      <c r="V993" s="933"/>
      <c r="W993" s="933"/>
      <c r="X993" s="933"/>
      <c r="Y993" s="933"/>
      <c r="Z993" s="933"/>
      <c r="AA993" s="933"/>
      <c r="AB993" s="933"/>
      <c r="AC993" s="933"/>
      <c r="AD993" s="933"/>
    </row>
    <row r="994" spans="1:30" ht="12.75">
      <c r="A994" s="933"/>
      <c r="B994" s="933"/>
      <c r="C994" s="933"/>
      <c r="D994" s="933"/>
      <c r="E994" s="933"/>
      <c r="F994" s="933"/>
      <c r="G994" s="933"/>
      <c r="H994" s="933"/>
      <c r="I994" s="933"/>
      <c r="J994" s="933"/>
      <c r="K994" s="935"/>
      <c r="L994" s="933"/>
      <c r="M994" s="933"/>
      <c r="N994" s="945"/>
      <c r="O994" s="933"/>
      <c r="P994" s="933"/>
      <c r="Q994" s="933"/>
      <c r="R994" s="933"/>
      <c r="S994" s="933"/>
      <c r="T994" s="933"/>
      <c r="U994" s="933"/>
      <c r="V994" s="933"/>
      <c r="W994" s="933"/>
      <c r="X994" s="933"/>
      <c r="Y994" s="933"/>
      <c r="Z994" s="933"/>
      <c r="AA994" s="933"/>
      <c r="AB994" s="933"/>
      <c r="AC994" s="933"/>
      <c r="AD994" s="933"/>
    </row>
    <row r="995" spans="1:30" ht="12.75">
      <c r="A995" s="933"/>
      <c r="B995" s="933"/>
      <c r="C995" s="933"/>
      <c r="D995" s="933"/>
      <c r="E995" s="933"/>
      <c r="F995" s="933"/>
      <c r="G995" s="933"/>
      <c r="H995" s="933"/>
      <c r="I995" s="933"/>
      <c r="J995" s="933"/>
      <c r="K995" s="935"/>
      <c r="L995" s="933"/>
      <c r="M995" s="933"/>
      <c r="N995" s="945"/>
      <c r="O995" s="933"/>
      <c r="P995" s="933"/>
      <c r="Q995" s="933"/>
      <c r="R995" s="933"/>
      <c r="S995" s="933"/>
      <c r="T995" s="933"/>
      <c r="U995" s="933"/>
      <c r="V995" s="933"/>
      <c r="W995" s="933"/>
      <c r="X995" s="933"/>
      <c r="Y995" s="933"/>
      <c r="Z995" s="933"/>
      <c r="AA995" s="933"/>
      <c r="AB995" s="933"/>
      <c r="AC995" s="933"/>
      <c r="AD995" s="933"/>
    </row>
    <row r="996" spans="1:30" ht="12.75">
      <c r="A996" s="933"/>
      <c r="B996" s="933"/>
      <c r="C996" s="933"/>
      <c r="D996" s="933"/>
      <c r="E996" s="933"/>
      <c r="F996" s="933"/>
      <c r="G996" s="933"/>
      <c r="H996" s="933"/>
      <c r="I996" s="933"/>
      <c r="J996" s="933"/>
      <c r="K996" s="935"/>
      <c r="L996" s="933"/>
      <c r="M996" s="933"/>
      <c r="N996" s="945"/>
      <c r="O996" s="933"/>
      <c r="P996" s="933"/>
      <c r="Q996" s="933"/>
      <c r="R996" s="933"/>
      <c r="S996" s="933"/>
      <c r="T996" s="933"/>
      <c r="U996" s="933"/>
      <c r="V996" s="933"/>
      <c r="W996" s="933"/>
      <c r="X996" s="933"/>
      <c r="Y996" s="933"/>
      <c r="Z996" s="933"/>
      <c r="AA996" s="933"/>
      <c r="AB996" s="933"/>
      <c r="AC996" s="933"/>
      <c r="AD996" s="933"/>
    </row>
    <row r="997" spans="1:30" ht="12.75">
      <c r="A997" s="933"/>
      <c r="B997" s="933"/>
      <c r="C997" s="933"/>
      <c r="D997" s="933"/>
      <c r="E997" s="933"/>
      <c r="F997" s="933"/>
      <c r="G997" s="933"/>
      <c r="H997" s="933"/>
      <c r="I997" s="933"/>
      <c r="J997" s="933"/>
      <c r="K997" s="935"/>
      <c r="L997" s="933"/>
      <c r="M997" s="933"/>
      <c r="N997" s="945"/>
      <c r="O997" s="933"/>
      <c r="P997" s="933"/>
      <c r="Q997" s="933"/>
      <c r="R997" s="933"/>
      <c r="S997" s="933"/>
      <c r="T997" s="933"/>
      <c r="U997" s="933"/>
      <c r="V997" s="933"/>
      <c r="W997" s="933"/>
      <c r="X997" s="933"/>
      <c r="Y997" s="933"/>
      <c r="Z997" s="933"/>
      <c r="AA997" s="933"/>
      <c r="AB997" s="933"/>
      <c r="AC997" s="933"/>
      <c r="AD997" s="933"/>
    </row>
    <row r="998" spans="1:30" ht="12.75">
      <c r="A998" s="933"/>
      <c r="B998" s="933"/>
      <c r="C998" s="933"/>
      <c r="D998" s="933"/>
      <c r="E998" s="933"/>
      <c r="F998" s="933"/>
      <c r="G998" s="933"/>
      <c r="H998" s="933"/>
      <c r="I998" s="933"/>
      <c r="J998" s="933"/>
      <c r="K998" s="935"/>
      <c r="L998" s="933"/>
      <c r="M998" s="933"/>
      <c r="N998" s="945"/>
      <c r="O998" s="933"/>
      <c r="P998" s="933"/>
      <c r="Q998" s="933"/>
      <c r="R998" s="933"/>
      <c r="S998" s="933"/>
      <c r="T998" s="933"/>
      <c r="U998" s="933"/>
      <c r="V998" s="933"/>
      <c r="W998" s="933"/>
      <c r="X998" s="933"/>
      <c r="Y998" s="933"/>
      <c r="Z998" s="933"/>
      <c r="AA998" s="933"/>
      <c r="AB998" s="933"/>
      <c r="AC998" s="933"/>
      <c r="AD998" s="933"/>
    </row>
    <row r="999" spans="1:30" ht="12.75">
      <c r="A999" s="933"/>
      <c r="B999" s="933"/>
      <c r="C999" s="933"/>
      <c r="D999" s="933"/>
      <c r="E999" s="933"/>
      <c r="F999" s="933"/>
      <c r="G999" s="933"/>
      <c r="H999" s="933"/>
      <c r="I999" s="933"/>
      <c r="J999" s="933"/>
      <c r="K999" s="935"/>
      <c r="L999" s="933"/>
      <c r="M999" s="933"/>
      <c r="N999" s="945"/>
      <c r="O999" s="933"/>
      <c r="P999" s="933"/>
      <c r="Q999" s="933"/>
      <c r="R999" s="933"/>
      <c r="S999" s="933"/>
      <c r="T999" s="933"/>
      <c r="U999" s="933"/>
      <c r="V999" s="933"/>
      <c r="W999" s="933"/>
      <c r="X999" s="933"/>
      <c r="Y999" s="933"/>
      <c r="Z999" s="933"/>
      <c r="AA999" s="933"/>
      <c r="AB999" s="933"/>
      <c r="AC999" s="933"/>
      <c r="AD999" s="933"/>
    </row>
    <row r="1000" spans="1:30" ht="12.75">
      <c r="A1000" s="933"/>
      <c r="B1000" s="933"/>
      <c r="C1000" s="933"/>
      <c r="D1000" s="933"/>
      <c r="E1000" s="933"/>
      <c r="F1000" s="933"/>
      <c r="G1000" s="933"/>
      <c r="H1000" s="933"/>
      <c r="I1000" s="933"/>
      <c r="J1000" s="933"/>
      <c r="K1000" s="935"/>
      <c r="L1000" s="933"/>
      <c r="M1000" s="933"/>
      <c r="N1000" s="945"/>
      <c r="O1000" s="933"/>
      <c r="P1000" s="933"/>
      <c r="Q1000" s="933"/>
      <c r="R1000" s="933"/>
      <c r="S1000" s="933"/>
      <c r="T1000" s="933"/>
      <c r="U1000" s="933"/>
      <c r="V1000" s="933"/>
      <c r="W1000" s="933"/>
      <c r="X1000" s="933"/>
      <c r="Y1000" s="933"/>
      <c r="Z1000" s="933"/>
      <c r="AA1000" s="933"/>
      <c r="AB1000" s="933"/>
      <c r="AC1000" s="933"/>
      <c r="AD1000" s="933"/>
    </row>
    <row r="1001" spans="1:30" ht="12.75">
      <c r="A1001" s="933"/>
      <c r="B1001" s="933"/>
      <c r="C1001" s="933"/>
      <c r="D1001" s="933"/>
      <c r="E1001" s="933"/>
      <c r="F1001" s="933"/>
      <c r="G1001" s="933"/>
      <c r="H1001" s="933"/>
      <c r="I1001" s="933"/>
      <c r="J1001" s="933"/>
      <c r="K1001" s="935"/>
      <c r="L1001" s="933"/>
      <c r="M1001" s="933"/>
      <c r="N1001" s="945"/>
      <c r="O1001" s="933"/>
      <c r="P1001" s="933"/>
      <c r="Q1001" s="933"/>
      <c r="R1001" s="933"/>
      <c r="S1001" s="933"/>
      <c r="T1001" s="933"/>
      <c r="U1001" s="933"/>
      <c r="V1001" s="933"/>
      <c r="W1001" s="933"/>
      <c r="X1001" s="933"/>
      <c r="Y1001" s="933"/>
      <c r="Z1001" s="933"/>
      <c r="AA1001" s="933"/>
      <c r="AB1001" s="933"/>
      <c r="AC1001" s="933"/>
      <c r="AD1001" s="933"/>
    </row>
    <row r="1002" spans="1:30" ht="12.75">
      <c r="A1002" s="933"/>
      <c r="B1002" s="933"/>
      <c r="C1002" s="933"/>
      <c r="D1002" s="933"/>
      <c r="E1002" s="933"/>
      <c r="F1002" s="933"/>
      <c r="G1002" s="933"/>
      <c r="H1002" s="933"/>
      <c r="I1002" s="933"/>
      <c r="J1002" s="933"/>
      <c r="K1002" s="935"/>
      <c r="L1002" s="933"/>
      <c r="M1002" s="933"/>
      <c r="N1002" s="945"/>
      <c r="O1002" s="933"/>
      <c r="P1002" s="933"/>
      <c r="Q1002" s="933"/>
      <c r="R1002" s="933"/>
      <c r="S1002" s="933"/>
      <c r="T1002" s="933"/>
      <c r="U1002" s="933"/>
      <c r="V1002" s="933"/>
      <c r="W1002" s="933"/>
      <c r="X1002" s="933"/>
      <c r="Y1002" s="933"/>
      <c r="Z1002" s="933"/>
      <c r="AA1002" s="933"/>
      <c r="AB1002" s="933"/>
      <c r="AC1002" s="933"/>
      <c r="AD1002" s="933"/>
    </row>
    <row r="1003" spans="1:30" ht="12.75">
      <c r="A1003" s="933"/>
      <c r="B1003" s="933"/>
      <c r="C1003" s="933"/>
      <c r="D1003" s="933"/>
      <c r="E1003" s="933"/>
      <c r="F1003" s="933"/>
      <c r="G1003" s="933"/>
      <c r="H1003" s="933"/>
      <c r="I1003" s="933"/>
      <c r="J1003" s="933"/>
      <c r="K1003" s="935"/>
      <c r="L1003" s="933"/>
      <c r="M1003" s="933"/>
      <c r="N1003" s="945"/>
      <c r="O1003" s="933"/>
      <c r="P1003" s="933"/>
      <c r="Q1003" s="933"/>
      <c r="R1003" s="933"/>
      <c r="S1003" s="933"/>
      <c r="T1003" s="933"/>
      <c r="U1003" s="933"/>
      <c r="V1003" s="933"/>
      <c r="W1003" s="933"/>
      <c r="X1003" s="933"/>
      <c r="Y1003" s="933"/>
      <c r="Z1003" s="933"/>
      <c r="AA1003" s="933"/>
      <c r="AB1003" s="933"/>
      <c r="AC1003" s="933"/>
      <c r="AD1003" s="933"/>
    </row>
  </sheetData>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76A3A-94C4-4574-B28C-E86A433AE86E}">
  <sheetPr>
    <outlinePr summaryBelow="0" summaryRight="0"/>
  </sheetPr>
  <dimension ref="A1:AG997"/>
  <sheetViews>
    <sheetView tabSelected="1" workbookViewId="0"/>
  </sheetViews>
  <sheetFormatPr defaultColWidth="12.5703125" defaultRowHeight="15.75" customHeight="1"/>
  <cols>
    <col min="1" max="1" width="22.42578125" style="929" customWidth="1"/>
    <col min="2" max="2" width="12.5703125" style="929"/>
    <col min="3" max="3" width="14" style="929" customWidth="1"/>
    <col min="4" max="4" width="16.42578125" style="929" customWidth="1"/>
    <col min="5" max="5" width="17.5703125" style="929" customWidth="1"/>
    <col min="6" max="7" width="12.5703125" style="929"/>
    <col min="8" max="8" width="14" style="929" customWidth="1"/>
    <col min="9" max="9" width="15.140625" style="929" customWidth="1"/>
    <col min="10" max="10" width="14.28515625" style="929" customWidth="1"/>
    <col min="11" max="11" width="22.42578125" style="929" customWidth="1"/>
    <col min="12" max="12" width="13" style="929" customWidth="1"/>
    <col min="13" max="15" width="12.5703125" style="929"/>
    <col min="16" max="16" width="14.42578125" style="929" customWidth="1"/>
    <col min="17" max="19" width="12.5703125" style="929"/>
    <col min="20" max="20" width="18.28515625" style="929" customWidth="1"/>
    <col min="21" max="21" width="13.42578125" style="929" customWidth="1"/>
    <col min="22" max="22" width="18.28515625" style="929" customWidth="1"/>
    <col min="23" max="23" width="15.42578125" style="929" customWidth="1"/>
    <col min="24" max="16384" width="12.5703125" style="929"/>
  </cols>
  <sheetData>
    <row r="1" spans="1:33" ht="15.75" customHeight="1">
      <c r="A1" s="933"/>
      <c r="B1" s="933"/>
      <c r="C1" s="933"/>
      <c r="D1" s="933"/>
      <c r="E1" s="933"/>
      <c r="F1" s="933"/>
      <c r="G1" s="933"/>
      <c r="H1" s="933"/>
      <c r="I1" s="933"/>
      <c r="J1" s="933"/>
      <c r="K1" s="933"/>
      <c r="L1" s="933"/>
      <c r="M1" s="933"/>
      <c r="N1" s="933"/>
      <c r="O1" s="933"/>
      <c r="P1" s="933"/>
      <c r="Q1" s="933"/>
      <c r="R1" s="933" t="s">
        <v>2043</v>
      </c>
      <c r="S1" s="933"/>
      <c r="T1" s="933"/>
      <c r="V1" s="933"/>
      <c r="W1" s="933"/>
      <c r="X1" s="945"/>
      <c r="Y1" s="933"/>
      <c r="Z1" s="933"/>
      <c r="AA1" s="933"/>
      <c r="AB1" s="933"/>
      <c r="AC1" s="933"/>
      <c r="AD1" s="933"/>
      <c r="AE1" s="933"/>
      <c r="AF1" s="933"/>
      <c r="AG1" s="933"/>
    </row>
    <row r="2" spans="1:33" ht="15.75" customHeight="1">
      <c r="A2" s="933"/>
      <c r="B2" s="971" t="s">
        <v>2042</v>
      </c>
      <c r="C2" s="933"/>
      <c r="D2" s="933"/>
      <c r="E2" s="933"/>
      <c r="G2" s="933"/>
      <c r="H2" s="933"/>
      <c r="I2" s="933" t="s">
        <v>2041</v>
      </c>
      <c r="J2" s="933"/>
      <c r="K2" s="933"/>
      <c r="L2" s="933"/>
      <c r="M2" s="933"/>
      <c r="N2" s="933"/>
      <c r="O2" s="933"/>
      <c r="P2" s="933"/>
      <c r="Q2" s="933"/>
      <c r="R2" s="933"/>
      <c r="S2" s="933"/>
      <c r="T2" s="933"/>
      <c r="V2" s="933"/>
      <c r="W2" s="933"/>
      <c r="X2" s="945"/>
      <c r="Y2" s="933"/>
      <c r="Z2" s="933"/>
      <c r="AA2" s="933"/>
      <c r="AB2" s="933"/>
      <c r="AC2" s="933"/>
      <c r="AD2" s="933"/>
      <c r="AE2" s="933"/>
      <c r="AF2" s="933"/>
      <c r="AG2" s="933"/>
    </row>
    <row r="3" spans="1:33" ht="15.75" customHeight="1">
      <c r="A3" s="933"/>
      <c r="B3" s="970" t="s">
        <v>2040</v>
      </c>
      <c r="C3" s="933"/>
      <c r="D3" s="933"/>
      <c r="E3" s="933"/>
      <c r="F3" s="933"/>
      <c r="G3" s="930"/>
      <c r="H3" s="933"/>
      <c r="I3" s="933"/>
      <c r="J3" s="933"/>
      <c r="K3" s="933"/>
      <c r="L3" s="933"/>
      <c r="M3" s="933"/>
      <c r="N3" s="933"/>
      <c r="O3" s="933"/>
      <c r="P3" s="933"/>
      <c r="Q3" s="933"/>
      <c r="R3" s="933"/>
      <c r="S3" s="933"/>
      <c r="T3" s="933"/>
      <c r="V3" s="933"/>
      <c r="W3" s="933"/>
      <c r="X3" s="945"/>
      <c r="Y3" s="933"/>
      <c r="Z3" s="933"/>
      <c r="AA3" s="933"/>
      <c r="AB3" s="933"/>
      <c r="AC3" s="933"/>
      <c r="AD3" s="933"/>
      <c r="AE3" s="933"/>
      <c r="AF3" s="933"/>
      <c r="AG3" s="933"/>
    </row>
    <row r="4" spans="1:33" ht="15.75" customHeight="1">
      <c r="A4" s="933" t="s">
        <v>2039</v>
      </c>
      <c r="B4" s="969" t="s">
        <v>2038</v>
      </c>
      <c r="C4" s="933"/>
      <c r="D4" s="933"/>
      <c r="E4" s="933"/>
      <c r="F4" s="933"/>
      <c r="G4" s="933"/>
      <c r="H4" s="935"/>
      <c r="I4" s="933"/>
      <c r="J4" s="933"/>
      <c r="K4" s="933"/>
      <c r="L4" s="933"/>
      <c r="M4" s="933"/>
      <c r="N4" s="933"/>
      <c r="O4" s="933"/>
      <c r="P4" s="933"/>
      <c r="Q4" s="933"/>
      <c r="R4" s="933"/>
      <c r="S4" s="933"/>
      <c r="T4" s="933"/>
      <c r="V4" s="933"/>
      <c r="W4" s="933"/>
      <c r="X4" s="945"/>
      <c r="Y4" s="933"/>
      <c r="Z4" s="933"/>
      <c r="AA4" s="933"/>
      <c r="AB4" s="933"/>
      <c r="AC4" s="933"/>
      <c r="AD4" s="933"/>
      <c r="AE4" s="933"/>
      <c r="AF4" s="933"/>
      <c r="AG4" s="933"/>
    </row>
    <row r="5" spans="1:33" ht="15.75" customHeight="1">
      <c r="A5" s="933"/>
      <c r="B5" s="933"/>
      <c r="C5" s="933"/>
      <c r="D5" s="933"/>
      <c r="E5" s="933"/>
      <c r="F5" s="933"/>
      <c r="G5" s="933"/>
      <c r="H5" s="933"/>
      <c r="I5" s="933"/>
      <c r="J5" s="933"/>
      <c r="K5" s="933"/>
      <c r="L5" s="933"/>
      <c r="M5" s="933"/>
      <c r="N5" s="933"/>
      <c r="O5" s="933"/>
      <c r="P5" s="933"/>
      <c r="Q5" s="933"/>
      <c r="R5" s="933"/>
      <c r="S5" s="933"/>
      <c r="T5" s="933"/>
      <c r="V5" s="933"/>
      <c r="W5" s="933"/>
      <c r="X5" s="945"/>
      <c r="Y5" s="933"/>
      <c r="Z5" s="933"/>
      <c r="AA5" s="933"/>
      <c r="AB5" s="933"/>
      <c r="AC5" s="933"/>
      <c r="AD5" s="933"/>
      <c r="AE5" s="933"/>
      <c r="AF5" s="933"/>
      <c r="AG5" s="933"/>
    </row>
    <row r="6" spans="1:33" ht="15.75" customHeight="1">
      <c r="A6" s="943" t="s">
        <v>1953</v>
      </c>
      <c r="B6" s="943" t="s">
        <v>2028</v>
      </c>
      <c r="C6" s="943" t="s">
        <v>2027</v>
      </c>
      <c r="D6" s="943" t="s">
        <v>2026</v>
      </c>
      <c r="E6" s="943" t="s">
        <v>2025</v>
      </c>
      <c r="F6" s="943" t="s">
        <v>2024</v>
      </c>
      <c r="G6" s="943" t="s">
        <v>2023</v>
      </c>
      <c r="H6" s="943" t="s">
        <v>2022</v>
      </c>
      <c r="I6" s="943" t="s">
        <v>2037</v>
      </c>
      <c r="J6" s="943" t="s">
        <v>2020</v>
      </c>
      <c r="K6" s="943" t="s">
        <v>1953</v>
      </c>
      <c r="L6" s="943" t="s">
        <v>2019</v>
      </c>
      <c r="M6" s="943" t="s">
        <v>2018</v>
      </c>
      <c r="N6" s="943" t="s">
        <v>2017</v>
      </c>
      <c r="O6" s="943" t="s">
        <v>2016</v>
      </c>
      <c r="P6" s="943" t="s">
        <v>2015</v>
      </c>
      <c r="Q6" s="943" t="s">
        <v>2014</v>
      </c>
      <c r="R6" s="943" t="s">
        <v>2013</v>
      </c>
      <c r="S6" s="943" t="s">
        <v>2012</v>
      </c>
      <c r="T6" s="943" t="s">
        <v>2011</v>
      </c>
      <c r="U6" s="943" t="s">
        <v>2010</v>
      </c>
      <c r="V6" s="943" t="s">
        <v>2009</v>
      </c>
      <c r="W6" s="943" t="s">
        <v>2008</v>
      </c>
      <c r="X6" s="968"/>
      <c r="Y6" s="943"/>
      <c r="Z6" s="943"/>
      <c r="AA6" s="943"/>
      <c r="AB6" s="943"/>
      <c r="AC6" s="943"/>
      <c r="AD6" s="943"/>
      <c r="AE6" s="943"/>
      <c r="AF6" s="943"/>
      <c r="AG6" s="943"/>
    </row>
    <row r="7" spans="1:33" ht="15.75" customHeight="1">
      <c r="A7" s="937" t="s">
        <v>1949</v>
      </c>
      <c r="B7" s="946" t="s">
        <v>1930</v>
      </c>
      <c r="C7" s="946" t="s">
        <v>1930</v>
      </c>
      <c r="D7" s="946" t="s">
        <v>1930</v>
      </c>
      <c r="E7" s="946" t="s">
        <v>1930</v>
      </c>
      <c r="F7" s="946" t="s">
        <v>1930</v>
      </c>
      <c r="G7" s="946" t="s">
        <v>1930</v>
      </c>
      <c r="H7" s="946" t="s">
        <v>1930</v>
      </c>
      <c r="I7" s="946" t="s">
        <v>1930</v>
      </c>
      <c r="J7" s="946" t="s">
        <v>1930</v>
      </c>
      <c r="K7" s="937" t="s">
        <v>1949</v>
      </c>
      <c r="L7" s="946" t="s">
        <v>1930</v>
      </c>
      <c r="M7" s="946" t="s">
        <v>1930</v>
      </c>
      <c r="N7" s="946" t="s">
        <v>1930</v>
      </c>
      <c r="O7" s="946" t="s">
        <v>1930</v>
      </c>
      <c r="P7" s="946" t="s">
        <v>1930</v>
      </c>
      <c r="Q7" s="946" t="s">
        <v>1930</v>
      </c>
      <c r="R7" s="967" t="s">
        <v>2036</v>
      </c>
      <c r="S7" s="946" t="s">
        <v>1930</v>
      </c>
      <c r="T7" s="946" t="s">
        <v>1930</v>
      </c>
      <c r="U7" s="934" t="s">
        <v>1893</v>
      </c>
      <c r="V7" s="934" t="s">
        <v>1893</v>
      </c>
      <c r="W7" s="941">
        <v>1</v>
      </c>
      <c r="X7" s="945"/>
      <c r="Y7" s="933"/>
      <c r="Z7" s="933"/>
      <c r="AA7" s="933"/>
      <c r="AB7" s="933"/>
      <c r="AC7" s="933"/>
      <c r="AD7" s="933"/>
      <c r="AE7" s="933"/>
      <c r="AF7" s="933"/>
      <c r="AG7" s="933"/>
    </row>
    <row r="8" spans="1:33" ht="15.75" customHeight="1">
      <c r="A8" s="937"/>
      <c r="B8" s="935"/>
      <c r="C8" s="935"/>
      <c r="D8" s="935"/>
      <c r="E8" s="935"/>
      <c r="F8" s="935"/>
      <c r="G8" s="935"/>
      <c r="H8" s="935"/>
      <c r="I8" s="935"/>
      <c r="J8" s="935"/>
      <c r="K8" s="937"/>
      <c r="L8" s="935"/>
      <c r="M8" s="935"/>
      <c r="N8" s="935"/>
      <c r="O8" s="935"/>
      <c r="P8" s="935"/>
      <c r="Q8" s="935"/>
      <c r="R8" s="945" t="s">
        <v>2035</v>
      </c>
      <c r="S8" s="935"/>
      <c r="T8" s="933"/>
      <c r="U8" s="933"/>
      <c r="V8" s="933"/>
      <c r="W8" s="941"/>
      <c r="X8" s="945"/>
      <c r="Y8" s="933"/>
      <c r="Z8" s="933"/>
      <c r="AA8" s="933"/>
      <c r="AB8" s="933"/>
      <c r="AC8" s="933"/>
      <c r="AD8" s="933"/>
      <c r="AE8" s="933"/>
      <c r="AF8" s="933"/>
      <c r="AG8" s="933"/>
    </row>
    <row r="9" spans="1:33" ht="15.75" customHeight="1">
      <c r="A9" s="937" t="s">
        <v>1946</v>
      </c>
      <c r="B9" s="934" t="s">
        <v>1893</v>
      </c>
      <c r="C9" s="934" t="s">
        <v>1893</v>
      </c>
      <c r="D9" s="934" t="s">
        <v>1893</v>
      </c>
      <c r="E9" s="934" t="s">
        <v>1893</v>
      </c>
      <c r="F9" s="949" t="s">
        <v>1893</v>
      </c>
      <c r="G9" s="950" t="s">
        <v>1941</v>
      </c>
      <c r="H9" s="950" t="s">
        <v>1941</v>
      </c>
      <c r="I9" s="934" t="s">
        <v>1893</v>
      </c>
      <c r="J9" s="934" t="s">
        <v>1893</v>
      </c>
      <c r="K9" s="937" t="s">
        <v>1946</v>
      </c>
      <c r="L9" s="946" t="s">
        <v>1930</v>
      </c>
      <c r="M9" s="934" t="s">
        <v>1893</v>
      </c>
      <c r="N9" s="938">
        <v>4</v>
      </c>
      <c r="O9" s="938">
        <v>2</v>
      </c>
      <c r="P9" s="946" t="s">
        <v>1930</v>
      </c>
      <c r="Q9" s="941">
        <v>1</v>
      </c>
      <c r="R9" s="945" t="s">
        <v>2034</v>
      </c>
      <c r="S9" s="934" t="s">
        <v>1893</v>
      </c>
      <c r="T9" s="933"/>
      <c r="U9" s="934" t="s">
        <v>1893</v>
      </c>
      <c r="V9" s="934" t="s">
        <v>1893</v>
      </c>
      <c r="W9" s="941">
        <v>8</v>
      </c>
      <c r="X9" s="945"/>
      <c r="Y9" s="933"/>
      <c r="Z9" s="933"/>
      <c r="AA9" s="933"/>
      <c r="AB9" s="933"/>
      <c r="AC9" s="933"/>
      <c r="AD9" s="933"/>
      <c r="AE9" s="933"/>
      <c r="AF9" s="933"/>
      <c r="AG9" s="933"/>
    </row>
    <row r="10" spans="1:33" ht="15.75" customHeight="1">
      <c r="A10" s="937"/>
      <c r="B10" s="935"/>
      <c r="C10" s="935"/>
      <c r="D10" s="935"/>
      <c r="E10" s="935"/>
      <c r="F10" s="935"/>
      <c r="G10" s="935"/>
      <c r="H10" s="935"/>
      <c r="I10" s="935"/>
      <c r="J10" s="935"/>
      <c r="K10" s="937"/>
      <c r="L10" s="935"/>
      <c r="M10" s="935"/>
      <c r="N10" s="933"/>
      <c r="O10" s="933"/>
      <c r="P10" s="933"/>
      <c r="Q10" s="933"/>
      <c r="R10" s="933"/>
      <c r="S10" s="934"/>
      <c r="T10" s="933"/>
      <c r="U10" s="933"/>
      <c r="V10" s="933"/>
      <c r="W10" s="933"/>
      <c r="X10" s="945"/>
      <c r="Y10" s="933"/>
      <c r="Z10" s="933"/>
      <c r="AA10" s="933"/>
      <c r="AB10" s="933"/>
      <c r="AC10" s="933"/>
      <c r="AD10" s="933"/>
      <c r="AE10" s="933"/>
      <c r="AF10" s="933"/>
      <c r="AG10" s="933"/>
    </row>
    <row r="11" spans="1:33" ht="15.75" customHeight="1">
      <c r="A11" s="937" t="s">
        <v>1945</v>
      </c>
      <c r="B11" s="934" t="s">
        <v>1893</v>
      </c>
      <c r="C11" s="934" t="s">
        <v>1893</v>
      </c>
      <c r="D11" s="934" t="s">
        <v>1893</v>
      </c>
      <c r="E11" s="934" t="s">
        <v>1893</v>
      </c>
      <c r="F11" s="934" t="s">
        <v>1893</v>
      </c>
      <c r="G11" s="934" t="s">
        <v>1893</v>
      </c>
      <c r="H11" s="934" t="s">
        <v>1893</v>
      </c>
      <c r="I11" s="934" t="s">
        <v>1893</v>
      </c>
      <c r="J11" s="934" t="s">
        <v>1893</v>
      </c>
      <c r="K11" s="937" t="s">
        <v>1945</v>
      </c>
      <c r="L11" s="934" t="s">
        <v>1893</v>
      </c>
      <c r="M11" s="934" t="s">
        <v>1893</v>
      </c>
      <c r="N11" s="934" t="s">
        <v>1893</v>
      </c>
      <c r="O11" s="934" t="s">
        <v>1893</v>
      </c>
      <c r="P11" s="934" t="s">
        <v>1893</v>
      </c>
      <c r="Q11" s="934" t="s">
        <v>1893</v>
      </c>
      <c r="R11" s="933"/>
      <c r="S11" s="934" t="s">
        <v>1893</v>
      </c>
      <c r="T11" s="933"/>
      <c r="U11" s="934" t="s">
        <v>1893</v>
      </c>
      <c r="V11" s="934" t="s">
        <v>1893</v>
      </c>
      <c r="W11" s="934" t="s">
        <v>1893</v>
      </c>
      <c r="X11" s="945"/>
      <c r="Y11" s="933"/>
      <c r="Z11" s="933"/>
      <c r="AA11" s="933"/>
      <c r="AB11" s="933"/>
      <c r="AC11" s="933"/>
      <c r="AD11" s="933"/>
      <c r="AE11" s="933"/>
      <c r="AF11" s="933"/>
      <c r="AG11" s="933"/>
    </row>
    <row r="12" spans="1:33" ht="15.75" customHeight="1">
      <c r="A12" s="937"/>
      <c r="B12" s="935"/>
      <c r="C12" s="935"/>
      <c r="D12" s="935"/>
      <c r="E12" s="935"/>
      <c r="F12" s="935"/>
      <c r="G12" s="935"/>
      <c r="H12" s="935"/>
      <c r="I12" s="935"/>
      <c r="J12" s="935"/>
      <c r="K12" s="937"/>
      <c r="L12" s="935"/>
      <c r="M12" s="935"/>
      <c r="N12" s="933"/>
      <c r="O12" s="933"/>
      <c r="P12" s="933"/>
      <c r="Q12" s="933"/>
      <c r="R12" s="933"/>
      <c r="S12" s="935"/>
      <c r="T12" s="933"/>
      <c r="U12" s="933"/>
      <c r="V12" s="933"/>
      <c r="W12" s="933"/>
      <c r="X12" s="945"/>
      <c r="Y12" s="933"/>
      <c r="Z12" s="933"/>
      <c r="AA12" s="933"/>
      <c r="AB12" s="933"/>
      <c r="AC12" s="933"/>
      <c r="AD12" s="933"/>
      <c r="AE12" s="933"/>
      <c r="AF12" s="933"/>
      <c r="AG12" s="933"/>
    </row>
    <row r="13" spans="1:33" ht="15.75" customHeight="1">
      <c r="A13" s="937" t="s">
        <v>1944</v>
      </c>
      <c r="B13" s="946" t="s">
        <v>1930</v>
      </c>
      <c r="C13" s="946" t="s">
        <v>1930</v>
      </c>
      <c r="D13" s="946" t="s">
        <v>1930</v>
      </c>
      <c r="E13" s="946" t="s">
        <v>1930</v>
      </c>
      <c r="F13" s="946" t="s">
        <v>1930</v>
      </c>
      <c r="G13" s="946" t="s">
        <v>1930</v>
      </c>
      <c r="H13" s="946" t="s">
        <v>1930</v>
      </c>
      <c r="I13" s="946" t="s">
        <v>1930</v>
      </c>
      <c r="J13" s="946" t="s">
        <v>1930</v>
      </c>
      <c r="K13" s="937" t="s">
        <v>1944</v>
      </c>
      <c r="L13" s="946" t="s">
        <v>1930</v>
      </c>
      <c r="M13" s="946" t="s">
        <v>1930</v>
      </c>
      <c r="N13" s="946" t="s">
        <v>1930</v>
      </c>
      <c r="O13" s="946">
        <v>1</v>
      </c>
      <c r="P13" s="946" t="s">
        <v>1930</v>
      </c>
      <c r="Q13" s="946" t="s">
        <v>1930</v>
      </c>
      <c r="R13" s="947"/>
      <c r="S13" s="946" t="s">
        <v>1930</v>
      </c>
      <c r="T13" s="946" t="s">
        <v>1930</v>
      </c>
      <c r="U13" s="934" t="s">
        <v>1893</v>
      </c>
      <c r="V13" s="934" t="s">
        <v>1893</v>
      </c>
      <c r="W13" s="941">
        <v>1</v>
      </c>
      <c r="X13" s="945"/>
      <c r="Y13" s="933"/>
      <c r="Z13" s="933"/>
      <c r="AA13" s="933"/>
      <c r="AB13" s="933"/>
      <c r="AC13" s="933"/>
      <c r="AD13" s="933"/>
      <c r="AE13" s="933"/>
      <c r="AF13" s="933"/>
      <c r="AG13" s="933"/>
    </row>
    <row r="14" spans="1:33" ht="15.75" customHeight="1">
      <c r="A14" s="937"/>
      <c r="B14" s="935"/>
      <c r="C14" s="935"/>
      <c r="D14" s="935"/>
      <c r="E14" s="935"/>
      <c r="F14" s="935"/>
      <c r="G14" s="935"/>
      <c r="H14" s="935"/>
      <c r="I14" s="935"/>
      <c r="J14" s="935"/>
      <c r="K14" s="937"/>
      <c r="L14" s="935"/>
      <c r="M14" s="935"/>
      <c r="N14" s="941"/>
      <c r="O14" s="941"/>
      <c r="P14" s="941"/>
      <c r="Q14" s="941"/>
      <c r="R14" s="933"/>
      <c r="S14" s="934"/>
      <c r="T14" s="933"/>
      <c r="U14" s="933"/>
      <c r="V14" s="933"/>
      <c r="W14" s="933"/>
      <c r="X14" s="945"/>
      <c r="Y14" s="933"/>
      <c r="Z14" s="933"/>
      <c r="AA14" s="933"/>
      <c r="AB14" s="933"/>
      <c r="AC14" s="933"/>
      <c r="AD14" s="933"/>
      <c r="AE14" s="933"/>
      <c r="AF14" s="933"/>
      <c r="AG14" s="933"/>
    </row>
    <row r="15" spans="1:33" ht="15.75" customHeight="1">
      <c r="A15" s="937" t="s">
        <v>1943</v>
      </c>
      <c r="B15" s="934" t="s">
        <v>1893</v>
      </c>
      <c r="C15" s="934" t="s">
        <v>1893</v>
      </c>
      <c r="D15" s="934" t="s">
        <v>1893</v>
      </c>
      <c r="E15" s="934" t="s">
        <v>1893</v>
      </c>
      <c r="F15" s="950" t="s">
        <v>1941</v>
      </c>
      <c r="G15" s="946" t="s">
        <v>1930</v>
      </c>
      <c r="H15" s="946" t="s">
        <v>1930</v>
      </c>
      <c r="I15" s="950" t="s">
        <v>1941</v>
      </c>
      <c r="J15" s="934" t="s">
        <v>1893</v>
      </c>
      <c r="K15" s="937" t="s">
        <v>1943</v>
      </c>
      <c r="L15" s="946" t="s">
        <v>1930</v>
      </c>
      <c r="M15" s="934" t="s">
        <v>1893</v>
      </c>
      <c r="N15" s="941">
        <v>1</v>
      </c>
      <c r="O15" s="941">
        <v>1</v>
      </c>
      <c r="P15" s="946" t="s">
        <v>1930</v>
      </c>
      <c r="Q15" s="941">
        <v>1</v>
      </c>
      <c r="R15" s="933"/>
      <c r="S15" s="934" t="s">
        <v>1893</v>
      </c>
      <c r="T15" s="933"/>
      <c r="U15" s="934" t="s">
        <v>1893</v>
      </c>
      <c r="V15" s="934" t="s">
        <v>1893</v>
      </c>
      <c r="W15" s="933"/>
      <c r="X15" s="945"/>
      <c r="Y15" s="933"/>
      <c r="Z15" s="933"/>
      <c r="AA15" s="933"/>
      <c r="AB15" s="933"/>
      <c r="AC15" s="933"/>
      <c r="AD15" s="933"/>
      <c r="AE15" s="933"/>
      <c r="AF15" s="933"/>
      <c r="AG15" s="933"/>
    </row>
    <row r="16" spans="1:33" ht="15.75" customHeight="1">
      <c r="A16" s="937"/>
      <c r="B16" s="935"/>
      <c r="C16" s="935"/>
      <c r="D16" s="935"/>
      <c r="E16" s="935"/>
      <c r="F16" s="935"/>
      <c r="G16" s="935"/>
      <c r="H16" s="935"/>
      <c r="I16" s="935"/>
      <c r="J16" s="935"/>
      <c r="K16" s="937"/>
      <c r="L16" s="935"/>
      <c r="M16" s="935"/>
      <c r="N16" s="941"/>
      <c r="O16" s="941"/>
      <c r="P16" s="941"/>
      <c r="Q16" s="941"/>
      <c r="R16" s="933"/>
      <c r="S16" s="934"/>
      <c r="T16" s="933"/>
      <c r="U16" s="933"/>
      <c r="V16" s="933"/>
      <c r="W16" s="933"/>
      <c r="X16" s="945"/>
      <c r="Y16" s="933"/>
      <c r="Z16" s="933"/>
      <c r="AA16" s="933"/>
      <c r="AB16" s="933"/>
      <c r="AC16" s="933"/>
      <c r="AD16" s="933"/>
      <c r="AE16" s="933"/>
      <c r="AF16" s="933"/>
      <c r="AG16" s="933"/>
    </row>
    <row r="17" spans="1:33" ht="15.75" customHeight="1">
      <c r="A17" s="937" t="s">
        <v>1942</v>
      </c>
      <c r="B17" s="934" t="s">
        <v>1893</v>
      </c>
      <c r="C17" s="934" t="s">
        <v>1893</v>
      </c>
      <c r="D17" s="934" t="s">
        <v>1893</v>
      </c>
      <c r="E17" s="934" t="s">
        <v>1893</v>
      </c>
      <c r="F17" s="934" t="s">
        <v>1893</v>
      </c>
      <c r="G17" s="950" t="s">
        <v>1941</v>
      </c>
      <c r="H17" s="950" t="s">
        <v>1941</v>
      </c>
      <c r="I17" s="934" t="s">
        <v>1893</v>
      </c>
      <c r="J17" s="949" t="s">
        <v>1919</v>
      </c>
      <c r="K17" s="937" t="s">
        <v>1942</v>
      </c>
      <c r="L17" s="950" t="s">
        <v>1941</v>
      </c>
      <c r="M17" s="934" t="s">
        <v>1893</v>
      </c>
      <c r="N17" s="938">
        <v>2</v>
      </c>
      <c r="O17" s="941">
        <v>1</v>
      </c>
      <c r="P17" s="946">
        <v>1</v>
      </c>
      <c r="Q17" s="941">
        <v>1</v>
      </c>
      <c r="R17" s="933"/>
      <c r="S17" s="934" t="s">
        <v>1893</v>
      </c>
      <c r="T17" s="933"/>
      <c r="U17" s="934" t="s">
        <v>1893</v>
      </c>
      <c r="V17" s="934" t="s">
        <v>1893</v>
      </c>
      <c r="W17" s="934" t="s">
        <v>1893</v>
      </c>
      <c r="X17" s="945"/>
      <c r="Y17" s="933"/>
      <c r="Z17" s="933"/>
      <c r="AA17" s="933"/>
      <c r="AB17" s="933"/>
      <c r="AC17" s="933"/>
      <c r="AD17" s="933"/>
      <c r="AE17" s="933"/>
      <c r="AF17" s="933"/>
      <c r="AG17" s="933"/>
    </row>
    <row r="18" spans="1:33" ht="15.75" customHeight="1">
      <c r="A18" s="937"/>
      <c r="B18" s="935"/>
      <c r="C18" s="935"/>
      <c r="D18" s="935"/>
      <c r="E18" s="935"/>
      <c r="F18" s="935"/>
      <c r="G18" s="935"/>
      <c r="H18" s="935"/>
      <c r="I18" s="935"/>
      <c r="J18" s="935"/>
      <c r="K18" s="937"/>
      <c r="L18" s="935"/>
      <c r="M18" s="935"/>
      <c r="N18" s="933"/>
      <c r="O18" s="933"/>
      <c r="P18" s="933"/>
      <c r="Q18" s="933"/>
      <c r="R18" s="933"/>
      <c r="S18" s="934"/>
      <c r="T18" s="933"/>
      <c r="U18" s="933"/>
      <c r="V18" s="933"/>
      <c r="W18" s="934"/>
      <c r="X18" s="945"/>
      <c r="Y18" s="933"/>
      <c r="Z18" s="933"/>
      <c r="AA18" s="933"/>
      <c r="AB18" s="933"/>
      <c r="AC18" s="933"/>
      <c r="AD18" s="933"/>
      <c r="AE18" s="933"/>
      <c r="AF18" s="933"/>
      <c r="AG18" s="933"/>
    </row>
    <row r="19" spans="1:33" ht="15.75" customHeight="1">
      <c r="A19" s="937" t="s">
        <v>1940</v>
      </c>
      <c r="B19" s="934" t="s">
        <v>1893</v>
      </c>
      <c r="C19" s="934" t="s">
        <v>1893</v>
      </c>
      <c r="D19" s="934" t="s">
        <v>1893</v>
      </c>
      <c r="E19" s="934" t="s">
        <v>1893</v>
      </c>
      <c r="F19" s="934" t="s">
        <v>1893</v>
      </c>
      <c r="G19" s="934" t="s">
        <v>1893</v>
      </c>
      <c r="H19" s="934" t="s">
        <v>1893</v>
      </c>
      <c r="I19" s="934" t="s">
        <v>1893</v>
      </c>
      <c r="J19" s="934" t="s">
        <v>1893</v>
      </c>
      <c r="K19" s="937" t="s">
        <v>1940</v>
      </c>
      <c r="L19" s="938" t="s">
        <v>1941</v>
      </c>
      <c r="M19" s="934" t="s">
        <v>1893</v>
      </c>
      <c r="N19" s="966">
        <v>2</v>
      </c>
      <c r="O19" s="966">
        <v>1</v>
      </c>
      <c r="P19" s="966">
        <v>1</v>
      </c>
      <c r="Q19" s="944">
        <v>1</v>
      </c>
      <c r="R19" s="933"/>
      <c r="S19" s="934" t="s">
        <v>1893</v>
      </c>
      <c r="T19" s="933"/>
      <c r="U19" s="934" t="s">
        <v>1893</v>
      </c>
      <c r="V19" s="934" t="s">
        <v>1893</v>
      </c>
      <c r="W19" s="934" t="s">
        <v>1893</v>
      </c>
      <c r="X19" s="945"/>
      <c r="Y19" s="933"/>
      <c r="Z19" s="933"/>
      <c r="AA19" s="933"/>
      <c r="AB19" s="933"/>
      <c r="AC19" s="933"/>
      <c r="AD19" s="933"/>
      <c r="AE19" s="933"/>
      <c r="AF19" s="933"/>
      <c r="AG19" s="933"/>
    </row>
    <row r="20" spans="1:33" ht="15.75" customHeight="1">
      <c r="A20" s="937"/>
      <c r="B20" s="935"/>
      <c r="C20" s="935"/>
      <c r="D20" s="935"/>
      <c r="E20" s="935"/>
      <c r="F20" s="935"/>
      <c r="G20" s="935"/>
      <c r="H20" s="935"/>
      <c r="I20" s="935"/>
      <c r="J20" s="935"/>
      <c r="K20" s="937"/>
      <c r="L20" s="935"/>
      <c r="M20" s="935"/>
      <c r="N20" s="933"/>
      <c r="O20" s="933"/>
      <c r="P20" s="933"/>
      <c r="Q20" s="933"/>
      <c r="R20" s="933"/>
      <c r="S20" s="934"/>
      <c r="T20" s="933"/>
      <c r="U20" s="933"/>
      <c r="V20" s="933"/>
      <c r="W20" s="934"/>
      <c r="X20" s="945"/>
      <c r="Y20" s="933"/>
      <c r="Z20" s="933"/>
      <c r="AA20" s="933"/>
      <c r="AB20" s="933"/>
      <c r="AC20" s="933"/>
      <c r="AD20" s="933"/>
      <c r="AE20" s="933"/>
      <c r="AF20" s="933"/>
      <c r="AG20" s="933"/>
    </row>
    <row r="21" spans="1:33" ht="15.75" customHeight="1">
      <c r="A21" s="937" t="s">
        <v>1937</v>
      </c>
      <c r="B21" s="934" t="s">
        <v>1893</v>
      </c>
      <c r="C21" s="934" t="s">
        <v>1893</v>
      </c>
      <c r="D21" s="934" t="s">
        <v>1893</v>
      </c>
      <c r="E21" s="934" t="s">
        <v>1893</v>
      </c>
      <c r="F21" s="934" t="s">
        <v>1893</v>
      </c>
      <c r="G21" s="934" t="s">
        <v>1893</v>
      </c>
      <c r="H21" s="934" t="s">
        <v>1893</v>
      </c>
      <c r="I21" s="934" t="s">
        <v>1893</v>
      </c>
      <c r="J21" s="934" t="s">
        <v>1893</v>
      </c>
      <c r="K21" s="937" t="s">
        <v>1937</v>
      </c>
      <c r="L21" s="934" t="s">
        <v>1893</v>
      </c>
      <c r="M21" s="934" t="s">
        <v>1893</v>
      </c>
      <c r="N21" s="934" t="s">
        <v>1893</v>
      </c>
      <c r="O21" s="934" t="s">
        <v>1893</v>
      </c>
      <c r="P21" s="934" t="s">
        <v>1893</v>
      </c>
      <c r="Q21" s="934" t="s">
        <v>1893</v>
      </c>
      <c r="R21" s="933"/>
      <c r="S21" s="934" t="s">
        <v>1893</v>
      </c>
      <c r="T21" s="933"/>
      <c r="U21" s="941">
        <v>1</v>
      </c>
      <c r="V21" s="941">
        <v>1</v>
      </c>
      <c r="W21" s="934" t="s">
        <v>1893</v>
      </c>
      <c r="X21" s="945"/>
      <c r="Y21" s="933"/>
      <c r="Z21" s="933"/>
      <c r="AA21" s="933"/>
      <c r="AB21" s="933"/>
      <c r="AC21" s="933"/>
      <c r="AD21" s="933"/>
      <c r="AE21" s="933"/>
      <c r="AF21" s="933"/>
      <c r="AG21" s="933"/>
    </row>
    <row r="22" spans="1:33" ht="15.75" customHeight="1">
      <c r="A22" s="937"/>
      <c r="B22" s="935"/>
      <c r="C22" s="935"/>
      <c r="D22" s="935"/>
      <c r="E22" s="935"/>
      <c r="F22" s="935"/>
      <c r="G22" s="935"/>
      <c r="H22" s="935"/>
      <c r="I22" s="935"/>
      <c r="J22" s="935"/>
      <c r="K22" s="937"/>
      <c r="L22" s="935"/>
      <c r="M22" s="935"/>
      <c r="N22" s="933"/>
      <c r="O22" s="933"/>
      <c r="P22" s="933"/>
      <c r="Q22" s="933"/>
      <c r="R22" s="933"/>
      <c r="S22" s="933"/>
      <c r="T22" s="933"/>
      <c r="U22" s="933"/>
      <c r="V22" s="933"/>
      <c r="W22" s="933"/>
      <c r="X22" s="945"/>
      <c r="Y22" s="933"/>
      <c r="Z22" s="933"/>
      <c r="AA22" s="933"/>
      <c r="AB22" s="933"/>
      <c r="AC22" s="933"/>
      <c r="AD22" s="933"/>
      <c r="AE22" s="933"/>
      <c r="AF22" s="933"/>
      <c r="AG22" s="933"/>
    </row>
    <row r="23" spans="1:33" ht="15.75" customHeight="1">
      <c r="A23" s="943" t="s">
        <v>1936</v>
      </c>
      <c r="B23" s="943" t="s">
        <v>2028</v>
      </c>
      <c r="C23" s="943" t="s">
        <v>2027</v>
      </c>
      <c r="D23" s="943" t="s">
        <v>2026</v>
      </c>
      <c r="E23" s="943" t="s">
        <v>2025</v>
      </c>
      <c r="F23" s="943" t="s">
        <v>2024</v>
      </c>
      <c r="G23" s="943" t="s">
        <v>2023</v>
      </c>
      <c r="H23" s="943" t="s">
        <v>2022</v>
      </c>
      <c r="I23" s="943" t="s">
        <v>2021</v>
      </c>
      <c r="J23" s="943" t="s">
        <v>2020</v>
      </c>
      <c r="K23" s="943" t="s">
        <v>1936</v>
      </c>
      <c r="L23" s="943" t="s">
        <v>2019</v>
      </c>
      <c r="M23" s="943" t="s">
        <v>2018</v>
      </c>
      <c r="N23" s="943" t="s">
        <v>2017</v>
      </c>
      <c r="O23" s="943" t="s">
        <v>2016</v>
      </c>
      <c r="P23" s="943" t="s">
        <v>2015</v>
      </c>
      <c r="Q23" s="943" t="s">
        <v>2014</v>
      </c>
      <c r="R23" s="943" t="s">
        <v>2013</v>
      </c>
      <c r="S23" s="943" t="s">
        <v>2012</v>
      </c>
      <c r="T23" s="943" t="s">
        <v>2011</v>
      </c>
      <c r="U23" s="943" t="s">
        <v>2010</v>
      </c>
      <c r="V23" s="943" t="s">
        <v>2009</v>
      </c>
      <c r="W23" s="943" t="s">
        <v>2008</v>
      </c>
      <c r="X23" s="952"/>
      <c r="Y23" s="942"/>
      <c r="Z23" s="942"/>
      <c r="AA23" s="942"/>
      <c r="AB23" s="942"/>
      <c r="AC23" s="942"/>
      <c r="AD23" s="942"/>
      <c r="AE23" s="942"/>
      <c r="AF23" s="942"/>
      <c r="AG23" s="942"/>
    </row>
    <row r="24" spans="1:33" ht="14.25">
      <c r="A24" s="937" t="s">
        <v>2033</v>
      </c>
      <c r="B24" s="946" t="s">
        <v>1930</v>
      </c>
      <c r="C24" s="946" t="s">
        <v>1930</v>
      </c>
      <c r="D24" s="946" t="s">
        <v>1930</v>
      </c>
      <c r="E24" s="946" t="s">
        <v>1930</v>
      </c>
      <c r="F24" s="946" t="s">
        <v>1930</v>
      </c>
      <c r="G24" s="946" t="s">
        <v>1930</v>
      </c>
      <c r="H24" s="946" t="s">
        <v>1930</v>
      </c>
      <c r="I24" s="946" t="s">
        <v>1930</v>
      </c>
      <c r="J24" s="946" t="s">
        <v>1930</v>
      </c>
      <c r="K24" s="937" t="s">
        <v>2033</v>
      </c>
      <c r="L24" s="946" t="s">
        <v>1930</v>
      </c>
      <c r="M24" s="946" t="s">
        <v>1930</v>
      </c>
      <c r="N24" s="946" t="s">
        <v>1930</v>
      </c>
      <c r="O24" s="946" t="s">
        <v>1930</v>
      </c>
      <c r="P24" s="946" t="s">
        <v>1930</v>
      </c>
      <c r="Q24" s="946" t="s">
        <v>1930</v>
      </c>
      <c r="R24" s="947"/>
      <c r="S24" s="947"/>
      <c r="T24" s="947" t="s">
        <v>1930</v>
      </c>
      <c r="U24" s="941">
        <v>1</v>
      </c>
      <c r="V24" s="941">
        <v>1</v>
      </c>
      <c r="W24" s="933"/>
      <c r="X24" s="945" t="s">
        <v>2032</v>
      </c>
      <c r="Y24" s="933"/>
      <c r="Z24" s="933"/>
      <c r="AA24" s="933"/>
      <c r="AB24" s="933"/>
      <c r="AC24" s="933"/>
      <c r="AD24" s="933"/>
      <c r="AE24" s="933"/>
      <c r="AF24" s="933"/>
      <c r="AG24" s="933"/>
    </row>
    <row r="25" spans="1:33" ht="14.25">
      <c r="A25" s="937"/>
      <c r="B25" s="935"/>
      <c r="C25" s="935"/>
      <c r="D25" s="935"/>
      <c r="E25" s="935"/>
      <c r="F25" s="935"/>
      <c r="G25" s="935"/>
      <c r="H25" s="935"/>
      <c r="I25" s="935"/>
      <c r="J25" s="935"/>
      <c r="K25" s="937"/>
      <c r="L25" s="935"/>
      <c r="M25" s="935"/>
      <c r="N25" s="935"/>
      <c r="O25" s="935"/>
      <c r="P25" s="935"/>
      <c r="Q25" s="935"/>
      <c r="R25" s="933"/>
      <c r="S25" s="933"/>
      <c r="T25" s="933"/>
      <c r="U25" s="941"/>
      <c r="V25" s="941"/>
      <c r="W25" s="933"/>
      <c r="X25" s="945" t="s">
        <v>2031</v>
      </c>
      <c r="Y25" s="933"/>
      <c r="Z25" s="933"/>
      <c r="AA25" s="933"/>
      <c r="AB25" s="933"/>
      <c r="AC25" s="933"/>
      <c r="AD25" s="933"/>
      <c r="AE25" s="933"/>
      <c r="AF25" s="933"/>
      <c r="AG25" s="933"/>
    </row>
    <row r="26" spans="1:33" ht="14.25">
      <c r="A26" s="937" t="s">
        <v>1931</v>
      </c>
      <c r="B26" s="946" t="s">
        <v>1930</v>
      </c>
      <c r="C26" s="946" t="s">
        <v>1930</v>
      </c>
      <c r="D26" s="946" t="s">
        <v>1930</v>
      </c>
      <c r="E26" s="946" t="s">
        <v>1930</v>
      </c>
      <c r="F26" s="946" t="s">
        <v>1930</v>
      </c>
      <c r="G26" s="946" t="s">
        <v>1930</v>
      </c>
      <c r="H26" s="946" t="s">
        <v>1930</v>
      </c>
      <c r="I26" s="946" t="s">
        <v>1930</v>
      </c>
      <c r="J26" s="946" t="s">
        <v>1930</v>
      </c>
      <c r="K26" s="937" t="s">
        <v>1931</v>
      </c>
      <c r="L26" s="946" t="s">
        <v>1930</v>
      </c>
      <c r="M26" s="946" t="s">
        <v>1930</v>
      </c>
      <c r="N26" s="946" t="s">
        <v>1930</v>
      </c>
      <c r="O26" s="941">
        <v>2</v>
      </c>
      <c r="P26" s="946" t="s">
        <v>1930</v>
      </c>
      <c r="Q26" s="946" t="s">
        <v>1930</v>
      </c>
      <c r="R26" s="933"/>
      <c r="S26" s="933"/>
      <c r="T26" s="947" t="s">
        <v>1930</v>
      </c>
      <c r="U26" s="941">
        <v>1</v>
      </c>
      <c r="V26" s="941">
        <v>1</v>
      </c>
      <c r="W26" s="933"/>
      <c r="X26" s="945" t="s">
        <v>2030</v>
      </c>
      <c r="Y26" s="933"/>
      <c r="Z26" s="933"/>
      <c r="AA26" s="933"/>
      <c r="AB26" s="933"/>
      <c r="AC26" s="933"/>
      <c r="AD26" s="933"/>
      <c r="AE26" s="933"/>
      <c r="AF26" s="933"/>
      <c r="AG26" s="933"/>
    </row>
    <row r="27" spans="1:33" ht="14.25">
      <c r="A27" s="937"/>
      <c r="B27" s="935"/>
      <c r="C27" s="935"/>
      <c r="D27" s="935"/>
      <c r="E27" s="935"/>
      <c r="F27" s="935"/>
      <c r="G27" s="935"/>
      <c r="H27" s="935"/>
      <c r="I27" s="935"/>
      <c r="J27" s="935"/>
      <c r="K27" s="937"/>
      <c r="L27" s="935"/>
      <c r="M27" s="935"/>
      <c r="N27" s="933"/>
      <c r="O27" s="933"/>
      <c r="P27" s="933"/>
      <c r="Q27" s="933"/>
      <c r="R27" s="933"/>
      <c r="S27" s="933"/>
      <c r="T27" s="933"/>
      <c r="U27" s="941"/>
      <c r="V27" s="941"/>
      <c r="W27" s="933"/>
      <c r="X27" s="945"/>
      <c r="Y27" s="933"/>
      <c r="Z27" s="933"/>
      <c r="AA27" s="933"/>
      <c r="AB27" s="933"/>
      <c r="AC27" s="933"/>
      <c r="AD27" s="933"/>
      <c r="AE27" s="933"/>
      <c r="AF27" s="933"/>
      <c r="AG27" s="933"/>
    </row>
    <row r="28" spans="1:33" ht="14.25">
      <c r="A28" s="937" t="s">
        <v>1927</v>
      </c>
      <c r="B28" s="934" t="s">
        <v>1893</v>
      </c>
      <c r="C28" s="934" t="s">
        <v>1893</v>
      </c>
      <c r="D28" s="934" t="s">
        <v>1893</v>
      </c>
      <c r="E28" s="934" t="s">
        <v>1893</v>
      </c>
      <c r="F28" s="934" t="s">
        <v>1893</v>
      </c>
      <c r="G28" s="934" t="s">
        <v>1893</v>
      </c>
      <c r="H28" s="934" t="s">
        <v>1893</v>
      </c>
      <c r="I28" s="934" t="s">
        <v>1893</v>
      </c>
      <c r="J28" s="934" t="s">
        <v>1893</v>
      </c>
      <c r="K28" s="937" t="s">
        <v>1927</v>
      </c>
      <c r="L28" s="938" t="s">
        <v>1941</v>
      </c>
      <c r="M28" s="934" t="s">
        <v>1893</v>
      </c>
      <c r="N28" s="934" t="s">
        <v>1893</v>
      </c>
      <c r="O28" s="934" t="s">
        <v>1893</v>
      </c>
      <c r="P28" s="934" t="s">
        <v>1893</v>
      </c>
      <c r="Q28" s="934" t="s">
        <v>1893</v>
      </c>
      <c r="R28" s="933"/>
      <c r="S28" s="933"/>
      <c r="T28" s="933">
        <v>1</v>
      </c>
      <c r="U28" s="941">
        <v>1</v>
      </c>
      <c r="V28" s="941">
        <v>1</v>
      </c>
      <c r="W28" s="933"/>
      <c r="X28" s="945"/>
      <c r="Y28" s="933"/>
      <c r="Z28" s="933"/>
      <c r="AA28" s="933"/>
      <c r="AB28" s="933"/>
      <c r="AC28" s="933"/>
      <c r="AD28" s="933"/>
      <c r="AE28" s="933"/>
      <c r="AF28" s="933"/>
      <c r="AG28" s="933"/>
    </row>
    <row r="29" spans="1:33" ht="14.25">
      <c r="A29" s="937"/>
      <c r="B29" s="935"/>
      <c r="C29" s="935"/>
      <c r="D29" s="935"/>
      <c r="E29" s="935"/>
      <c r="F29" s="935"/>
      <c r="G29" s="935"/>
      <c r="H29" s="935"/>
      <c r="I29" s="935"/>
      <c r="J29" s="935"/>
      <c r="K29" s="937"/>
      <c r="L29" s="935"/>
      <c r="M29" s="935"/>
      <c r="N29" s="933"/>
      <c r="O29" s="933"/>
      <c r="P29" s="933"/>
      <c r="Q29" s="933"/>
      <c r="R29" s="933"/>
      <c r="S29" s="933"/>
      <c r="T29" s="933"/>
      <c r="U29" s="941"/>
      <c r="V29" s="941"/>
      <c r="W29" s="933"/>
      <c r="X29" s="945"/>
      <c r="Y29" s="933"/>
      <c r="Z29" s="933"/>
      <c r="AA29" s="933"/>
      <c r="AB29" s="933"/>
      <c r="AC29" s="933"/>
      <c r="AD29" s="933"/>
      <c r="AE29" s="933"/>
      <c r="AF29" s="933"/>
      <c r="AG29" s="933"/>
    </row>
    <row r="30" spans="1:33" ht="14.25">
      <c r="A30" s="937" t="s">
        <v>1925</v>
      </c>
      <c r="B30" s="934" t="s">
        <v>1893</v>
      </c>
      <c r="C30" s="934" t="s">
        <v>1893</v>
      </c>
      <c r="D30" s="934" t="s">
        <v>1893</v>
      </c>
      <c r="E30" s="934" t="s">
        <v>1893</v>
      </c>
      <c r="F30" s="934" t="s">
        <v>1893</v>
      </c>
      <c r="G30" s="934" t="s">
        <v>1893</v>
      </c>
      <c r="H30" s="934" t="s">
        <v>1893</v>
      </c>
      <c r="I30" s="934" t="s">
        <v>1893</v>
      </c>
      <c r="J30" s="934" t="s">
        <v>1893</v>
      </c>
      <c r="K30" s="937" t="s">
        <v>1925</v>
      </c>
      <c r="L30" s="934" t="s">
        <v>1893</v>
      </c>
      <c r="M30" s="934" t="s">
        <v>1893</v>
      </c>
      <c r="N30" s="934" t="s">
        <v>1893</v>
      </c>
      <c r="O30" s="934" t="s">
        <v>1893</v>
      </c>
      <c r="P30" s="934" t="s">
        <v>1893</v>
      </c>
      <c r="Q30" s="934" t="s">
        <v>1893</v>
      </c>
      <c r="R30" s="933"/>
      <c r="S30" s="933"/>
      <c r="T30" s="933">
        <v>1</v>
      </c>
      <c r="U30" s="941">
        <v>1</v>
      </c>
      <c r="V30" s="941">
        <v>1</v>
      </c>
      <c r="W30" s="933" t="s">
        <v>1893</v>
      </c>
      <c r="X30" s="945"/>
      <c r="Y30" s="933"/>
      <c r="Z30" s="933"/>
      <c r="AA30" s="933"/>
      <c r="AB30" s="933"/>
      <c r="AC30" s="933"/>
      <c r="AD30" s="933"/>
      <c r="AE30" s="933"/>
      <c r="AF30" s="933"/>
      <c r="AG30" s="933"/>
    </row>
    <row r="31" spans="1:33" ht="14.25">
      <c r="A31" s="937"/>
      <c r="B31" s="934"/>
      <c r="C31" s="934"/>
      <c r="D31" s="934"/>
      <c r="E31" s="934"/>
      <c r="F31" s="934"/>
      <c r="G31" s="934"/>
      <c r="H31" s="934"/>
      <c r="I31" s="934"/>
      <c r="J31" s="934"/>
      <c r="K31" s="937"/>
      <c r="L31" s="934"/>
      <c r="M31" s="934"/>
      <c r="N31" s="934"/>
      <c r="O31" s="934"/>
      <c r="P31" s="934"/>
      <c r="Q31" s="934"/>
      <c r="R31" s="933"/>
      <c r="S31" s="933"/>
      <c r="T31" s="933"/>
      <c r="U31" s="941"/>
      <c r="V31" s="941"/>
      <c r="W31" s="933"/>
      <c r="X31" s="945"/>
      <c r="Y31" s="933"/>
      <c r="Z31" s="933"/>
      <c r="AA31" s="933"/>
      <c r="AB31" s="933"/>
      <c r="AC31" s="933"/>
      <c r="AD31" s="933"/>
      <c r="AE31" s="933"/>
      <c r="AF31" s="933"/>
      <c r="AG31" s="933"/>
    </row>
    <row r="32" spans="1:33" ht="14.25">
      <c r="A32" s="937" t="s">
        <v>1924</v>
      </c>
      <c r="B32" s="934" t="s">
        <v>1893</v>
      </c>
      <c r="C32" s="934" t="s">
        <v>1893</v>
      </c>
      <c r="D32" s="934" t="s">
        <v>1893</v>
      </c>
      <c r="E32" s="934" t="s">
        <v>1893</v>
      </c>
      <c r="F32" s="934" t="s">
        <v>1893</v>
      </c>
      <c r="G32" s="934" t="s">
        <v>1893</v>
      </c>
      <c r="H32" s="934" t="s">
        <v>1893</v>
      </c>
      <c r="I32" s="934" t="s">
        <v>1893</v>
      </c>
      <c r="J32" s="934" t="s">
        <v>1893</v>
      </c>
      <c r="K32" s="937" t="s">
        <v>1924</v>
      </c>
      <c r="L32" s="934" t="s">
        <v>1893</v>
      </c>
      <c r="M32" s="934" t="s">
        <v>1893</v>
      </c>
      <c r="N32" s="934" t="s">
        <v>1893</v>
      </c>
      <c r="O32" s="934" t="s">
        <v>1893</v>
      </c>
      <c r="P32" s="934" t="s">
        <v>1893</v>
      </c>
      <c r="Q32" s="934" t="s">
        <v>1893</v>
      </c>
      <c r="R32" s="933"/>
      <c r="S32" s="933"/>
      <c r="T32" s="933">
        <v>7</v>
      </c>
      <c r="U32" s="941">
        <v>1</v>
      </c>
      <c r="V32" s="941">
        <v>1</v>
      </c>
      <c r="W32" s="933" t="s">
        <v>1893</v>
      </c>
      <c r="X32" s="945"/>
      <c r="Y32" s="933"/>
      <c r="Z32" s="933"/>
      <c r="AA32" s="933"/>
      <c r="AB32" s="933"/>
      <c r="AC32" s="933"/>
      <c r="AD32" s="933"/>
      <c r="AE32" s="933"/>
      <c r="AF32" s="933"/>
      <c r="AG32" s="933"/>
    </row>
    <row r="33" spans="1:33" ht="14.25">
      <c r="A33" s="937"/>
      <c r="B33" s="934"/>
      <c r="C33" s="934"/>
      <c r="D33" s="934"/>
      <c r="E33" s="934"/>
      <c r="F33" s="934"/>
      <c r="G33" s="934"/>
      <c r="H33" s="934"/>
      <c r="I33" s="934"/>
      <c r="J33" s="934"/>
      <c r="K33" s="937"/>
      <c r="L33" s="934"/>
      <c r="M33" s="934"/>
      <c r="N33" s="934"/>
      <c r="O33" s="934"/>
      <c r="P33" s="934"/>
      <c r="Q33" s="934"/>
      <c r="R33" s="933"/>
      <c r="S33" s="933"/>
      <c r="T33" s="933"/>
      <c r="U33" s="941"/>
      <c r="V33" s="941"/>
      <c r="W33" s="933"/>
      <c r="X33" s="945"/>
      <c r="Y33" s="933"/>
      <c r="Z33" s="933"/>
      <c r="AA33" s="933"/>
      <c r="AB33" s="933"/>
      <c r="AC33" s="933"/>
      <c r="AD33" s="933"/>
      <c r="AE33" s="933"/>
      <c r="AF33" s="933"/>
      <c r="AG33" s="933"/>
    </row>
    <row r="34" spans="1:33" ht="14.25">
      <c r="A34" s="937" t="s">
        <v>1923</v>
      </c>
      <c r="B34" s="934" t="s">
        <v>1893</v>
      </c>
      <c r="C34" s="934" t="s">
        <v>1893</v>
      </c>
      <c r="D34" s="934" t="s">
        <v>1893</v>
      </c>
      <c r="E34" s="934" t="s">
        <v>1893</v>
      </c>
      <c r="F34" s="934" t="s">
        <v>1893</v>
      </c>
      <c r="G34" s="934" t="s">
        <v>1893</v>
      </c>
      <c r="H34" s="934" t="s">
        <v>1893</v>
      </c>
      <c r="I34" s="934" t="s">
        <v>1893</v>
      </c>
      <c r="J34" s="934" t="s">
        <v>1893</v>
      </c>
      <c r="K34" s="937" t="s">
        <v>1923</v>
      </c>
      <c r="L34" s="934" t="s">
        <v>1893</v>
      </c>
      <c r="M34" s="934" t="s">
        <v>1893</v>
      </c>
      <c r="N34" s="934" t="s">
        <v>1893</v>
      </c>
      <c r="O34" s="934" t="s">
        <v>1893</v>
      </c>
      <c r="P34" s="934" t="s">
        <v>1893</v>
      </c>
      <c r="Q34" s="934" t="s">
        <v>1893</v>
      </c>
      <c r="R34" s="933"/>
      <c r="S34" s="933"/>
      <c r="T34" s="933">
        <v>7</v>
      </c>
      <c r="U34" s="941">
        <v>1</v>
      </c>
      <c r="V34" s="941">
        <v>1</v>
      </c>
      <c r="W34" s="933" t="s">
        <v>1893</v>
      </c>
      <c r="X34" s="945"/>
      <c r="Y34" s="933"/>
      <c r="Z34" s="933"/>
      <c r="AA34" s="933"/>
      <c r="AB34" s="933"/>
      <c r="AC34" s="933"/>
      <c r="AD34" s="933"/>
      <c r="AE34" s="933"/>
      <c r="AF34" s="933"/>
      <c r="AG34" s="933"/>
    </row>
    <row r="35" spans="1:33" ht="14.25">
      <c r="A35" s="937"/>
      <c r="B35" s="934"/>
      <c r="C35" s="934"/>
      <c r="D35" s="934"/>
      <c r="E35" s="934"/>
      <c r="F35" s="934"/>
      <c r="G35" s="934"/>
      <c r="H35" s="934"/>
      <c r="I35" s="934"/>
      <c r="J35" s="934"/>
      <c r="K35" s="937"/>
      <c r="L35" s="934"/>
      <c r="M35" s="934"/>
      <c r="N35" s="934"/>
      <c r="O35" s="934"/>
      <c r="P35" s="934"/>
      <c r="Q35" s="934"/>
      <c r="R35" s="933"/>
      <c r="S35" s="933"/>
      <c r="T35" s="933"/>
      <c r="U35" s="941"/>
      <c r="V35" s="941"/>
      <c r="W35" s="933"/>
      <c r="X35" s="945"/>
      <c r="Y35" s="933"/>
      <c r="Z35" s="933"/>
      <c r="AA35" s="933"/>
      <c r="AB35" s="933"/>
      <c r="AC35" s="933"/>
      <c r="AD35" s="933"/>
      <c r="AE35" s="933"/>
      <c r="AF35" s="933"/>
      <c r="AG35" s="933"/>
    </row>
    <row r="36" spans="1:33" ht="14.25">
      <c r="A36" s="937" t="s">
        <v>1921</v>
      </c>
      <c r="B36" s="934" t="s">
        <v>1893</v>
      </c>
      <c r="C36" s="934" t="s">
        <v>1893</v>
      </c>
      <c r="D36" s="934" t="s">
        <v>1893</v>
      </c>
      <c r="E36" s="934" t="s">
        <v>1893</v>
      </c>
      <c r="F36" s="934" t="s">
        <v>1893</v>
      </c>
      <c r="G36" s="934" t="s">
        <v>1893</v>
      </c>
      <c r="H36" s="934" t="s">
        <v>1893</v>
      </c>
      <c r="I36" s="934" t="s">
        <v>1893</v>
      </c>
      <c r="J36" s="934" t="s">
        <v>1893</v>
      </c>
      <c r="K36" s="937" t="s">
        <v>1921</v>
      </c>
      <c r="L36" s="934" t="s">
        <v>1893</v>
      </c>
      <c r="M36" s="934" t="s">
        <v>1893</v>
      </c>
      <c r="N36" s="934" t="s">
        <v>1893</v>
      </c>
      <c r="O36" s="934" t="s">
        <v>1893</v>
      </c>
      <c r="P36" s="934" t="s">
        <v>1893</v>
      </c>
      <c r="Q36" s="934" t="s">
        <v>1893</v>
      </c>
      <c r="R36" s="933"/>
      <c r="S36" s="933"/>
      <c r="T36" s="933" t="s">
        <v>2029</v>
      </c>
      <c r="U36" s="941">
        <v>4</v>
      </c>
      <c r="V36" s="941">
        <v>4</v>
      </c>
      <c r="W36" s="933" t="s">
        <v>1893</v>
      </c>
      <c r="X36" s="945"/>
      <c r="Y36" s="933"/>
      <c r="Z36" s="933"/>
      <c r="AA36" s="933"/>
      <c r="AB36" s="933"/>
      <c r="AC36" s="933"/>
      <c r="AD36" s="933"/>
      <c r="AE36" s="933"/>
      <c r="AF36" s="933"/>
      <c r="AG36" s="933"/>
    </row>
    <row r="37" spans="1:33" ht="14.25">
      <c r="A37" s="937"/>
      <c r="B37" s="934"/>
      <c r="C37" s="934"/>
      <c r="D37" s="934"/>
      <c r="E37" s="934"/>
      <c r="F37" s="934"/>
      <c r="G37" s="934"/>
      <c r="H37" s="934"/>
      <c r="I37" s="934"/>
      <c r="J37" s="934"/>
      <c r="K37" s="937"/>
      <c r="L37" s="934"/>
      <c r="M37" s="934"/>
      <c r="N37" s="934"/>
      <c r="O37" s="934"/>
      <c r="P37" s="934"/>
      <c r="Q37" s="934"/>
      <c r="R37" s="933"/>
      <c r="S37" s="933"/>
      <c r="T37" s="933"/>
      <c r="U37" s="941"/>
      <c r="V37" s="941"/>
      <c r="W37" s="933"/>
      <c r="X37" s="945"/>
      <c r="Y37" s="933"/>
      <c r="Z37" s="933"/>
      <c r="AA37" s="933"/>
      <c r="AB37" s="933"/>
      <c r="AC37" s="933"/>
      <c r="AD37" s="933"/>
      <c r="AE37" s="933"/>
      <c r="AF37" s="933"/>
      <c r="AG37" s="933"/>
    </row>
    <row r="38" spans="1:33" ht="14.25">
      <c r="A38" s="937" t="s">
        <v>1968</v>
      </c>
      <c r="B38" s="934" t="s">
        <v>1893</v>
      </c>
      <c r="C38" s="934" t="s">
        <v>1893</v>
      </c>
      <c r="D38" s="934" t="s">
        <v>1893</v>
      </c>
      <c r="E38" s="934" t="s">
        <v>1893</v>
      </c>
      <c r="F38" s="934" t="s">
        <v>1893</v>
      </c>
      <c r="G38" s="934" t="s">
        <v>1893</v>
      </c>
      <c r="H38" s="934" t="s">
        <v>1893</v>
      </c>
      <c r="I38" s="934" t="s">
        <v>1893</v>
      </c>
      <c r="J38" s="934" t="s">
        <v>1893</v>
      </c>
      <c r="K38" s="937" t="s">
        <v>1968</v>
      </c>
      <c r="L38" s="934" t="s">
        <v>1893</v>
      </c>
      <c r="M38" s="934" t="s">
        <v>1893</v>
      </c>
      <c r="N38" s="934" t="s">
        <v>1893</v>
      </c>
      <c r="O38" s="934" t="s">
        <v>1893</v>
      </c>
      <c r="P38" s="934" t="s">
        <v>1893</v>
      </c>
      <c r="Q38" s="934" t="s">
        <v>1893</v>
      </c>
      <c r="R38" s="933"/>
      <c r="S38" s="933"/>
      <c r="T38" s="933" t="s">
        <v>2029</v>
      </c>
      <c r="U38" s="941">
        <v>4</v>
      </c>
      <c r="V38" s="941">
        <v>4</v>
      </c>
      <c r="W38" s="933" t="s">
        <v>1893</v>
      </c>
      <c r="X38" s="945"/>
      <c r="Y38" s="933"/>
      <c r="Z38" s="933"/>
      <c r="AA38" s="933"/>
      <c r="AB38" s="933"/>
      <c r="AC38" s="933"/>
      <c r="AD38" s="933"/>
      <c r="AE38" s="933"/>
      <c r="AF38" s="933"/>
      <c r="AG38" s="933"/>
    </row>
    <row r="39" spans="1:33" ht="12.75">
      <c r="A39" s="933"/>
      <c r="B39" s="935"/>
      <c r="C39" s="935"/>
      <c r="D39" s="935"/>
      <c r="E39" s="935"/>
      <c r="F39" s="935"/>
      <c r="G39" s="935"/>
      <c r="H39" s="935"/>
      <c r="I39" s="935"/>
      <c r="J39" s="935"/>
      <c r="K39" s="933"/>
      <c r="L39" s="935"/>
      <c r="M39" s="935"/>
      <c r="N39" s="933"/>
      <c r="O39" s="933"/>
      <c r="P39" s="933"/>
      <c r="Q39" s="933"/>
      <c r="R39" s="933"/>
      <c r="S39" s="933"/>
      <c r="T39" s="933"/>
      <c r="U39" s="933"/>
      <c r="V39" s="933"/>
      <c r="W39" s="933"/>
      <c r="X39" s="945"/>
      <c r="Y39" s="933"/>
      <c r="Z39" s="933"/>
      <c r="AA39" s="933"/>
      <c r="AB39" s="933"/>
      <c r="AC39" s="933"/>
      <c r="AD39" s="933"/>
      <c r="AE39" s="933"/>
      <c r="AF39" s="933"/>
      <c r="AG39" s="933"/>
    </row>
    <row r="40" spans="1:33" ht="12.75">
      <c r="A40" s="943" t="s">
        <v>1917</v>
      </c>
      <c r="B40" s="943" t="s">
        <v>2028</v>
      </c>
      <c r="C40" s="943" t="s">
        <v>2027</v>
      </c>
      <c r="D40" s="943" t="s">
        <v>2026</v>
      </c>
      <c r="E40" s="943" t="s">
        <v>2025</v>
      </c>
      <c r="F40" s="943" t="s">
        <v>2024</v>
      </c>
      <c r="G40" s="943" t="s">
        <v>2023</v>
      </c>
      <c r="H40" s="943" t="s">
        <v>2022</v>
      </c>
      <c r="I40" s="943" t="s">
        <v>2021</v>
      </c>
      <c r="J40" s="943" t="s">
        <v>2020</v>
      </c>
      <c r="K40" s="943" t="s">
        <v>1917</v>
      </c>
      <c r="L40" s="943" t="s">
        <v>2019</v>
      </c>
      <c r="M40" s="943" t="s">
        <v>2018</v>
      </c>
      <c r="N40" s="943" t="s">
        <v>2017</v>
      </c>
      <c r="O40" s="943" t="s">
        <v>2016</v>
      </c>
      <c r="P40" s="943" t="s">
        <v>2015</v>
      </c>
      <c r="Q40" s="943" t="s">
        <v>2014</v>
      </c>
      <c r="R40" s="943" t="s">
        <v>2013</v>
      </c>
      <c r="S40" s="943" t="s">
        <v>2012</v>
      </c>
      <c r="T40" s="943" t="s">
        <v>2011</v>
      </c>
      <c r="U40" s="943" t="s">
        <v>2010</v>
      </c>
      <c r="V40" s="943" t="s">
        <v>2009</v>
      </c>
      <c r="W40" s="943" t="s">
        <v>2008</v>
      </c>
      <c r="X40" s="952"/>
      <c r="Y40" s="942"/>
      <c r="Z40" s="942"/>
      <c r="AA40" s="942"/>
      <c r="AB40" s="942"/>
      <c r="AC40" s="942"/>
      <c r="AD40" s="942"/>
      <c r="AE40" s="942"/>
      <c r="AF40" s="942"/>
      <c r="AG40" s="942"/>
    </row>
    <row r="41" spans="1:33" ht="14.25">
      <c r="A41" s="937"/>
      <c r="B41" s="935"/>
      <c r="C41" s="935"/>
      <c r="D41" s="935"/>
      <c r="E41" s="935"/>
      <c r="F41" s="935"/>
      <c r="G41" s="935"/>
      <c r="H41" s="935"/>
      <c r="I41" s="935"/>
      <c r="J41" s="935"/>
      <c r="K41" s="937"/>
      <c r="L41" s="935"/>
      <c r="M41" s="935"/>
      <c r="N41" s="933"/>
      <c r="O41" s="933"/>
      <c r="P41" s="933"/>
      <c r="Q41" s="933"/>
      <c r="R41" s="933"/>
      <c r="S41" s="933"/>
      <c r="T41" s="933"/>
      <c r="V41" s="933"/>
      <c r="W41" s="933"/>
      <c r="X41" s="945"/>
      <c r="Y41" s="933"/>
      <c r="Z41" s="933"/>
      <c r="AA41" s="933"/>
      <c r="AB41" s="933"/>
      <c r="AC41" s="933"/>
      <c r="AD41" s="933"/>
      <c r="AE41" s="933"/>
      <c r="AF41" s="933"/>
      <c r="AG41" s="933"/>
    </row>
    <row r="42" spans="1:33" ht="14.25">
      <c r="A42" s="939" t="s">
        <v>1901</v>
      </c>
      <c r="B42" s="935"/>
      <c r="C42" s="935"/>
      <c r="D42" s="935"/>
      <c r="E42" s="935"/>
      <c r="F42" s="935"/>
      <c r="G42" s="935"/>
      <c r="H42" s="935"/>
      <c r="I42" s="935"/>
      <c r="J42" s="935"/>
      <c r="K42" s="939" t="s">
        <v>1901</v>
      </c>
      <c r="L42" s="935"/>
      <c r="M42" s="935"/>
      <c r="N42" s="933"/>
      <c r="O42" s="933"/>
      <c r="P42" s="933"/>
      <c r="Q42" s="933"/>
      <c r="R42" s="933"/>
      <c r="S42" s="933"/>
      <c r="T42" s="933"/>
      <c r="V42" s="933"/>
      <c r="W42" s="933"/>
      <c r="X42" s="945"/>
      <c r="Y42" s="933"/>
      <c r="Z42" s="933"/>
      <c r="AA42" s="933"/>
      <c r="AB42" s="933"/>
      <c r="AC42" s="933"/>
      <c r="AD42" s="933"/>
      <c r="AE42" s="933"/>
      <c r="AF42" s="933"/>
      <c r="AG42" s="933"/>
    </row>
    <row r="43" spans="1:33" ht="14.25">
      <c r="A43" s="939"/>
      <c r="B43" s="935"/>
      <c r="C43" s="935"/>
      <c r="D43" s="935"/>
      <c r="E43" s="935"/>
      <c r="F43" s="935"/>
      <c r="G43" s="935"/>
      <c r="H43" s="935"/>
      <c r="I43" s="935"/>
      <c r="J43" s="935"/>
      <c r="K43" s="939"/>
      <c r="L43" s="935"/>
      <c r="M43" s="935"/>
      <c r="N43" s="933"/>
      <c r="O43" s="933"/>
      <c r="P43" s="933"/>
      <c r="Q43" s="933"/>
      <c r="R43" s="933"/>
      <c r="S43" s="933"/>
      <c r="T43" s="933"/>
      <c r="V43" s="933"/>
      <c r="W43" s="933"/>
      <c r="X43" s="945"/>
      <c r="Y43" s="933"/>
      <c r="Z43" s="933"/>
      <c r="AA43" s="933"/>
      <c r="AB43" s="933"/>
      <c r="AC43" s="933"/>
      <c r="AD43" s="933"/>
      <c r="AE43" s="933"/>
      <c r="AF43" s="933"/>
      <c r="AG43" s="933"/>
    </row>
    <row r="44" spans="1:33" ht="14.25">
      <c r="A44" s="940" t="s">
        <v>2007</v>
      </c>
      <c r="B44" s="934" t="s">
        <v>1893</v>
      </c>
      <c r="C44" s="934" t="s">
        <v>1893</v>
      </c>
      <c r="D44" s="934" t="s">
        <v>1893</v>
      </c>
      <c r="E44" s="934" t="s">
        <v>1893</v>
      </c>
      <c r="F44" s="934" t="s">
        <v>1893</v>
      </c>
      <c r="G44" s="934" t="s">
        <v>1893</v>
      </c>
      <c r="H44" s="934" t="s">
        <v>1893</v>
      </c>
      <c r="I44" s="934" t="s">
        <v>1893</v>
      </c>
      <c r="J44" s="934" t="s">
        <v>1893</v>
      </c>
      <c r="K44" s="940" t="s">
        <v>2007</v>
      </c>
      <c r="L44" s="934" t="s">
        <v>1893</v>
      </c>
      <c r="M44" s="934" t="s">
        <v>1893</v>
      </c>
      <c r="N44" s="934" t="s">
        <v>1893</v>
      </c>
      <c r="O44" s="934" t="s">
        <v>1893</v>
      </c>
      <c r="P44" s="934" t="s">
        <v>1893</v>
      </c>
      <c r="Q44" s="934" t="s">
        <v>1893</v>
      </c>
      <c r="R44" s="954"/>
      <c r="S44" s="954"/>
      <c r="T44" s="933"/>
      <c r="U44" s="934" t="s">
        <v>1893</v>
      </c>
      <c r="V44" s="934" t="s">
        <v>1893</v>
      </c>
      <c r="W44" s="934"/>
      <c r="X44" s="934"/>
      <c r="Y44" s="933"/>
      <c r="Z44" s="933"/>
      <c r="AA44" s="933"/>
      <c r="AB44" s="933"/>
      <c r="AC44" s="933"/>
      <c r="AD44" s="933"/>
      <c r="AE44" s="933"/>
      <c r="AF44" s="933"/>
      <c r="AG44" s="933"/>
    </row>
    <row r="45" spans="1:33" ht="14.25">
      <c r="A45" s="940"/>
      <c r="B45" s="934"/>
      <c r="C45" s="934"/>
      <c r="D45" s="934"/>
      <c r="E45" s="934"/>
      <c r="F45" s="934"/>
      <c r="G45" s="934"/>
      <c r="H45" s="934"/>
      <c r="I45" s="934"/>
      <c r="J45" s="934"/>
      <c r="K45" s="940"/>
      <c r="L45" s="934"/>
      <c r="M45" s="934"/>
      <c r="N45" s="934"/>
      <c r="O45" s="934"/>
      <c r="P45" s="934"/>
      <c r="Q45" s="934"/>
      <c r="R45" s="954"/>
      <c r="S45" s="954"/>
      <c r="T45" s="933"/>
      <c r="U45" s="934"/>
      <c r="V45" s="934"/>
      <c r="W45" s="934"/>
      <c r="X45" s="934"/>
      <c r="Y45" s="933"/>
      <c r="Z45" s="933"/>
      <c r="AA45" s="933"/>
      <c r="AB45" s="933"/>
      <c r="AC45" s="933"/>
      <c r="AD45" s="933"/>
      <c r="AE45" s="933"/>
      <c r="AF45" s="933"/>
      <c r="AG45" s="933"/>
    </row>
    <row r="46" spans="1:33" ht="14.25">
      <c r="A46" s="940" t="s">
        <v>2006</v>
      </c>
      <c r="B46" s="934" t="s">
        <v>1893</v>
      </c>
      <c r="C46" s="934" t="s">
        <v>1893</v>
      </c>
      <c r="D46" s="934" t="s">
        <v>1893</v>
      </c>
      <c r="E46" s="934" t="s">
        <v>1893</v>
      </c>
      <c r="F46" s="934" t="s">
        <v>1893</v>
      </c>
      <c r="G46" s="934" t="s">
        <v>1893</v>
      </c>
      <c r="H46" s="934" t="s">
        <v>1893</v>
      </c>
      <c r="I46" s="934" t="s">
        <v>1893</v>
      </c>
      <c r="J46" s="934" t="s">
        <v>1893</v>
      </c>
      <c r="K46" s="940" t="s">
        <v>2006</v>
      </c>
      <c r="L46" s="934" t="s">
        <v>1893</v>
      </c>
      <c r="M46" s="934" t="s">
        <v>1893</v>
      </c>
      <c r="N46" s="934" t="s">
        <v>1893</v>
      </c>
      <c r="O46" s="934" t="s">
        <v>1893</v>
      </c>
      <c r="P46" s="934" t="s">
        <v>1893</v>
      </c>
      <c r="Q46" s="934" t="s">
        <v>1893</v>
      </c>
      <c r="R46" s="954"/>
      <c r="S46" s="954"/>
      <c r="T46" s="933"/>
      <c r="U46" s="934" t="s">
        <v>1893</v>
      </c>
      <c r="V46" s="934" t="s">
        <v>1893</v>
      </c>
      <c r="W46" s="934" t="s">
        <v>2005</v>
      </c>
      <c r="X46" s="934"/>
      <c r="Y46" s="933"/>
      <c r="Z46" s="933"/>
      <c r="AA46" s="933"/>
      <c r="AB46" s="933"/>
      <c r="AC46" s="933"/>
      <c r="AD46" s="933"/>
      <c r="AE46" s="933"/>
      <c r="AF46" s="933"/>
      <c r="AG46" s="933"/>
    </row>
    <row r="47" spans="1:33" ht="14.25">
      <c r="A47" s="940"/>
      <c r="B47" s="934"/>
      <c r="C47" s="934"/>
      <c r="D47" s="934"/>
      <c r="E47" s="934"/>
      <c r="F47" s="934"/>
      <c r="G47" s="934"/>
      <c r="H47" s="934"/>
      <c r="I47" s="934"/>
      <c r="J47" s="934"/>
      <c r="K47" s="940"/>
      <c r="L47" s="934"/>
      <c r="M47" s="934"/>
      <c r="N47" s="934"/>
      <c r="O47" s="934"/>
      <c r="P47" s="934"/>
      <c r="Q47" s="934"/>
      <c r="R47" s="954"/>
      <c r="S47" s="954"/>
      <c r="T47" s="933"/>
      <c r="U47" s="934"/>
      <c r="V47" s="934"/>
      <c r="W47" s="934"/>
      <c r="X47" s="934"/>
      <c r="Y47" s="933"/>
      <c r="Z47" s="933"/>
      <c r="AA47" s="933"/>
      <c r="AB47" s="933"/>
      <c r="AC47" s="933"/>
      <c r="AD47" s="933"/>
      <c r="AE47" s="933"/>
      <c r="AF47" s="933"/>
      <c r="AG47" s="933"/>
    </row>
    <row r="48" spans="1:33" ht="14.25">
      <c r="A48" s="940" t="s">
        <v>1900</v>
      </c>
      <c r="B48" s="934" t="s">
        <v>1893</v>
      </c>
      <c r="C48" s="934" t="s">
        <v>1893</v>
      </c>
      <c r="D48" s="934" t="s">
        <v>1893</v>
      </c>
      <c r="E48" s="934" t="s">
        <v>1893</v>
      </c>
      <c r="F48" s="934" t="s">
        <v>1893</v>
      </c>
      <c r="G48" s="934" t="s">
        <v>1893</v>
      </c>
      <c r="H48" s="934" t="s">
        <v>1893</v>
      </c>
      <c r="I48" s="934" t="s">
        <v>1893</v>
      </c>
      <c r="J48" s="934" t="s">
        <v>1893</v>
      </c>
      <c r="K48" s="940" t="s">
        <v>1900</v>
      </c>
      <c r="L48" s="934" t="s">
        <v>1893</v>
      </c>
      <c r="M48" s="934" t="s">
        <v>1893</v>
      </c>
      <c r="N48" s="934" t="s">
        <v>1893</v>
      </c>
      <c r="O48" s="934" t="s">
        <v>1893</v>
      </c>
      <c r="P48" s="934" t="s">
        <v>1893</v>
      </c>
      <c r="Q48" s="934" t="s">
        <v>1893</v>
      </c>
      <c r="R48" s="954"/>
      <c r="S48" s="954"/>
      <c r="T48" s="933">
        <v>6</v>
      </c>
      <c r="U48" s="934" t="s">
        <v>1893</v>
      </c>
      <c r="V48" s="934" t="s">
        <v>1893</v>
      </c>
      <c r="W48" s="934" t="s">
        <v>1694</v>
      </c>
      <c r="X48" s="934"/>
      <c r="Y48" s="933"/>
      <c r="Z48" s="933"/>
      <c r="AA48" s="933"/>
      <c r="AB48" s="933"/>
      <c r="AC48" s="933"/>
      <c r="AD48" s="933"/>
      <c r="AE48" s="933"/>
      <c r="AF48" s="933"/>
      <c r="AG48" s="933"/>
    </row>
    <row r="49" spans="1:33" ht="14.25">
      <c r="A49" s="940"/>
      <c r="B49" s="934"/>
      <c r="C49" s="934"/>
      <c r="D49" s="934"/>
      <c r="E49" s="934"/>
      <c r="F49" s="934"/>
      <c r="G49" s="934"/>
      <c r="H49" s="934"/>
      <c r="I49" s="934"/>
      <c r="J49" s="934"/>
      <c r="K49" s="940"/>
      <c r="L49" s="934"/>
      <c r="M49" s="934"/>
      <c r="N49" s="934"/>
      <c r="O49" s="934"/>
      <c r="P49" s="934"/>
      <c r="Q49" s="934"/>
      <c r="R49" s="954"/>
      <c r="S49" s="954"/>
      <c r="T49" s="933"/>
      <c r="U49" s="934"/>
      <c r="V49" s="934"/>
      <c r="W49" s="934"/>
      <c r="X49" s="934"/>
      <c r="Y49" s="933"/>
      <c r="Z49" s="933"/>
      <c r="AA49" s="933"/>
      <c r="AB49" s="933"/>
      <c r="AC49" s="933"/>
      <c r="AD49" s="933"/>
      <c r="AE49" s="933"/>
      <c r="AF49" s="933"/>
      <c r="AG49" s="933"/>
    </row>
    <row r="50" spans="1:33" ht="14.25">
      <c r="A50" s="939" t="s">
        <v>1898</v>
      </c>
      <c r="B50" s="935"/>
      <c r="C50" s="935"/>
      <c r="D50" s="935"/>
      <c r="E50" s="935"/>
      <c r="F50" s="935"/>
      <c r="G50" s="935"/>
      <c r="H50" s="935"/>
      <c r="I50" s="935"/>
      <c r="J50" s="935"/>
      <c r="K50" s="939" t="s">
        <v>1898</v>
      </c>
      <c r="L50" s="935"/>
      <c r="M50" s="935"/>
      <c r="N50" s="935"/>
      <c r="O50" s="935"/>
      <c r="P50" s="935"/>
      <c r="Q50" s="935"/>
      <c r="R50" s="933"/>
      <c r="S50" s="933"/>
      <c r="T50" s="933"/>
      <c r="U50" s="935"/>
      <c r="V50" s="935"/>
      <c r="W50" s="935"/>
      <c r="X50" s="935"/>
      <c r="Y50" s="933"/>
      <c r="Z50" s="933"/>
      <c r="AA50" s="933"/>
      <c r="AB50" s="933"/>
      <c r="AC50" s="933"/>
      <c r="AD50" s="933"/>
      <c r="AE50" s="933"/>
      <c r="AF50" s="933"/>
      <c r="AG50" s="933"/>
    </row>
    <row r="51" spans="1:33" ht="14.25">
      <c r="A51" s="939"/>
      <c r="B51" s="935"/>
      <c r="C51" s="935"/>
      <c r="D51" s="935"/>
      <c r="E51" s="935"/>
      <c r="F51" s="935"/>
      <c r="G51" s="935"/>
      <c r="H51" s="935"/>
      <c r="I51" s="935"/>
      <c r="J51" s="935"/>
      <c r="K51" s="939"/>
      <c r="L51" s="935"/>
      <c r="M51" s="935"/>
      <c r="N51" s="935"/>
      <c r="O51" s="935"/>
      <c r="P51" s="935"/>
      <c r="Q51" s="935"/>
      <c r="R51" s="933"/>
      <c r="S51" s="933"/>
      <c r="T51" s="933"/>
      <c r="U51" s="935"/>
      <c r="V51" s="935"/>
      <c r="W51" s="935"/>
      <c r="X51" s="935"/>
      <c r="Y51" s="933"/>
      <c r="Z51" s="933"/>
      <c r="AA51" s="933"/>
      <c r="AB51" s="933"/>
      <c r="AC51" s="933"/>
      <c r="AD51" s="933"/>
      <c r="AE51" s="933"/>
      <c r="AF51" s="933"/>
      <c r="AG51" s="933"/>
    </row>
    <row r="52" spans="1:33" ht="14.25">
      <c r="A52" s="937" t="s">
        <v>1897</v>
      </c>
      <c r="B52" s="934" t="s">
        <v>1893</v>
      </c>
      <c r="C52" s="934" t="s">
        <v>1893</v>
      </c>
      <c r="D52" s="934" t="s">
        <v>1893</v>
      </c>
      <c r="E52" s="934" t="s">
        <v>1893</v>
      </c>
      <c r="F52" s="934" t="s">
        <v>1893</v>
      </c>
      <c r="G52" s="934" t="s">
        <v>1893</v>
      </c>
      <c r="H52" s="934" t="s">
        <v>1893</v>
      </c>
      <c r="I52" s="934" t="s">
        <v>1893</v>
      </c>
      <c r="J52" s="934" t="s">
        <v>1893</v>
      </c>
      <c r="K52" s="937" t="s">
        <v>1897</v>
      </c>
      <c r="L52" s="934" t="s">
        <v>1893</v>
      </c>
      <c r="M52" s="934" t="s">
        <v>1893</v>
      </c>
      <c r="N52" s="934" t="s">
        <v>1893</v>
      </c>
      <c r="O52" s="934" t="s">
        <v>1893</v>
      </c>
      <c r="P52" s="934" t="s">
        <v>1893</v>
      </c>
      <c r="Q52" s="934" t="s">
        <v>1893</v>
      </c>
      <c r="R52" s="954"/>
      <c r="S52" s="954"/>
      <c r="T52" s="933"/>
      <c r="U52" s="934" t="s">
        <v>1893</v>
      </c>
      <c r="V52" s="934" t="s">
        <v>1893</v>
      </c>
      <c r="W52" s="934" t="s">
        <v>1939</v>
      </c>
      <c r="X52" s="934"/>
      <c r="Y52" s="933"/>
      <c r="Z52" s="933"/>
      <c r="AA52" s="933"/>
      <c r="AB52" s="933"/>
      <c r="AC52" s="933"/>
      <c r="AD52" s="933"/>
      <c r="AE52" s="933"/>
      <c r="AF52" s="933"/>
      <c r="AG52" s="933"/>
    </row>
    <row r="53" spans="1:33" ht="14.25">
      <c r="A53" s="937"/>
      <c r="B53" s="934"/>
      <c r="C53" s="934"/>
      <c r="D53" s="934"/>
      <c r="E53" s="934"/>
      <c r="F53" s="934"/>
      <c r="G53" s="934"/>
      <c r="H53" s="934"/>
      <c r="I53" s="934"/>
      <c r="J53" s="934"/>
      <c r="K53" s="937"/>
      <c r="L53" s="934"/>
      <c r="M53" s="934"/>
      <c r="N53" s="934"/>
      <c r="O53" s="934"/>
      <c r="P53" s="934"/>
      <c r="Q53" s="934"/>
      <c r="R53" s="954"/>
      <c r="S53" s="954"/>
      <c r="T53" s="933"/>
      <c r="U53" s="934"/>
      <c r="V53" s="934"/>
      <c r="W53" s="934"/>
      <c r="X53" s="934"/>
      <c r="Y53" s="933"/>
      <c r="Z53" s="933"/>
      <c r="AA53" s="933"/>
      <c r="AB53" s="933"/>
      <c r="AC53" s="933"/>
      <c r="AD53" s="933"/>
      <c r="AE53" s="933"/>
      <c r="AF53" s="933"/>
      <c r="AG53" s="933"/>
    </row>
    <row r="54" spans="1:33" ht="14.25">
      <c r="A54" s="937" t="s">
        <v>1896</v>
      </c>
      <c r="B54" s="934" t="s">
        <v>1893</v>
      </c>
      <c r="C54" s="934" t="s">
        <v>1893</v>
      </c>
      <c r="D54" s="934" t="s">
        <v>1893</v>
      </c>
      <c r="E54" s="934" t="s">
        <v>1893</v>
      </c>
      <c r="F54" s="934" t="s">
        <v>1893</v>
      </c>
      <c r="G54" s="934" t="s">
        <v>1893</v>
      </c>
      <c r="H54" s="934" t="s">
        <v>1893</v>
      </c>
      <c r="I54" s="934" t="s">
        <v>1893</v>
      </c>
      <c r="J54" s="934" t="s">
        <v>1893</v>
      </c>
      <c r="K54" s="937" t="s">
        <v>1896</v>
      </c>
      <c r="L54" s="934" t="s">
        <v>1893</v>
      </c>
      <c r="M54" s="934" t="s">
        <v>1893</v>
      </c>
      <c r="N54" s="934" t="s">
        <v>1893</v>
      </c>
      <c r="O54" s="934" t="s">
        <v>1893</v>
      </c>
      <c r="P54" s="934" t="s">
        <v>1893</v>
      </c>
      <c r="Q54" s="934" t="s">
        <v>1893</v>
      </c>
      <c r="R54" s="954"/>
      <c r="S54" s="954"/>
      <c r="T54" s="933"/>
      <c r="U54" s="934" t="s">
        <v>1893</v>
      </c>
      <c r="V54" s="934" t="s">
        <v>1893</v>
      </c>
      <c r="W54" s="934" t="s">
        <v>2004</v>
      </c>
      <c r="X54" s="934"/>
      <c r="Y54" s="933"/>
      <c r="Z54" s="933"/>
      <c r="AA54" s="933"/>
      <c r="AB54" s="933"/>
      <c r="AC54" s="933"/>
      <c r="AD54" s="933"/>
      <c r="AE54" s="933"/>
      <c r="AF54" s="933"/>
      <c r="AG54" s="933"/>
    </row>
    <row r="55" spans="1:33" ht="12.75">
      <c r="A55" s="933"/>
      <c r="B55" s="935"/>
      <c r="C55" s="935"/>
      <c r="D55" s="935"/>
      <c r="E55" s="935"/>
      <c r="F55" s="935"/>
      <c r="G55" s="935"/>
      <c r="H55" s="935"/>
      <c r="I55" s="935"/>
      <c r="J55" s="935"/>
      <c r="K55" s="933"/>
      <c r="L55" s="935"/>
      <c r="M55" s="935"/>
      <c r="N55" s="935"/>
      <c r="O55" s="935"/>
      <c r="P55" s="935"/>
      <c r="Q55" s="935"/>
      <c r="R55" s="933"/>
      <c r="S55" s="933"/>
      <c r="T55" s="933"/>
      <c r="U55" s="935"/>
      <c r="V55" s="935"/>
      <c r="W55" s="935"/>
      <c r="X55" s="935"/>
      <c r="Y55" s="933"/>
      <c r="Z55" s="933"/>
      <c r="AA55" s="933"/>
      <c r="AB55" s="933"/>
      <c r="AC55" s="933"/>
      <c r="AD55" s="933"/>
      <c r="AE55" s="933"/>
      <c r="AF55" s="933"/>
      <c r="AG55" s="933"/>
    </row>
    <row r="56" spans="1:33" ht="14.25">
      <c r="A56" s="937" t="s">
        <v>1894</v>
      </c>
      <c r="B56" s="934" t="s">
        <v>1893</v>
      </c>
      <c r="C56" s="934" t="s">
        <v>1893</v>
      </c>
      <c r="D56" s="934" t="s">
        <v>1893</v>
      </c>
      <c r="E56" s="934" t="s">
        <v>1893</v>
      </c>
      <c r="F56" s="934" t="s">
        <v>1893</v>
      </c>
      <c r="G56" s="934" t="s">
        <v>1893</v>
      </c>
      <c r="H56" s="934" t="s">
        <v>1893</v>
      </c>
      <c r="I56" s="934" t="s">
        <v>1893</v>
      </c>
      <c r="J56" s="934" t="s">
        <v>1893</v>
      </c>
      <c r="K56" s="937" t="s">
        <v>1894</v>
      </c>
      <c r="L56" s="934" t="s">
        <v>1893</v>
      </c>
      <c r="M56" s="934" t="s">
        <v>1893</v>
      </c>
      <c r="N56" s="934" t="s">
        <v>1893</v>
      </c>
      <c r="O56" s="934" t="s">
        <v>1893</v>
      </c>
      <c r="P56" s="934" t="s">
        <v>1893</v>
      </c>
      <c r="Q56" s="934" t="s">
        <v>1893</v>
      </c>
      <c r="R56" s="954"/>
      <c r="S56" s="954"/>
      <c r="T56" s="933"/>
      <c r="U56" s="934" t="s">
        <v>1893</v>
      </c>
      <c r="V56" s="934" t="s">
        <v>1893</v>
      </c>
      <c r="W56" s="934" t="s">
        <v>2003</v>
      </c>
      <c r="X56" s="934"/>
      <c r="Y56" s="933"/>
      <c r="Z56" s="933"/>
      <c r="AA56" s="933"/>
      <c r="AB56" s="933"/>
      <c r="AC56" s="933"/>
      <c r="AD56" s="933"/>
      <c r="AE56" s="933"/>
      <c r="AF56" s="933"/>
      <c r="AG56" s="933"/>
    </row>
    <row r="57" spans="1:33" ht="12.75">
      <c r="A57" s="933"/>
      <c r="B57" s="933"/>
      <c r="C57" s="933"/>
      <c r="D57" s="933"/>
      <c r="E57" s="933"/>
      <c r="F57" s="933"/>
      <c r="G57" s="933"/>
      <c r="H57" s="933"/>
      <c r="I57" s="933"/>
      <c r="J57" s="933"/>
      <c r="K57" s="933"/>
      <c r="L57" s="933"/>
      <c r="M57" s="933"/>
      <c r="N57" s="933"/>
      <c r="O57" s="933"/>
      <c r="P57" s="933"/>
      <c r="Q57" s="933"/>
      <c r="R57" s="933"/>
      <c r="S57" s="933"/>
      <c r="T57" s="933"/>
      <c r="V57" s="933"/>
      <c r="W57" s="933"/>
      <c r="X57" s="945"/>
      <c r="Y57" s="933"/>
      <c r="Z57" s="933"/>
      <c r="AA57" s="933"/>
      <c r="AB57" s="933"/>
      <c r="AC57" s="933"/>
      <c r="AD57" s="933"/>
      <c r="AE57" s="933"/>
      <c r="AF57" s="933"/>
      <c r="AG57" s="933"/>
    </row>
    <row r="58" spans="1:33" ht="12.75">
      <c r="A58" s="933"/>
      <c r="B58" s="933"/>
      <c r="C58" s="933"/>
      <c r="D58" s="933"/>
      <c r="E58" s="933"/>
      <c r="F58" s="933"/>
      <c r="G58" s="933" t="s">
        <v>2002</v>
      </c>
      <c r="H58" s="933"/>
      <c r="I58" s="933"/>
      <c r="J58" s="933"/>
      <c r="K58" s="933"/>
      <c r="L58" s="933"/>
      <c r="M58" s="933"/>
      <c r="N58" s="933"/>
      <c r="O58" s="933"/>
      <c r="P58" s="933"/>
      <c r="Q58" s="933"/>
      <c r="R58" s="933"/>
      <c r="S58" s="933"/>
      <c r="T58" s="933"/>
      <c r="V58" s="933"/>
      <c r="W58" s="933"/>
      <c r="X58" s="945"/>
      <c r="Y58" s="933"/>
      <c r="Z58" s="933"/>
      <c r="AA58" s="933"/>
      <c r="AB58" s="933"/>
      <c r="AC58" s="933"/>
      <c r="AD58" s="933"/>
      <c r="AE58" s="933"/>
      <c r="AF58" s="933"/>
      <c r="AG58" s="933"/>
    </row>
    <row r="59" spans="1:33" ht="12.75">
      <c r="A59" s="933"/>
      <c r="B59" s="933"/>
      <c r="C59" s="933"/>
      <c r="D59" s="933"/>
      <c r="E59" s="933"/>
      <c r="F59" s="933"/>
      <c r="G59" s="933"/>
      <c r="H59" s="933"/>
      <c r="I59" s="933"/>
      <c r="J59" s="933"/>
      <c r="K59" s="933"/>
      <c r="L59" s="933"/>
      <c r="M59" s="933"/>
      <c r="N59" s="933"/>
      <c r="O59" s="933"/>
      <c r="P59" s="933"/>
      <c r="Q59" s="933"/>
      <c r="R59" s="933"/>
      <c r="S59" s="933"/>
      <c r="T59" s="933"/>
      <c r="V59" s="933"/>
      <c r="W59" s="933"/>
      <c r="X59" s="945"/>
      <c r="Y59" s="933"/>
      <c r="Z59" s="933"/>
      <c r="AA59" s="933"/>
      <c r="AB59" s="933"/>
      <c r="AC59" s="933"/>
      <c r="AD59" s="933"/>
      <c r="AE59" s="933"/>
      <c r="AF59" s="933"/>
      <c r="AG59" s="933"/>
    </row>
    <row r="60" spans="1:33" ht="12.75">
      <c r="A60" s="933"/>
      <c r="B60" s="933"/>
      <c r="C60" s="933"/>
      <c r="D60" s="933"/>
      <c r="E60" s="933"/>
      <c r="F60" s="933"/>
      <c r="G60" s="933"/>
      <c r="H60" s="933"/>
      <c r="I60" s="933"/>
      <c r="J60" s="933"/>
      <c r="K60" s="933"/>
      <c r="L60" s="933"/>
      <c r="M60" s="933"/>
      <c r="N60" s="933"/>
      <c r="O60" s="933"/>
      <c r="P60" s="933"/>
      <c r="Q60" s="933"/>
      <c r="R60" s="933"/>
      <c r="S60" s="933"/>
      <c r="T60" s="933"/>
      <c r="V60" s="933"/>
      <c r="W60" s="933"/>
      <c r="X60" s="945"/>
      <c r="Y60" s="933"/>
      <c r="Z60" s="933"/>
      <c r="AA60" s="933"/>
      <c r="AB60" s="933"/>
      <c r="AC60" s="933"/>
      <c r="AD60" s="933"/>
      <c r="AE60" s="933"/>
      <c r="AF60" s="933"/>
      <c r="AG60" s="933"/>
    </row>
    <row r="61" spans="1:33" ht="12.75">
      <c r="A61" s="933"/>
      <c r="B61" s="933"/>
      <c r="C61" s="933"/>
      <c r="D61" s="933"/>
      <c r="E61" s="933"/>
      <c r="F61" s="933"/>
      <c r="G61" s="933"/>
      <c r="H61" s="933"/>
      <c r="I61" s="933"/>
      <c r="J61" s="933"/>
      <c r="K61" s="933"/>
      <c r="L61" s="933"/>
      <c r="M61" s="933"/>
      <c r="N61" s="933"/>
      <c r="O61" s="933"/>
      <c r="P61" s="933"/>
      <c r="Q61" s="933"/>
      <c r="R61" s="933"/>
      <c r="S61" s="933"/>
      <c r="T61" s="933"/>
      <c r="V61" s="933"/>
      <c r="W61" s="933"/>
      <c r="X61" s="945"/>
      <c r="Y61" s="933"/>
      <c r="Z61" s="933"/>
      <c r="AA61" s="933"/>
      <c r="AB61" s="933"/>
      <c r="AC61" s="933"/>
      <c r="AD61" s="933"/>
      <c r="AE61" s="933"/>
      <c r="AF61" s="933"/>
      <c r="AG61" s="933"/>
    </row>
    <row r="62" spans="1:33" ht="12.75">
      <c r="A62" s="933"/>
      <c r="B62" s="933"/>
      <c r="C62" s="933"/>
      <c r="D62" s="933"/>
      <c r="E62" s="933"/>
      <c r="F62" s="933"/>
      <c r="G62" s="933"/>
      <c r="H62" s="933"/>
      <c r="I62" s="933"/>
      <c r="J62" s="933"/>
      <c r="K62" s="933"/>
      <c r="L62" s="933"/>
      <c r="M62" s="933"/>
      <c r="N62" s="933"/>
      <c r="O62" s="933"/>
      <c r="P62" s="933"/>
      <c r="Q62" s="933"/>
      <c r="R62" s="933"/>
      <c r="S62" s="933"/>
      <c r="T62" s="933"/>
      <c r="V62" s="933"/>
      <c r="W62" s="933"/>
      <c r="X62" s="945"/>
      <c r="Y62" s="933"/>
      <c r="Z62" s="933"/>
      <c r="AA62" s="933"/>
      <c r="AB62" s="933"/>
      <c r="AC62" s="933"/>
      <c r="AD62" s="933"/>
      <c r="AE62" s="933"/>
      <c r="AF62" s="933"/>
      <c r="AG62" s="933"/>
    </row>
    <row r="63" spans="1:33" ht="12.75">
      <c r="A63" s="933"/>
      <c r="B63" s="933"/>
      <c r="C63" s="933"/>
      <c r="D63" s="933"/>
      <c r="E63" s="933"/>
      <c r="F63" s="933"/>
      <c r="G63" s="933"/>
      <c r="H63" s="933"/>
      <c r="I63" s="933"/>
      <c r="J63" s="933"/>
      <c r="K63" s="933"/>
      <c r="L63" s="933"/>
      <c r="M63" s="933"/>
      <c r="N63" s="933"/>
      <c r="O63" s="933"/>
      <c r="P63" s="933"/>
      <c r="Q63" s="933"/>
      <c r="R63" s="933"/>
      <c r="S63" s="933"/>
      <c r="T63" s="933"/>
      <c r="V63" s="933"/>
      <c r="W63" s="933"/>
      <c r="X63" s="945"/>
      <c r="Y63" s="933"/>
      <c r="Z63" s="933"/>
      <c r="AA63" s="933"/>
      <c r="AB63" s="933"/>
      <c r="AC63" s="933"/>
      <c r="AD63" s="933"/>
      <c r="AE63" s="933"/>
      <c r="AF63" s="933"/>
      <c r="AG63" s="933"/>
    </row>
    <row r="64" spans="1:33" ht="12.75">
      <c r="A64" s="933"/>
      <c r="B64" s="933"/>
      <c r="C64" s="933"/>
      <c r="D64" s="933"/>
      <c r="E64" s="933"/>
      <c r="F64" s="933"/>
      <c r="G64" s="933"/>
      <c r="H64" s="933"/>
      <c r="I64" s="933"/>
      <c r="J64" s="933"/>
      <c r="K64" s="933"/>
      <c r="L64" s="933"/>
      <c r="M64" s="933"/>
      <c r="N64" s="933"/>
      <c r="O64" s="933"/>
      <c r="P64" s="933"/>
      <c r="Q64" s="933"/>
      <c r="R64" s="933"/>
      <c r="S64" s="933"/>
      <c r="T64" s="933"/>
      <c r="V64" s="933"/>
      <c r="W64" s="933"/>
      <c r="X64" s="945"/>
      <c r="Y64" s="933"/>
      <c r="Z64" s="933"/>
      <c r="AA64" s="933"/>
      <c r="AB64" s="933"/>
      <c r="AC64" s="933"/>
      <c r="AD64" s="933"/>
      <c r="AE64" s="933"/>
      <c r="AF64" s="933"/>
      <c r="AG64" s="933"/>
    </row>
    <row r="65" spans="1:33" ht="12.75">
      <c r="A65" s="933"/>
      <c r="B65" s="933"/>
      <c r="C65" s="933"/>
      <c r="D65" s="933"/>
      <c r="E65" s="933"/>
      <c r="F65" s="933"/>
      <c r="G65" s="933"/>
      <c r="H65" s="933"/>
      <c r="I65" s="933"/>
      <c r="J65" s="933"/>
      <c r="K65" s="933"/>
      <c r="L65" s="933"/>
      <c r="M65" s="933"/>
      <c r="N65" s="933"/>
      <c r="O65" s="933"/>
      <c r="P65" s="933"/>
      <c r="Q65" s="933"/>
      <c r="R65" s="933"/>
      <c r="S65" s="933"/>
      <c r="T65" s="933"/>
      <c r="V65" s="933"/>
      <c r="W65" s="933"/>
      <c r="X65" s="945"/>
      <c r="Y65" s="933"/>
      <c r="Z65" s="933"/>
      <c r="AA65" s="933"/>
      <c r="AB65" s="933"/>
      <c r="AC65" s="933"/>
      <c r="AD65" s="933"/>
      <c r="AE65" s="933"/>
      <c r="AF65" s="933"/>
      <c r="AG65" s="933"/>
    </row>
    <row r="66" spans="1:33" ht="12.75">
      <c r="A66" s="933"/>
      <c r="B66" s="933"/>
      <c r="C66" s="933"/>
      <c r="D66" s="933"/>
      <c r="E66" s="933"/>
      <c r="F66" s="933"/>
      <c r="G66" s="933"/>
      <c r="H66" s="933"/>
      <c r="I66" s="933"/>
      <c r="J66" s="933"/>
      <c r="K66" s="933"/>
      <c r="L66" s="933"/>
      <c r="M66" s="933"/>
      <c r="N66" s="933"/>
      <c r="O66" s="933"/>
      <c r="P66" s="933"/>
      <c r="Q66" s="933"/>
      <c r="R66" s="933"/>
      <c r="S66" s="933"/>
      <c r="T66" s="933"/>
      <c r="V66" s="933"/>
      <c r="W66" s="933"/>
      <c r="X66" s="945"/>
      <c r="Y66" s="933"/>
      <c r="Z66" s="933"/>
      <c r="AA66" s="933"/>
      <c r="AB66" s="933"/>
      <c r="AC66" s="933"/>
      <c r="AD66" s="933"/>
      <c r="AE66" s="933"/>
      <c r="AF66" s="933"/>
      <c r="AG66" s="933"/>
    </row>
    <row r="67" spans="1:33" ht="12.75">
      <c r="A67" s="933"/>
      <c r="B67" s="933"/>
      <c r="C67" s="933"/>
      <c r="D67" s="933"/>
      <c r="E67" s="933"/>
      <c r="F67" s="933"/>
      <c r="G67" s="933"/>
      <c r="H67" s="933"/>
      <c r="I67" s="933"/>
      <c r="J67" s="933"/>
      <c r="K67" s="933"/>
      <c r="L67" s="933"/>
      <c r="M67" s="933"/>
      <c r="N67" s="933"/>
      <c r="O67" s="933"/>
      <c r="P67" s="933"/>
      <c r="Q67" s="933"/>
      <c r="R67" s="933"/>
      <c r="S67" s="933"/>
      <c r="T67" s="933"/>
      <c r="V67" s="933"/>
      <c r="W67" s="933"/>
      <c r="X67" s="945"/>
      <c r="Y67" s="933"/>
      <c r="Z67" s="933"/>
      <c r="AA67" s="933"/>
      <c r="AB67" s="933"/>
      <c r="AC67" s="933"/>
      <c r="AD67" s="933"/>
      <c r="AE67" s="933"/>
      <c r="AF67" s="933"/>
      <c r="AG67" s="933"/>
    </row>
    <row r="68" spans="1:33" ht="12.75">
      <c r="A68" s="933"/>
      <c r="B68" s="933"/>
      <c r="C68" s="933"/>
      <c r="D68" s="933"/>
      <c r="E68" s="933"/>
      <c r="F68" s="933"/>
      <c r="G68" s="933"/>
      <c r="H68" s="933"/>
      <c r="I68" s="933"/>
      <c r="J68" s="933"/>
      <c r="K68" s="933"/>
      <c r="L68" s="933"/>
      <c r="M68" s="933"/>
      <c r="N68" s="933"/>
      <c r="O68" s="933"/>
      <c r="P68" s="933"/>
      <c r="Q68" s="933"/>
      <c r="R68" s="933"/>
      <c r="S68" s="933"/>
      <c r="T68" s="933"/>
      <c r="V68" s="933"/>
      <c r="W68" s="933"/>
      <c r="X68" s="945"/>
      <c r="Y68" s="933"/>
      <c r="Z68" s="933"/>
      <c r="AA68" s="933"/>
      <c r="AB68" s="933"/>
      <c r="AC68" s="933"/>
      <c r="AD68" s="933"/>
      <c r="AE68" s="933"/>
      <c r="AF68" s="933"/>
      <c r="AG68" s="933"/>
    </row>
    <row r="69" spans="1:33" ht="12.75">
      <c r="A69" s="933"/>
      <c r="B69" s="933"/>
      <c r="C69" s="933"/>
      <c r="D69" s="933"/>
      <c r="E69" s="933"/>
      <c r="F69" s="933"/>
      <c r="G69" s="933"/>
      <c r="H69" s="933"/>
      <c r="I69" s="933"/>
      <c r="J69" s="933"/>
      <c r="K69" s="933"/>
      <c r="L69" s="933"/>
      <c r="M69" s="933"/>
      <c r="N69" s="933"/>
      <c r="O69" s="933"/>
      <c r="P69" s="933"/>
      <c r="Q69" s="933"/>
      <c r="R69" s="933"/>
      <c r="S69" s="933"/>
      <c r="T69" s="933"/>
      <c r="V69" s="933"/>
      <c r="W69" s="933"/>
      <c r="X69" s="945"/>
      <c r="Y69" s="933"/>
      <c r="Z69" s="933"/>
      <c r="AA69" s="933"/>
      <c r="AB69" s="933"/>
      <c r="AC69" s="933"/>
      <c r="AD69" s="933"/>
      <c r="AE69" s="933"/>
      <c r="AF69" s="933"/>
      <c r="AG69" s="933"/>
    </row>
    <row r="70" spans="1:33" ht="12.75">
      <c r="A70" s="933"/>
      <c r="B70" s="933"/>
      <c r="C70" s="933"/>
      <c r="D70" s="933"/>
      <c r="E70" s="933"/>
      <c r="F70" s="933"/>
      <c r="G70" s="933"/>
      <c r="H70" s="933"/>
      <c r="I70" s="933"/>
      <c r="J70" s="933"/>
      <c r="K70" s="933"/>
      <c r="L70" s="933"/>
      <c r="M70" s="933"/>
      <c r="N70" s="933"/>
      <c r="O70" s="933"/>
      <c r="P70" s="933"/>
      <c r="Q70" s="933"/>
      <c r="R70" s="933"/>
      <c r="S70" s="933"/>
      <c r="T70" s="933"/>
      <c r="V70" s="933"/>
      <c r="W70" s="933"/>
      <c r="X70" s="945"/>
      <c r="Y70" s="933"/>
      <c r="Z70" s="933"/>
      <c r="AA70" s="933"/>
      <c r="AB70" s="933"/>
      <c r="AC70" s="933"/>
      <c r="AD70" s="933"/>
      <c r="AE70" s="933"/>
      <c r="AF70" s="933"/>
      <c r="AG70" s="933"/>
    </row>
    <row r="71" spans="1:33" ht="12.75">
      <c r="A71" s="933"/>
      <c r="B71" s="933"/>
      <c r="C71" s="933"/>
      <c r="D71" s="933"/>
      <c r="E71" s="933"/>
      <c r="F71" s="933"/>
      <c r="G71" s="933"/>
      <c r="H71" s="933"/>
      <c r="I71" s="933"/>
      <c r="J71" s="933"/>
      <c r="K71" s="933"/>
      <c r="L71" s="933"/>
      <c r="M71" s="933"/>
      <c r="N71" s="933"/>
      <c r="O71" s="933"/>
      <c r="P71" s="933"/>
      <c r="Q71" s="933"/>
      <c r="R71" s="933"/>
      <c r="S71" s="933"/>
      <c r="T71" s="933"/>
      <c r="V71" s="933"/>
      <c r="W71" s="933"/>
      <c r="X71" s="945"/>
      <c r="Y71" s="933"/>
      <c r="Z71" s="933"/>
      <c r="AA71" s="933"/>
      <c r="AB71" s="933"/>
      <c r="AC71" s="933"/>
      <c r="AD71" s="933"/>
      <c r="AE71" s="933"/>
      <c r="AF71" s="933"/>
      <c r="AG71" s="933"/>
    </row>
    <row r="72" spans="1:33" ht="12.75">
      <c r="A72" s="933"/>
      <c r="B72" s="933"/>
      <c r="C72" s="933"/>
      <c r="D72" s="933"/>
      <c r="E72" s="933"/>
      <c r="F72" s="933"/>
      <c r="G72" s="933"/>
      <c r="H72" s="933"/>
      <c r="I72" s="933"/>
      <c r="J72" s="933"/>
      <c r="K72" s="933"/>
      <c r="L72" s="933"/>
      <c r="M72" s="933"/>
      <c r="N72" s="933"/>
      <c r="O72" s="933"/>
      <c r="P72" s="933"/>
      <c r="Q72" s="933"/>
      <c r="R72" s="933"/>
      <c r="S72" s="933"/>
      <c r="T72" s="933"/>
      <c r="V72" s="933"/>
      <c r="W72" s="933"/>
      <c r="X72" s="945"/>
      <c r="Y72" s="933"/>
      <c r="Z72" s="933"/>
      <c r="AA72" s="933"/>
      <c r="AB72" s="933"/>
      <c r="AC72" s="933"/>
      <c r="AD72" s="933"/>
      <c r="AE72" s="933"/>
      <c r="AF72" s="933"/>
      <c r="AG72" s="933"/>
    </row>
    <row r="73" spans="1:33" ht="12.75">
      <c r="A73" s="933"/>
      <c r="B73" s="933"/>
      <c r="C73" s="933"/>
      <c r="D73" s="933"/>
      <c r="E73" s="933"/>
      <c r="F73" s="933"/>
      <c r="G73" s="933"/>
      <c r="H73" s="933"/>
      <c r="I73" s="933"/>
      <c r="J73" s="933"/>
      <c r="K73" s="933"/>
      <c r="L73" s="933"/>
      <c r="M73" s="933"/>
      <c r="N73" s="933"/>
      <c r="O73" s="933"/>
      <c r="P73" s="933"/>
      <c r="Q73" s="933"/>
      <c r="R73" s="933"/>
      <c r="S73" s="933"/>
      <c r="T73" s="933"/>
      <c r="V73" s="933"/>
      <c r="W73" s="933"/>
      <c r="X73" s="945"/>
      <c r="Y73" s="933"/>
      <c r="Z73" s="933"/>
      <c r="AA73" s="933"/>
      <c r="AB73" s="933"/>
      <c r="AC73" s="933"/>
      <c r="AD73" s="933"/>
      <c r="AE73" s="933"/>
      <c r="AF73" s="933"/>
      <c r="AG73" s="933"/>
    </row>
    <row r="74" spans="1:33" ht="12.75">
      <c r="A74" s="933"/>
      <c r="B74" s="933"/>
      <c r="C74" s="933"/>
      <c r="D74" s="933"/>
      <c r="E74" s="933"/>
      <c r="F74" s="933"/>
      <c r="G74" s="933"/>
      <c r="H74" s="933"/>
      <c r="I74" s="933"/>
      <c r="J74" s="933"/>
      <c r="K74" s="933"/>
      <c r="L74" s="933"/>
      <c r="M74" s="933"/>
      <c r="N74" s="933"/>
      <c r="O74" s="933"/>
      <c r="P74" s="933"/>
      <c r="Q74" s="933"/>
      <c r="R74" s="933"/>
      <c r="S74" s="933"/>
      <c r="T74" s="933"/>
      <c r="V74" s="933"/>
      <c r="W74" s="933"/>
      <c r="X74" s="945"/>
      <c r="Y74" s="933"/>
      <c r="Z74" s="933"/>
      <c r="AA74" s="933"/>
      <c r="AB74" s="933"/>
      <c r="AC74" s="933"/>
      <c r="AD74" s="933"/>
      <c r="AE74" s="933"/>
      <c r="AF74" s="933"/>
      <c r="AG74" s="933"/>
    </row>
    <row r="75" spans="1:33" ht="12.75">
      <c r="A75" s="933"/>
      <c r="B75" s="933"/>
      <c r="C75" s="933"/>
      <c r="D75" s="933"/>
      <c r="E75" s="933"/>
      <c r="F75" s="933"/>
      <c r="G75" s="933"/>
      <c r="H75" s="933"/>
      <c r="I75" s="933"/>
      <c r="J75" s="933"/>
      <c r="K75" s="933"/>
      <c r="L75" s="933"/>
      <c r="M75" s="933"/>
      <c r="N75" s="933"/>
      <c r="O75" s="933"/>
      <c r="P75" s="933"/>
      <c r="Q75" s="933"/>
      <c r="R75" s="933"/>
      <c r="S75" s="933"/>
      <c r="T75" s="933"/>
      <c r="V75" s="933"/>
      <c r="W75" s="933"/>
      <c r="X75" s="945"/>
      <c r="Y75" s="933"/>
      <c r="Z75" s="933"/>
      <c r="AA75" s="933"/>
      <c r="AB75" s="933"/>
      <c r="AC75" s="933"/>
      <c r="AD75" s="933"/>
      <c r="AE75" s="933"/>
      <c r="AF75" s="933"/>
      <c r="AG75" s="933"/>
    </row>
    <row r="76" spans="1:33" ht="12.75">
      <c r="A76" s="933"/>
      <c r="B76" s="933"/>
      <c r="C76" s="933"/>
      <c r="D76" s="933"/>
      <c r="E76" s="933"/>
      <c r="F76" s="933"/>
      <c r="G76" s="933"/>
      <c r="H76" s="933"/>
      <c r="I76" s="933"/>
      <c r="J76" s="933"/>
      <c r="K76" s="933"/>
      <c r="L76" s="933"/>
      <c r="M76" s="933"/>
      <c r="N76" s="933"/>
      <c r="O76" s="933"/>
      <c r="P76" s="933"/>
      <c r="Q76" s="933"/>
      <c r="R76" s="933"/>
      <c r="S76" s="933"/>
      <c r="T76" s="933"/>
      <c r="V76" s="933"/>
      <c r="W76" s="933"/>
      <c r="X76" s="945"/>
      <c r="Y76" s="933"/>
      <c r="Z76" s="933"/>
      <c r="AA76" s="933"/>
      <c r="AB76" s="933"/>
      <c r="AC76" s="933"/>
      <c r="AD76" s="933"/>
      <c r="AE76" s="933"/>
      <c r="AF76" s="933"/>
      <c r="AG76" s="933"/>
    </row>
    <row r="77" spans="1:33" ht="12.75">
      <c r="A77" s="933"/>
      <c r="B77" s="933"/>
      <c r="C77" s="933"/>
      <c r="D77" s="933"/>
      <c r="E77" s="933"/>
      <c r="F77" s="933"/>
      <c r="G77" s="933"/>
      <c r="H77" s="933"/>
      <c r="I77" s="933"/>
      <c r="J77" s="933"/>
      <c r="K77" s="933"/>
      <c r="L77" s="933"/>
      <c r="M77" s="933"/>
      <c r="N77" s="933"/>
      <c r="O77" s="933"/>
      <c r="P77" s="933"/>
      <c r="Q77" s="933"/>
      <c r="R77" s="933"/>
      <c r="S77" s="933"/>
      <c r="T77" s="933"/>
      <c r="V77" s="933"/>
      <c r="W77" s="933"/>
      <c r="X77" s="945"/>
      <c r="Y77" s="933"/>
      <c r="Z77" s="933"/>
      <c r="AA77" s="933"/>
      <c r="AB77" s="933"/>
      <c r="AC77" s="933"/>
      <c r="AD77" s="933"/>
      <c r="AE77" s="933"/>
      <c r="AF77" s="933"/>
      <c r="AG77" s="933"/>
    </row>
    <row r="78" spans="1:33" ht="12.75">
      <c r="A78" s="933"/>
      <c r="B78" s="933"/>
      <c r="C78" s="933"/>
      <c r="D78" s="933"/>
      <c r="E78" s="933"/>
      <c r="F78" s="933"/>
      <c r="G78" s="933"/>
      <c r="H78" s="933"/>
      <c r="I78" s="933"/>
      <c r="J78" s="933"/>
      <c r="K78" s="933"/>
      <c r="L78" s="933"/>
      <c r="M78" s="933"/>
      <c r="N78" s="933"/>
      <c r="O78" s="933"/>
      <c r="P78" s="933"/>
      <c r="Q78" s="933"/>
      <c r="R78" s="933"/>
      <c r="S78" s="933"/>
      <c r="T78" s="933"/>
      <c r="V78" s="933"/>
      <c r="W78" s="933"/>
      <c r="X78" s="945"/>
      <c r="Y78" s="933"/>
      <c r="Z78" s="933"/>
      <c r="AA78" s="933"/>
      <c r="AB78" s="933"/>
      <c r="AC78" s="933"/>
      <c r="AD78" s="933"/>
      <c r="AE78" s="933"/>
      <c r="AF78" s="933"/>
      <c r="AG78" s="933"/>
    </row>
    <row r="79" spans="1:33" ht="12.75">
      <c r="A79" s="933"/>
      <c r="B79" s="933"/>
      <c r="C79" s="933"/>
      <c r="D79" s="933"/>
      <c r="E79" s="933"/>
      <c r="F79" s="933"/>
      <c r="G79" s="933"/>
      <c r="H79" s="933"/>
      <c r="I79" s="933"/>
      <c r="J79" s="933"/>
      <c r="K79" s="933"/>
      <c r="L79" s="933"/>
      <c r="M79" s="933"/>
      <c r="N79" s="933"/>
      <c r="O79" s="933"/>
      <c r="P79" s="933"/>
      <c r="Q79" s="933"/>
      <c r="R79" s="933"/>
      <c r="S79" s="933"/>
      <c r="T79" s="933"/>
      <c r="V79" s="933"/>
      <c r="W79" s="933"/>
      <c r="X79" s="945"/>
      <c r="Y79" s="933"/>
      <c r="Z79" s="933"/>
      <c r="AA79" s="933"/>
      <c r="AB79" s="933"/>
      <c r="AC79" s="933"/>
      <c r="AD79" s="933"/>
      <c r="AE79" s="933"/>
      <c r="AF79" s="933"/>
      <c r="AG79" s="933"/>
    </row>
    <row r="80" spans="1:33" ht="12.75">
      <c r="A80" s="933"/>
      <c r="B80" s="933"/>
      <c r="C80" s="933"/>
      <c r="D80" s="933"/>
      <c r="E80" s="933"/>
      <c r="F80" s="933"/>
      <c r="G80" s="933"/>
      <c r="H80" s="933"/>
      <c r="I80" s="933"/>
      <c r="J80" s="933"/>
      <c r="K80" s="933"/>
      <c r="L80" s="933"/>
      <c r="M80" s="933"/>
      <c r="N80" s="933"/>
      <c r="O80" s="933"/>
      <c r="P80" s="933"/>
      <c r="Q80" s="933"/>
      <c r="R80" s="933"/>
      <c r="S80" s="933"/>
      <c r="T80" s="933"/>
      <c r="V80" s="933"/>
      <c r="W80" s="933"/>
      <c r="X80" s="945"/>
      <c r="Y80" s="933"/>
      <c r="Z80" s="933"/>
      <c r="AA80" s="933"/>
      <c r="AB80" s="933"/>
      <c r="AC80" s="933"/>
      <c r="AD80" s="933"/>
      <c r="AE80" s="933"/>
      <c r="AF80" s="933"/>
      <c r="AG80" s="933"/>
    </row>
    <row r="81" spans="1:33" ht="12.75">
      <c r="A81" s="933"/>
      <c r="B81" s="933"/>
      <c r="C81" s="933"/>
      <c r="D81" s="933"/>
      <c r="E81" s="933"/>
      <c r="F81" s="933"/>
      <c r="G81" s="933"/>
      <c r="H81" s="933"/>
      <c r="I81" s="933"/>
      <c r="J81" s="933"/>
      <c r="K81" s="933"/>
      <c r="L81" s="933"/>
      <c r="M81" s="933"/>
      <c r="N81" s="933"/>
      <c r="O81" s="933"/>
      <c r="P81" s="933"/>
      <c r="Q81" s="933"/>
      <c r="R81" s="933"/>
      <c r="S81" s="933"/>
      <c r="T81" s="933"/>
      <c r="V81" s="933"/>
      <c r="W81" s="933"/>
      <c r="X81" s="945"/>
      <c r="Y81" s="933"/>
      <c r="Z81" s="933"/>
      <c r="AA81" s="933"/>
      <c r="AB81" s="933"/>
      <c r="AC81" s="933"/>
      <c r="AD81" s="933"/>
      <c r="AE81" s="933"/>
      <c r="AF81" s="933"/>
      <c r="AG81" s="933"/>
    </row>
    <row r="82" spans="1:33" ht="12.75">
      <c r="A82" s="933"/>
      <c r="B82" s="933"/>
      <c r="C82" s="933"/>
      <c r="D82" s="933"/>
      <c r="E82" s="933"/>
      <c r="F82" s="933"/>
      <c r="G82" s="933"/>
      <c r="H82" s="933"/>
      <c r="I82" s="933"/>
      <c r="J82" s="933"/>
      <c r="K82" s="933"/>
      <c r="L82" s="933"/>
      <c r="M82" s="933"/>
      <c r="N82" s="933"/>
      <c r="O82" s="933"/>
      <c r="P82" s="933"/>
      <c r="Q82" s="933"/>
      <c r="R82" s="933"/>
      <c r="S82" s="933"/>
      <c r="T82" s="933"/>
      <c r="V82" s="933"/>
      <c r="W82" s="933"/>
      <c r="X82" s="945"/>
      <c r="Y82" s="933"/>
      <c r="Z82" s="933"/>
      <c r="AA82" s="933"/>
      <c r="AB82" s="933"/>
      <c r="AC82" s="933"/>
      <c r="AD82" s="933"/>
      <c r="AE82" s="933"/>
      <c r="AF82" s="933"/>
      <c r="AG82" s="933"/>
    </row>
    <row r="83" spans="1:33" ht="12.75">
      <c r="A83" s="933"/>
      <c r="B83" s="933"/>
      <c r="C83" s="933"/>
      <c r="D83" s="933"/>
      <c r="E83" s="933"/>
      <c r="F83" s="933"/>
      <c r="G83" s="933"/>
      <c r="H83" s="933"/>
      <c r="I83" s="933"/>
      <c r="J83" s="933"/>
      <c r="K83" s="933"/>
      <c r="L83" s="933"/>
      <c r="M83" s="933"/>
      <c r="N83" s="933"/>
      <c r="O83" s="933"/>
      <c r="P83" s="933"/>
      <c r="Q83" s="933"/>
      <c r="R83" s="933"/>
      <c r="S83" s="933"/>
      <c r="T83" s="933"/>
      <c r="V83" s="933"/>
      <c r="W83" s="933"/>
      <c r="X83" s="945"/>
      <c r="Y83" s="933"/>
      <c r="Z83" s="933"/>
      <c r="AA83" s="933"/>
      <c r="AB83" s="933"/>
      <c r="AC83" s="933"/>
      <c r="AD83" s="933"/>
      <c r="AE83" s="933"/>
      <c r="AF83" s="933"/>
      <c r="AG83" s="933"/>
    </row>
    <row r="84" spans="1:33" ht="12.75">
      <c r="A84" s="933"/>
      <c r="B84" s="933"/>
      <c r="C84" s="933"/>
      <c r="D84" s="933"/>
      <c r="E84" s="933"/>
      <c r="F84" s="933"/>
      <c r="G84" s="933"/>
      <c r="H84" s="933"/>
      <c r="I84" s="933"/>
      <c r="J84" s="933"/>
      <c r="K84" s="933"/>
      <c r="L84" s="933"/>
      <c r="M84" s="933"/>
      <c r="N84" s="933"/>
      <c r="O84" s="933"/>
      <c r="P84" s="933"/>
      <c r="Q84" s="933"/>
      <c r="R84" s="933"/>
      <c r="S84" s="933"/>
      <c r="T84" s="933"/>
      <c r="V84" s="933"/>
      <c r="W84" s="933"/>
      <c r="X84" s="945"/>
      <c r="Y84" s="933"/>
      <c r="Z84" s="933"/>
      <c r="AA84" s="933"/>
      <c r="AB84" s="933"/>
      <c r="AC84" s="933"/>
      <c r="AD84" s="933"/>
      <c r="AE84" s="933"/>
      <c r="AF84" s="933"/>
      <c r="AG84" s="933"/>
    </row>
    <row r="85" spans="1:33" ht="12.75">
      <c r="A85" s="933"/>
      <c r="B85" s="933"/>
      <c r="C85" s="933"/>
      <c r="D85" s="933"/>
      <c r="E85" s="933"/>
      <c r="F85" s="933"/>
      <c r="G85" s="933"/>
      <c r="H85" s="933"/>
      <c r="I85" s="933"/>
      <c r="J85" s="933"/>
      <c r="K85" s="933"/>
      <c r="L85" s="933"/>
      <c r="M85" s="933"/>
      <c r="N85" s="933"/>
      <c r="O85" s="933"/>
      <c r="P85" s="933"/>
      <c r="Q85" s="933"/>
      <c r="R85" s="933"/>
      <c r="S85" s="933"/>
      <c r="T85" s="933"/>
      <c r="V85" s="933"/>
      <c r="W85" s="933"/>
      <c r="X85" s="945"/>
      <c r="Y85" s="933"/>
      <c r="Z85" s="933"/>
      <c r="AA85" s="933"/>
      <c r="AB85" s="933"/>
      <c r="AC85" s="933"/>
      <c r="AD85" s="933"/>
      <c r="AE85" s="933"/>
      <c r="AF85" s="933"/>
      <c r="AG85" s="933"/>
    </row>
    <row r="86" spans="1:33" ht="12.75">
      <c r="A86" s="933"/>
      <c r="B86" s="933"/>
      <c r="C86" s="933"/>
      <c r="D86" s="933"/>
      <c r="E86" s="933"/>
      <c r="F86" s="933"/>
      <c r="G86" s="933"/>
      <c r="H86" s="933"/>
      <c r="I86" s="933"/>
      <c r="J86" s="933"/>
      <c r="K86" s="933"/>
      <c r="L86" s="933"/>
      <c r="M86" s="933"/>
      <c r="N86" s="933"/>
      <c r="O86" s="933"/>
      <c r="P86" s="933"/>
      <c r="Q86" s="933"/>
      <c r="R86" s="933"/>
      <c r="S86" s="933"/>
      <c r="T86" s="933"/>
      <c r="V86" s="933"/>
      <c r="W86" s="933"/>
      <c r="X86" s="945"/>
      <c r="Y86" s="933"/>
      <c r="Z86" s="933"/>
      <c r="AA86" s="933"/>
      <c r="AB86" s="933"/>
      <c r="AC86" s="933"/>
      <c r="AD86" s="933"/>
      <c r="AE86" s="933"/>
      <c r="AF86" s="933"/>
      <c r="AG86" s="933"/>
    </row>
    <row r="87" spans="1:33" ht="12.75">
      <c r="A87" s="933"/>
      <c r="B87" s="933"/>
      <c r="C87" s="933"/>
      <c r="D87" s="933"/>
      <c r="E87" s="933"/>
      <c r="F87" s="933"/>
      <c r="G87" s="933"/>
      <c r="H87" s="933"/>
      <c r="I87" s="933"/>
      <c r="J87" s="933"/>
      <c r="K87" s="933"/>
      <c r="L87" s="933"/>
      <c r="M87" s="933"/>
      <c r="N87" s="933"/>
      <c r="O87" s="933"/>
      <c r="P87" s="933"/>
      <c r="Q87" s="933"/>
      <c r="R87" s="933"/>
      <c r="S87" s="933"/>
      <c r="T87" s="933"/>
      <c r="V87" s="933"/>
      <c r="W87" s="933"/>
      <c r="X87" s="945"/>
      <c r="Y87" s="933"/>
      <c r="Z87" s="933"/>
      <c r="AA87" s="933"/>
      <c r="AB87" s="933"/>
      <c r="AC87" s="933"/>
      <c r="AD87" s="933"/>
      <c r="AE87" s="933"/>
      <c r="AF87" s="933"/>
      <c r="AG87" s="933"/>
    </row>
    <row r="88" spans="1:33" ht="12.75">
      <c r="A88" s="933"/>
      <c r="B88" s="933"/>
      <c r="C88" s="933"/>
      <c r="D88" s="933"/>
      <c r="E88" s="933"/>
      <c r="F88" s="933"/>
      <c r="G88" s="933"/>
      <c r="H88" s="933"/>
      <c r="I88" s="933"/>
      <c r="J88" s="933"/>
      <c r="K88" s="933"/>
      <c r="L88" s="933"/>
      <c r="M88" s="933"/>
      <c r="N88" s="933"/>
      <c r="O88" s="933"/>
      <c r="P88" s="933"/>
      <c r="Q88" s="933"/>
      <c r="R88" s="933"/>
      <c r="S88" s="933"/>
      <c r="T88" s="933"/>
      <c r="V88" s="933"/>
      <c r="W88" s="933"/>
      <c r="X88" s="945"/>
      <c r="Y88" s="933"/>
      <c r="Z88" s="933"/>
      <c r="AA88" s="933"/>
      <c r="AB88" s="933"/>
      <c r="AC88" s="933"/>
      <c r="AD88" s="933"/>
      <c r="AE88" s="933"/>
      <c r="AF88" s="933"/>
      <c r="AG88" s="933"/>
    </row>
    <row r="89" spans="1:33" ht="12.75">
      <c r="A89" s="933"/>
      <c r="B89" s="933"/>
      <c r="C89" s="933"/>
      <c r="D89" s="933"/>
      <c r="E89" s="933"/>
      <c r="F89" s="933"/>
      <c r="G89" s="933"/>
      <c r="H89" s="933"/>
      <c r="I89" s="933"/>
      <c r="J89" s="933"/>
      <c r="K89" s="933"/>
      <c r="L89" s="933"/>
      <c r="M89" s="933"/>
      <c r="N89" s="933"/>
      <c r="O89" s="933"/>
      <c r="P89" s="933"/>
      <c r="Q89" s="933"/>
      <c r="R89" s="933"/>
      <c r="S89" s="933"/>
      <c r="T89" s="933"/>
      <c r="V89" s="933"/>
      <c r="W89" s="933"/>
      <c r="X89" s="945"/>
      <c r="Y89" s="933"/>
      <c r="Z89" s="933"/>
      <c r="AA89" s="933"/>
      <c r="AB89" s="933"/>
      <c r="AC89" s="933"/>
      <c r="AD89" s="933"/>
      <c r="AE89" s="933"/>
      <c r="AF89" s="933"/>
      <c r="AG89" s="933"/>
    </row>
    <row r="90" spans="1:33" ht="12.75">
      <c r="A90" s="933"/>
      <c r="B90" s="933"/>
      <c r="C90" s="933"/>
      <c r="D90" s="933"/>
      <c r="E90" s="933"/>
      <c r="F90" s="933"/>
      <c r="G90" s="933"/>
      <c r="H90" s="933"/>
      <c r="I90" s="933"/>
      <c r="J90" s="933"/>
      <c r="K90" s="933"/>
      <c r="L90" s="933"/>
      <c r="M90" s="933"/>
      <c r="N90" s="933"/>
      <c r="O90" s="933"/>
      <c r="P90" s="933"/>
      <c r="Q90" s="933"/>
      <c r="R90" s="933"/>
      <c r="S90" s="933"/>
      <c r="T90" s="933"/>
      <c r="V90" s="933"/>
      <c r="W90" s="933"/>
      <c r="X90" s="945"/>
      <c r="Y90" s="933"/>
      <c r="Z90" s="933"/>
      <c r="AA90" s="933"/>
      <c r="AB90" s="933"/>
      <c r="AC90" s="933"/>
      <c r="AD90" s="933"/>
      <c r="AE90" s="933"/>
      <c r="AF90" s="933"/>
      <c r="AG90" s="933"/>
    </row>
    <row r="91" spans="1:33" ht="12.75">
      <c r="A91" s="933"/>
      <c r="B91" s="933"/>
      <c r="C91" s="933"/>
      <c r="D91" s="933"/>
      <c r="E91" s="933"/>
      <c r="F91" s="933"/>
      <c r="G91" s="933"/>
      <c r="H91" s="933"/>
      <c r="I91" s="933"/>
      <c r="J91" s="933"/>
      <c r="K91" s="933"/>
      <c r="L91" s="933"/>
      <c r="M91" s="933"/>
      <c r="N91" s="933"/>
      <c r="O91" s="933"/>
      <c r="P91" s="933"/>
      <c r="Q91" s="933"/>
      <c r="R91" s="933"/>
      <c r="S91" s="933"/>
      <c r="T91" s="933"/>
      <c r="V91" s="933"/>
      <c r="W91" s="933"/>
      <c r="X91" s="945"/>
      <c r="Y91" s="933"/>
      <c r="Z91" s="933"/>
      <c r="AA91" s="933"/>
      <c r="AB91" s="933"/>
      <c r="AC91" s="933"/>
      <c r="AD91" s="933"/>
      <c r="AE91" s="933"/>
      <c r="AF91" s="933"/>
      <c r="AG91" s="933"/>
    </row>
    <row r="92" spans="1:33" ht="12.75">
      <c r="A92" s="933"/>
      <c r="B92" s="933"/>
      <c r="C92" s="933"/>
      <c r="D92" s="933"/>
      <c r="E92" s="933"/>
      <c r="F92" s="933"/>
      <c r="G92" s="933"/>
      <c r="H92" s="933"/>
      <c r="I92" s="933"/>
      <c r="J92" s="933"/>
      <c r="K92" s="933"/>
      <c r="L92" s="933"/>
      <c r="M92" s="933"/>
      <c r="N92" s="933"/>
      <c r="O92" s="933"/>
      <c r="P92" s="933"/>
      <c r="Q92" s="933"/>
      <c r="R92" s="933"/>
      <c r="S92" s="933"/>
      <c r="T92" s="933"/>
      <c r="V92" s="933"/>
      <c r="W92" s="933"/>
      <c r="X92" s="945"/>
      <c r="Y92" s="933"/>
      <c r="Z92" s="933"/>
      <c r="AA92" s="933"/>
      <c r="AB92" s="933"/>
      <c r="AC92" s="933"/>
      <c r="AD92" s="933"/>
      <c r="AE92" s="933"/>
      <c r="AF92" s="933"/>
      <c r="AG92" s="933"/>
    </row>
    <row r="93" spans="1:33" ht="12.75">
      <c r="A93" s="933"/>
      <c r="B93" s="933"/>
      <c r="C93" s="933"/>
      <c r="D93" s="933"/>
      <c r="E93" s="933"/>
      <c r="F93" s="933"/>
      <c r="G93" s="933"/>
      <c r="H93" s="933"/>
      <c r="I93" s="933"/>
      <c r="J93" s="933"/>
      <c r="K93" s="933"/>
      <c r="L93" s="933"/>
      <c r="M93" s="933"/>
      <c r="N93" s="933"/>
      <c r="O93" s="933"/>
      <c r="P93" s="933"/>
      <c r="Q93" s="933"/>
      <c r="R93" s="933"/>
      <c r="S93" s="933"/>
      <c r="T93" s="933"/>
      <c r="V93" s="933"/>
      <c r="W93" s="933"/>
      <c r="X93" s="945"/>
      <c r="Y93" s="933"/>
      <c r="Z93" s="933"/>
      <c r="AA93" s="933"/>
      <c r="AB93" s="933"/>
      <c r="AC93" s="933"/>
      <c r="AD93" s="933"/>
      <c r="AE93" s="933"/>
      <c r="AF93" s="933"/>
      <c r="AG93" s="933"/>
    </row>
    <row r="94" spans="1:33" ht="12.75">
      <c r="A94" s="933"/>
      <c r="B94" s="933"/>
      <c r="C94" s="933"/>
      <c r="D94" s="933"/>
      <c r="E94" s="933"/>
      <c r="F94" s="933"/>
      <c r="G94" s="933"/>
      <c r="H94" s="933"/>
      <c r="I94" s="933"/>
      <c r="J94" s="933"/>
      <c r="K94" s="933"/>
      <c r="L94" s="933"/>
      <c r="M94" s="933"/>
      <c r="N94" s="933"/>
      <c r="O94" s="933"/>
      <c r="P94" s="933"/>
      <c r="Q94" s="933"/>
      <c r="R94" s="933"/>
      <c r="S94" s="933"/>
      <c r="T94" s="933"/>
      <c r="V94" s="933"/>
      <c r="W94" s="933"/>
      <c r="X94" s="945"/>
      <c r="Y94" s="933"/>
      <c r="Z94" s="933"/>
      <c r="AA94" s="933"/>
      <c r="AB94" s="933"/>
      <c r="AC94" s="933"/>
      <c r="AD94" s="933"/>
      <c r="AE94" s="933"/>
      <c r="AF94" s="933"/>
      <c r="AG94" s="933"/>
    </row>
    <row r="95" spans="1:33" ht="12.75">
      <c r="A95" s="933"/>
      <c r="B95" s="933"/>
      <c r="C95" s="933"/>
      <c r="D95" s="933"/>
      <c r="E95" s="933"/>
      <c r="F95" s="933"/>
      <c r="G95" s="933"/>
      <c r="H95" s="933"/>
      <c r="I95" s="933"/>
      <c r="J95" s="933"/>
      <c r="K95" s="933"/>
      <c r="L95" s="933"/>
      <c r="M95" s="933"/>
      <c r="N95" s="933"/>
      <c r="O95" s="933"/>
      <c r="P95" s="933"/>
      <c r="Q95" s="933"/>
      <c r="R95" s="933"/>
      <c r="S95" s="933"/>
      <c r="T95" s="933"/>
      <c r="V95" s="933"/>
      <c r="W95" s="933"/>
      <c r="X95" s="945"/>
      <c r="Y95" s="933"/>
      <c r="Z95" s="933"/>
      <c r="AA95" s="933"/>
      <c r="AB95" s="933"/>
      <c r="AC95" s="933"/>
      <c r="AD95" s="933"/>
      <c r="AE95" s="933"/>
      <c r="AF95" s="933"/>
      <c r="AG95" s="933"/>
    </row>
    <row r="96" spans="1:33" ht="12.75">
      <c r="A96" s="933"/>
      <c r="B96" s="933"/>
      <c r="C96" s="933"/>
      <c r="D96" s="933"/>
      <c r="E96" s="933"/>
      <c r="F96" s="933"/>
      <c r="G96" s="933"/>
      <c r="H96" s="933"/>
      <c r="I96" s="933"/>
      <c r="J96" s="933"/>
      <c r="K96" s="933"/>
      <c r="L96" s="933"/>
      <c r="M96" s="933"/>
      <c r="N96" s="933"/>
      <c r="O96" s="933"/>
      <c r="P96" s="933"/>
      <c r="Q96" s="933"/>
      <c r="R96" s="933"/>
      <c r="S96" s="933"/>
      <c r="T96" s="933"/>
      <c r="V96" s="933"/>
      <c r="W96" s="933"/>
      <c r="X96" s="945"/>
      <c r="Y96" s="933"/>
      <c r="Z96" s="933"/>
      <c r="AA96" s="933"/>
      <c r="AB96" s="933"/>
      <c r="AC96" s="933"/>
      <c r="AD96" s="933"/>
      <c r="AE96" s="933"/>
      <c r="AF96" s="933"/>
      <c r="AG96" s="933"/>
    </row>
    <row r="97" spans="1:33" ht="12.75">
      <c r="A97" s="933"/>
      <c r="B97" s="933"/>
      <c r="C97" s="933"/>
      <c r="D97" s="933"/>
      <c r="E97" s="933"/>
      <c r="F97" s="933"/>
      <c r="G97" s="933"/>
      <c r="H97" s="933"/>
      <c r="I97" s="933"/>
      <c r="J97" s="933"/>
      <c r="K97" s="933"/>
      <c r="L97" s="933"/>
      <c r="M97" s="933"/>
      <c r="N97" s="933"/>
      <c r="O97" s="933"/>
      <c r="P97" s="933"/>
      <c r="Q97" s="933"/>
      <c r="R97" s="933"/>
      <c r="S97" s="933"/>
      <c r="T97" s="933"/>
      <c r="V97" s="933"/>
      <c r="W97" s="933"/>
      <c r="X97" s="945"/>
      <c r="Y97" s="933"/>
      <c r="Z97" s="933"/>
      <c r="AA97" s="933"/>
      <c r="AB97" s="933"/>
      <c r="AC97" s="933"/>
      <c r="AD97" s="933"/>
      <c r="AE97" s="933"/>
      <c r="AF97" s="933"/>
      <c r="AG97" s="933"/>
    </row>
    <row r="98" spans="1:33" ht="12.75">
      <c r="A98" s="933"/>
      <c r="B98" s="933"/>
      <c r="C98" s="933"/>
      <c r="D98" s="933"/>
      <c r="E98" s="933"/>
      <c r="F98" s="933"/>
      <c r="G98" s="933"/>
      <c r="H98" s="933"/>
      <c r="I98" s="933"/>
      <c r="J98" s="933"/>
      <c r="K98" s="933"/>
      <c r="L98" s="933"/>
      <c r="M98" s="933"/>
      <c r="N98" s="933"/>
      <c r="O98" s="933"/>
      <c r="P98" s="933"/>
      <c r="Q98" s="933"/>
      <c r="R98" s="933"/>
      <c r="S98" s="933"/>
      <c r="T98" s="933"/>
      <c r="V98" s="933"/>
      <c r="W98" s="933"/>
      <c r="X98" s="945"/>
      <c r="Y98" s="933"/>
      <c r="Z98" s="933"/>
      <c r="AA98" s="933"/>
      <c r="AB98" s="933"/>
      <c r="AC98" s="933"/>
      <c r="AD98" s="933"/>
      <c r="AE98" s="933"/>
      <c r="AF98" s="933"/>
      <c r="AG98" s="933"/>
    </row>
    <row r="99" spans="1:33" ht="12.75">
      <c r="A99" s="933"/>
      <c r="B99" s="933"/>
      <c r="C99" s="933"/>
      <c r="D99" s="933"/>
      <c r="E99" s="933"/>
      <c r="F99" s="933"/>
      <c r="G99" s="933"/>
      <c r="H99" s="933"/>
      <c r="I99" s="933"/>
      <c r="J99" s="933"/>
      <c r="K99" s="933"/>
      <c r="L99" s="933"/>
      <c r="M99" s="933"/>
      <c r="N99" s="933"/>
      <c r="O99" s="933"/>
      <c r="P99" s="933"/>
      <c r="Q99" s="933"/>
      <c r="R99" s="933"/>
      <c r="S99" s="933"/>
      <c r="T99" s="933"/>
      <c r="V99" s="933"/>
      <c r="W99" s="933"/>
      <c r="X99" s="945"/>
      <c r="Y99" s="933"/>
      <c r="Z99" s="933"/>
      <c r="AA99" s="933"/>
      <c r="AB99" s="933"/>
      <c r="AC99" s="933"/>
      <c r="AD99" s="933"/>
      <c r="AE99" s="933"/>
      <c r="AF99" s="933"/>
      <c r="AG99" s="933"/>
    </row>
    <row r="100" spans="1:33" ht="12.75">
      <c r="A100" s="933"/>
      <c r="B100" s="933"/>
      <c r="C100" s="933"/>
      <c r="D100" s="933"/>
      <c r="E100" s="933"/>
      <c r="F100" s="933"/>
      <c r="G100" s="933"/>
      <c r="H100" s="933"/>
      <c r="I100" s="933"/>
      <c r="J100" s="933"/>
      <c r="K100" s="933"/>
      <c r="L100" s="933"/>
      <c r="M100" s="933"/>
      <c r="N100" s="933"/>
      <c r="O100" s="933"/>
      <c r="P100" s="933"/>
      <c r="Q100" s="933"/>
      <c r="R100" s="933"/>
      <c r="S100" s="933"/>
      <c r="T100" s="933"/>
      <c r="V100" s="933"/>
      <c r="W100" s="933"/>
      <c r="X100" s="945"/>
      <c r="Y100" s="933"/>
      <c r="Z100" s="933"/>
      <c r="AA100" s="933"/>
      <c r="AB100" s="933"/>
      <c r="AC100" s="933"/>
      <c r="AD100" s="933"/>
      <c r="AE100" s="933"/>
      <c r="AF100" s="933"/>
      <c r="AG100" s="933"/>
    </row>
    <row r="101" spans="1:33" ht="12.75">
      <c r="A101" s="933"/>
      <c r="B101" s="933"/>
      <c r="C101" s="933"/>
      <c r="D101" s="933"/>
      <c r="E101" s="933"/>
      <c r="F101" s="933"/>
      <c r="G101" s="933"/>
      <c r="H101" s="933"/>
      <c r="I101" s="933"/>
      <c r="J101" s="933"/>
      <c r="K101" s="933"/>
      <c r="L101" s="933"/>
      <c r="M101" s="933"/>
      <c r="N101" s="933"/>
      <c r="O101" s="933"/>
      <c r="P101" s="933"/>
      <c r="Q101" s="933"/>
      <c r="R101" s="933"/>
      <c r="S101" s="933"/>
      <c r="T101" s="933"/>
      <c r="V101" s="933"/>
      <c r="W101" s="933"/>
      <c r="X101" s="945"/>
      <c r="Y101" s="933"/>
      <c r="Z101" s="933"/>
      <c r="AA101" s="933"/>
      <c r="AB101" s="933"/>
      <c r="AC101" s="933"/>
      <c r="AD101" s="933"/>
      <c r="AE101" s="933"/>
      <c r="AF101" s="933"/>
      <c r="AG101" s="933"/>
    </row>
    <row r="102" spans="1:33" ht="12.75">
      <c r="A102" s="933"/>
      <c r="B102" s="933"/>
      <c r="C102" s="933"/>
      <c r="D102" s="933"/>
      <c r="E102" s="933"/>
      <c r="F102" s="933"/>
      <c r="G102" s="933"/>
      <c r="H102" s="933"/>
      <c r="I102" s="933"/>
      <c r="J102" s="933"/>
      <c r="K102" s="933"/>
      <c r="L102" s="933"/>
      <c r="M102" s="933"/>
      <c r="N102" s="933"/>
      <c r="O102" s="933"/>
      <c r="P102" s="933"/>
      <c r="Q102" s="933"/>
      <c r="R102" s="933"/>
      <c r="S102" s="933"/>
      <c r="T102" s="933"/>
      <c r="V102" s="933"/>
      <c r="W102" s="933"/>
      <c r="X102" s="945"/>
      <c r="Y102" s="933"/>
      <c r="Z102" s="933"/>
      <c r="AA102" s="933"/>
      <c r="AB102" s="933"/>
      <c r="AC102" s="933"/>
      <c r="AD102" s="933"/>
      <c r="AE102" s="933"/>
      <c r="AF102" s="933"/>
      <c r="AG102" s="933"/>
    </row>
    <row r="103" spans="1:33" ht="12.75">
      <c r="A103" s="933"/>
      <c r="B103" s="933"/>
      <c r="C103" s="933"/>
      <c r="D103" s="933"/>
      <c r="E103" s="933"/>
      <c r="F103" s="933"/>
      <c r="G103" s="933"/>
      <c r="H103" s="933"/>
      <c r="I103" s="933"/>
      <c r="J103" s="933"/>
      <c r="K103" s="933"/>
      <c r="L103" s="933"/>
      <c r="M103" s="933"/>
      <c r="N103" s="933"/>
      <c r="O103" s="933"/>
      <c r="P103" s="933"/>
      <c r="Q103" s="933"/>
      <c r="R103" s="933"/>
      <c r="S103" s="933"/>
      <c r="T103" s="933"/>
      <c r="V103" s="933"/>
      <c r="W103" s="933"/>
      <c r="X103" s="945"/>
      <c r="Y103" s="933"/>
      <c r="Z103" s="933"/>
      <c r="AA103" s="933"/>
      <c r="AB103" s="933"/>
      <c r="AC103" s="933"/>
      <c r="AD103" s="933"/>
      <c r="AE103" s="933"/>
      <c r="AF103" s="933"/>
      <c r="AG103" s="933"/>
    </row>
    <row r="104" spans="1:33" ht="12.75">
      <c r="A104" s="933"/>
      <c r="B104" s="933"/>
      <c r="C104" s="933"/>
      <c r="D104" s="933"/>
      <c r="E104" s="933"/>
      <c r="F104" s="933"/>
      <c r="G104" s="933"/>
      <c r="H104" s="933"/>
      <c r="I104" s="933"/>
      <c r="J104" s="933"/>
      <c r="K104" s="933"/>
      <c r="L104" s="933"/>
      <c r="M104" s="933"/>
      <c r="N104" s="933"/>
      <c r="O104" s="933"/>
      <c r="P104" s="933"/>
      <c r="Q104" s="933"/>
      <c r="R104" s="933"/>
      <c r="S104" s="933"/>
      <c r="T104" s="933"/>
      <c r="V104" s="933"/>
      <c r="W104" s="933"/>
      <c r="X104" s="945"/>
      <c r="Y104" s="933"/>
      <c r="Z104" s="933"/>
      <c r="AA104" s="933"/>
      <c r="AB104" s="933"/>
      <c r="AC104" s="933"/>
      <c r="AD104" s="933"/>
      <c r="AE104" s="933"/>
      <c r="AF104" s="933"/>
      <c r="AG104" s="933"/>
    </row>
    <row r="105" spans="1:33" ht="12.75">
      <c r="A105" s="933"/>
      <c r="B105" s="933"/>
      <c r="C105" s="933"/>
      <c r="D105" s="933"/>
      <c r="E105" s="933"/>
      <c r="F105" s="933"/>
      <c r="G105" s="933"/>
      <c r="H105" s="933"/>
      <c r="I105" s="933"/>
      <c r="J105" s="933"/>
      <c r="K105" s="933"/>
      <c r="L105" s="933"/>
      <c r="M105" s="933"/>
      <c r="N105" s="933"/>
      <c r="O105" s="933"/>
      <c r="P105" s="933"/>
      <c r="Q105" s="933"/>
      <c r="R105" s="933"/>
      <c r="S105" s="933"/>
      <c r="T105" s="933"/>
      <c r="V105" s="933"/>
      <c r="W105" s="933"/>
      <c r="X105" s="945"/>
      <c r="Y105" s="933"/>
      <c r="Z105" s="933"/>
      <c r="AA105" s="933"/>
      <c r="AB105" s="933"/>
      <c r="AC105" s="933"/>
      <c r="AD105" s="933"/>
      <c r="AE105" s="933"/>
      <c r="AF105" s="933"/>
      <c r="AG105" s="933"/>
    </row>
    <row r="106" spans="1:33" ht="12.75">
      <c r="A106" s="933"/>
      <c r="B106" s="933"/>
      <c r="C106" s="933"/>
      <c r="D106" s="933"/>
      <c r="E106" s="933"/>
      <c r="F106" s="933"/>
      <c r="G106" s="933"/>
      <c r="H106" s="933"/>
      <c r="I106" s="933"/>
      <c r="J106" s="933"/>
      <c r="K106" s="933"/>
      <c r="L106" s="933"/>
      <c r="M106" s="933"/>
      <c r="N106" s="933"/>
      <c r="O106" s="933"/>
      <c r="P106" s="933"/>
      <c r="Q106" s="933"/>
      <c r="R106" s="933"/>
      <c r="S106" s="933"/>
      <c r="T106" s="933"/>
      <c r="V106" s="933"/>
      <c r="W106" s="933"/>
      <c r="X106" s="945"/>
      <c r="Y106" s="933"/>
      <c r="Z106" s="933"/>
      <c r="AA106" s="933"/>
      <c r="AB106" s="933"/>
      <c r="AC106" s="933"/>
      <c r="AD106" s="933"/>
      <c r="AE106" s="933"/>
      <c r="AF106" s="933"/>
      <c r="AG106" s="933"/>
    </row>
    <row r="107" spans="1:33" ht="12.75">
      <c r="A107" s="933"/>
      <c r="B107" s="933"/>
      <c r="C107" s="933"/>
      <c r="D107" s="933"/>
      <c r="E107" s="933"/>
      <c r="F107" s="933"/>
      <c r="G107" s="933"/>
      <c r="H107" s="933"/>
      <c r="I107" s="933"/>
      <c r="J107" s="933"/>
      <c r="K107" s="933"/>
      <c r="L107" s="933"/>
      <c r="M107" s="933"/>
      <c r="N107" s="933"/>
      <c r="O107" s="933"/>
      <c r="P107" s="933"/>
      <c r="Q107" s="933"/>
      <c r="R107" s="933"/>
      <c r="S107" s="933"/>
      <c r="T107" s="933"/>
      <c r="V107" s="933"/>
      <c r="W107" s="933"/>
      <c r="X107" s="945"/>
      <c r="Y107" s="933"/>
      <c r="Z107" s="933"/>
      <c r="AA107" s="933"/>
      <c r="AB107" s="933"/>
      <c r="AC107" s="933"/>
      <c r="AD107" s="933"/>
      <c r="AE107" s="933"/>
      <c r="AF107" s="933"/>
      <c r="AG107" s="933"/>
    </row>
    <row r="108" spans="1:33" ht="12.75">
      <c r="A108" s="933"/>
      <c r="B108" s="933"/>
      <c r="C108" s="933"/>
      <c r="D108" s="933"/>
      <c r="E108" s="933"/>
      <c r="F108" s="933"/>
      <c r="G108" s="933"/>
      <c r="H108" s="933"/>
      <c r="I108" s="933"/>
      <c r="J108" s="933"/>
      <c r="K108" s="933"/>
      <c r="L108" s="933"/>
      <c r="M108" s="933"/>
      <c r="N108" s="933"/>
      <c r="O108" s="933"/>
      <c r="P108" s="933"/>
      <c r="Q108" s="933"/>
      <c r="R108" s="933"/>
      <c r="S108" s="933"/>
      <c r="T108" s="933"/>
      <c r="V108" s="933"/>
      <c r="W108" s="933"/>
      <c r="X108" s="945"/>
      <c r="Y108" s="933"/>
      <c r="Z108" s="933"/>
      <c r="AA108" s="933"/>
      <c r="AB108" s="933"/>
      <c r="AC108" s="933"/>
      <c r="AD108" s="933"/>
      <c r="AE108" s="933"/>
      <c r="AF108" s="933"/>
      <c r="AG108" s="933"/>
    </row>
    <row r="109" spans="1:33" ht="12.75">
      <c r="A109" s="933"/>
      <c r="B109" s="933"/>
      <c r="C109" s="933"/>
      <c r="D109" s="933"/>
      <c r="E109" s="933"/>
      <c r="F109" s="933"/>
      <c r="G109" s="933"/>
      <c r="H109" s="933"/>
      <c r="I109" s="933"/>
      <c r="J109" s="933"/>
      <c r="K109" s="933"/>
      <c r="L109" s="933"/>
      <c r="M109" s="933"/>
      <c r="N109" s="933"/>
      <c r="O109" s="933"/>
      <c r="P109" s="933"/>
      <c r="Q109" s="933"/>
      <c r="R109" s="933"/>
      <c r="S109" s="933"/>
      <c r="T109" s="933"/>
      <c r="V109" s="933"/>
      <c r="W109" s="933"/>
      <c r="X109" s="945"/>
      <c r="Y109" s="933"/>
      <c r="Z109" s="933"/>
      <c r="AA109" s="933"/>
      <c r="AB109" s="933"/>
      <c r="AC109" s="933"/>
      <c r="AD109" s="933"/>
      <c r="AE109" s="933"/>
      <c r="AF109" s="933"/>
      <c r="AG109" s="933"/>
    </row>
    <row r="110" spans="1:33" ht="12.75">
      <c r="A110" s="933"/>
      <c r="B110" s="933"/>
      <c r="C110" s="933"/>
      <c r="D110" s="933"/>
      <c r="E110" s="933"/>
      <c r="F110" s="933"/>
      <c r="G110" s="933"/>
      <c r="H110" s="933"/>
      <c r="I110" s="933"/>
      <c r="J110" s="933"/>
      <c r="K110" s="933"/>
      <c r="L110" s="933"/>
      <c r="M110" s="933"/>
      <c r="N110" s="933"/>
      <c r="O110" s="933"/>
      <c r="P110" s="933"/>
      <c r="Q110" s="933"/>
      <c r="R110" s="933"/>
      <c r="S110" s="933"/>
      <c r="T110" s="933"/>
      <c r="V110" s="933"/>
      <c r="W110" s="933"/>
      <c r="X110" s="945"/>
      <c r="Y110" s="933"/>
      <c r="Z110" s="933"/>
      <c r="AA110" s="933"/>
      <c r="AB110" s="933"/>
      <c r="AC110" s="933"/>
      <c r="AD110" s="933"/>
      <c r="AE110" s="933"/>
      <c r="AF110" s="933"/>
      <c r="AG110" s="933"/>
    </row>
    <row r="111" spans="1:33" ht="12.75">
      <c r="A111" s="933"/>
      <c r="B111" s="933"/>
      <c r="C111" s="933"/>
      <c r="D111" s="933"/>
      <c r="E111" s="933"/>
      <c r="F111" s="933"/>
      <c r="G111" s="933"/>
      <c r="H111" s="933"/>
      <c r="I111" s="933"/>
      <c r="J111" s="933"/>
      <c r="K111" s="933"/>
      <c r="L111" s="933"/>
      <c r="M111" s="933"/>
      <c r="N111" s="933"/>
      <c r="O111" s="933"/>
      <c r="P111" s="933"/>
      <c r="Q111" s="933"/>
      <c r="R111" s="933"/>
      <c r="S111" s="933"/>
      <c r="T111" s="933"/>
      <c r="V111" s="933"/>
      <c r="W111" s="933"/>
      <c r="X111" s="945"/>
      <c r="Y111" s="933"/>
      <c r="Z111" s="933"/>
      <c r="AA111" s="933"/>
      <c r="AB111" s="933"/>
      <c r="AC111" s="933"/>
      <c r="AD111" s="933"/>
      <c r="AE111" s="933"/>
      <c r="AF111" s="933"/>
      <c r="AG111" s="933"/>
    </row>
    <row r="112" spans="1:33" ht="12.75">
      <c r="A112" s="933"/>
      <c r="B112" s="933"/>
      <c r="C112" s="933"/>
      <c r="D112" s="933"/>
      <c r="E112" s="933"/>
      <c r="F112" s="933"/>
      <c r="G112" s="933"/>
      <c r="H112" s="933"/>
      <c r="I112" s="933"/>
      <c r="J112" s="933"/>
      <c r="K112" s="933"/>
      <c r="L112" s="933"/>
      <c r="M112" s="933"/>
      <c r="N112" s="933"/>
      <c r="O112" s="933"/>
      <c r="P112" s="933"/>
      <c r="Q112" s="933"/>
      <c r="R112" s="933"/>
      <c r="S112" s="933"/>
      <c r="T112" s="933"/>
      <c r="V112" s="933"/>
      <c r="W112" s="933"/>
      <c r="X112" s="945"/>
      <c r="Y112" s="933"/>
      <c r="Z112" s="933"/>
      <c r="AA112" s="933"/>
      <c r="AB112" s="933"/>
      <c r="AC112" s="933"/>
      <c r="AD112" s="933"/>
      <c r="AE112" s="933"/>
      <c r="AF112" s="933"/>
      <c r="AG112" s="933"/>
    </row>
    <row r="113" spans="1:33" ht="12.75">
      <c r="A113" s="933"/>
      <c r="B113" s="933"/>
      <c r="C113" s="933"/>
      <c r="D113" s="933"/>
      <c r="E113" s="933"/>
      <c r="F113" s="933"/>
      <c r="G113" s="933"/>
      <c r="H113" s="933"/>
      <c r="I113" s="933"/>
      <c r="J113" s="933"/>
      <c r="K113" s="933"/>
      <c r="L113" s="933"/>
      <c r="M113" s="933"/>
      <c r="N113" s="933"/>
      <c r="O113" s="933"/>
      <c r="P113" s="933"/>
      <c r="Q113" s="933"/>
      <c r="R113" s="933"/>
      <c r="S113" s="933"/>
      <c r="T113" s="933"/>
      <c r="V113" s="933"/>
      <c r="W113" s="933"/>
      <c r="X113" s="945"/>
      <c r="Y113" s="933"/>
      <c r="Z113" s="933"/>
      <c r="AA113" s="933"/>
      <c r="AB113" s="933"/>
      <c r="AC113" s="933"/>
      <c r="AD113" s="933"/>
      <c r="AE113" s="933"/>
      <c r="AF113" s="933"/>
      <c r="AG113" s="933"/>
    </row>
    <row r="114" spans="1:33" ht="12.75">
      <c r="A114" s="933"/>
      <c r="B114" s="933"/>
      <c r="C114" s="933"/>
      <c r="D114" s="933"/>
      <c r="E114" s="933"/>
      <c r="F114" s="933"/>
      <c r="G114" s="933"/>
      <c r="H114" s="933"/>
      <c r="I114" s="933"/>
      <c r="J114" s="933"/>
      <c r="K114" s="933"/>
      <c r="L114" s="933"/>
      <c r="M114" s="933"/>
      <c r="N114" s="933"/>
      <c r="O114" s="933"/>
      <c r="P114" s="933"/>
      <c r="Q114" s="933"/>
      <c r="R114" s="933"/>
      <c r="S114" s="933"/>
      <c r="T114" s="933"/>
      <c r="V114" s="933"/>
      <c r="W114" s="933"/>
      <c r="X114" s="945"/>
      <c r="Y114" s="933"/>
      <c r="Z114" s="933"/>
      <c r="AA114" s="933"/>
      <c r="AB114" s="933"/>
      <c r="AC114" s="933"/>
      <c r="AD114" s="933"/>
      <c r="AE114" s="933"/>
      <c r="AF114" s="933"/>
      <c r="AG114" s="933"/>
    </row>
    <row r="115" spans="1:33" ht="12.75">
      <c r="A115" s="933"/>
      <c r="B115" s="933"/>
      <c r="C115" s="933"/>
      <c r="D115" s="933"/>
      <c r="E115" s="933"/>
      <c r="F115" s="933"/>
      <c r="G115" s="933"/>
      <c r="H115" s="933"/>
      <c r="I115" s="933"/>
      <c r="J115" s="933"/>
      <c r="K115" s="933"/>
      <c r="L115" s="933"/>
      <c r="M115" s="933"/>
      <c r="N115" s="933"/>
      <c r="O115" s="933"/>
      <c r="P115" s="933"/>
      <c r="Q115" s="933"/>
      <c r="R115" s="933"/>
      <c r="S115" s="933"/>
      <c r="T115" s="933"/>
      <c r="V115" s="933"/>
      <c r="W115" s="933"/>
      <c r="X115" s="945"/>
      <c r="Y115" s="933"/>
      <c r="Z115" s="933"/>
      <c r="AA115" s="933"/>
      <c r="AB115" s="933"/>
      <c r="AC115" s="933"/>
      <c r="AD115" s="933"/>
      <c r="AE115" s="933"/>
      <c r="AF115" s="933"/>
      <c r="AG115" s="933"/>
    </row>
    <row r="116" spans="1:33" ht="12.75">
      <c r="A116" s="933"/>
      <c r="B116" s="933"/>
      <c r="C116" s="933"/>
      <c r="D116" s="933"/>
      <c r="E116" s="933"/>
      <c r="F116" s="933"/>
      <c r="G116" s="933"/>
      <c r="H116" s="933"/>
      <c r="I116" s="933"/>
      <c r="J116" s="933"/>
      <c r="K116" s="933"/>
      <c r="L116" s="933"/>
      <c r="M116" s="933"/>
      <c r="N116" s="933"/>
      <c r="O116" s="933"/>
      <c r="P116" s="933"/>
      <c r="Q116" s="933"/>
      <c r="R116" s="933"/>
      <c r="S116" s="933"/>
      <c r="T116" s="933"/>
      <c r="V116" s="933"/>
      <c r="W116" s="933"/>
      <c r="X116" s="945"/>
      <c r="Y116" s="933"/>
      <c r="Z116" s="933"/>
      <c r="AA116" s="933"/>
      <c r="AB116" s="933"/>
      <c r="AC116" s="933"/>
      <c r="AD116" s="933"/>
      <c r="AE116" s="933"/>
      <c r="AF116" s="933"/>
      <c r="AG116" s="933"/>
    </row>
    <row r="117" spans="1:33" ht="12.75">
      <c r="A117" s="933"/>
      <c r="B117" s="933"/>
      <c r="C117" s="933"/>
      <c r="D117" s="933"/>
      <c r="E117" s="933"/>
      <c r="F117" s="933"/>
      <c r="G117" s="933"/>
      <c r="H117" s="933"/>
      <c r="I117" s="933"/>
      <c r="J117" s="933"/>
      <c r="K117" s="933"/>
      <c r="L117" s="933"/>
      <c r="M117" s="933"/>
      <c r="N117" s="933"/>
      <c r="O117" s="933"/>
      <c r="P117" s="933"/>
      <c r="Q117" s="933"/>
      <c r="R117" s="933"/>
      <c r="S117" s="933"/>
      <c r="T117" s="933"/>
      <c r="V117" s="933"/>
      <c r="W117" s="933"/>
      <c r="X117" s="945"/>
      <c r="Y117" s="933"/>
      <c r="Z117" s="933"/>
      <c r="AA117" s="933"/>
      <c r="AB117" s="933"/>
      <c r="AC117" s="933"/>
      <c r="AD117" s="933"/>
      <c r="AE117" s="933"/>
      <c r="AF117" s="933"/>
      <c r="AG117" s="933"/>
    </row>
    <row r="118" spans="1:33" ht="12.75">
      <c r="A118" s="933"/>
      <c r="B118" s="933"/>
      <c r="C118" s="933"/>
      <c r="D118" s="933"/>
      <c r="E118" s="933"/>
      <c r="F118" s="933"/>
      <c r="G118" s="933"/>
      <c r="H118" s="933"/>
      <c r="I118" s="933"/>
      <c r="J118" s="933"/>
      <c r="K118" s="933"/>
      <c r="L118" s="933"/>
      <c r="M118" s="933"/>
      <c r="N118" s="933"/>
      <c r="O118" s="933"/>
      <c r="P118" s="933"/>
      <c r="Q118" s="933"/>
      <c r="R118" s="933"/>
      <c r="S118" s="933"/>
      <c r="T118" s="933"/>
      <c r="V118" s="933"/>
      <c r="W118" s="933"/>
      <c r="X118" s="945"/>
      <c r="Y118" s="933"/>
      <c r="Z118" s="933"/>
      <c r="AA118" s="933"/>
      <c r="AB118" s="933"/>
      <c r="AC118" s="933"/>
      <c r="AD118" s="933"/>
      <c r="AE118" s="933"/>
      <c r="AF118" s="933"/>
      <c r="AG118" s="933"/>
    </row>
    <row r="119" spans="1:33" ht="12.75">
      <c r="A119" s="933"/>
      <c r="B119" s="933"/>
      <c r="C119" s="933"/>
      <c r="D119" s="933"/>
      <c r="E119" s="933"/>
      <c r="F119" s="933"/>
      <c r="G119" s="933"/>
      <c r="H119" s="933"/>
      <c r="I119" s="933"/>
      <c r="J119" s="933"/>
      <c r="K119" s="933"/>
      <c r="L119" s="933"/>
      <c r="M119" s="933"/>
      <c r="N119" s="933"/>
      <c r="O119" s="933"/>
      <c r="P119" s="933"/>
      <c r="Q119" s="933"/>
      <c r="R119" s="933"/>
      <c r="S119" s="933"/>
      <c r="T119" s="933"/>
      <c r="V119" s="933"/>
      <c r="W119" s="933"/>
      <c r="X119" s="945"/>
      <c r="Y119" s="933"/>
      <c r="Z119" s="933"/>
      <c r="AA119" s="933"/>
      <c r="AB119" s="933"/>
      <c r="AC119" s="933"/>
      <c r="AD119" s="933"/>
      <c r="AE119" s="933"/>
      <c r="AF119" s="933"/>
      <c r="AG119" s="933"/>
    </row>
    <row r="120" spans="1:33" ht="12.75">
      <c r="A120" s="933"/>
      <c r="B120" s="933"/>
      <c r="C120" s="933"/>
      <c r="D120" s="933"/>
      <c r="E120" s="933"/>
      <c r="F120" s="933"/>
      <c r="G120" s="933"/>
      <c r="H120" s="933"/>
      <c r="I120" s="933"/>
      <c r="J120" s="933"/>
      <c r="K120" s="933"/>
      <c r="L120" s="933"/>
      <c r="M120" s="933"/>
      <c r="N120" s="933"/>
      <c r="O120" s="933"/>
      <c r="P120" s="933"/>
      <c r="Q120" s="933"/>
      <c r="R120" s="933"/>
      <c r="S120" s="933"/>
      <c r="T120" s="933"/>
      <c r="V120" s="933"/>
      <c r="W120" s="933"/>
      <c r="X120" s="945"/>
      <c r="Y120" s="933"/>
      <c r="Z120" s="933"/>
      <c r="AA120" s="933"/>
      <c r="AB120" s="933"/>
      <c r="AC120" s="933"/>
      <c r="AD120" s="933"/>
      <c r="AE120" s="933"/>
      <c r="AF120" s="933"/>
      <c r="AG120" s="933"/>
    </row>
    <row r="121" spans="1:33" ht="12.75">
      <c r="A121" s="933"/>
      <c r="B121" s="933"/>
      <c r="C121" s="933"/>
      <c r="D121" s="933"/>
      <c r="E121" s="933"/>
      <c r="F121" s="933"/>
      <c r="G121" s="933"/>
      <c r="H121" s="933"/>
      <c r="I121" s="933"/>
      <c r="J121" s="933"/>
      <c r="K121" s="933"/>
      <c r="L121" s="933"/>
      <c r="M121" s="933"/>
      <c r="N121" s="933"/>
      <c r="O121" s="933"/>
      <c r="P121" s="933"/>
      <c r="Q121" s="933"/>
      <c r="R121" s="933"/>
      <c r="S121" s="933"/>
      <c r="T121" s="933"/>
      <c r="V121" s="933"/>
      <c r="W121" s="933"/>
      <c r="X121" s="945"/>
      <c r="Y121" s="933"/>
      <c r="Z121" s="933"/>
      <c r="AA121" s="933"/>
      <c r="AB121" s="933"/>
      <c r="AC121" s="933"/>
      <c r="AD121" s="933"/>
      <c r="AE121" s="933"/>
      <c r="AF121" s="933"/>
      <c r="AG121" s="933"/>
    </row>
    <row r="122" spans="1:33" ht="12.75">
      <c r="A122" s="933"/>
      <c r="B122" s="933"/>
      <c r="C122" s="933"/>
      <c r="D122" s="933"/>
      <c r="E122" s="933"/>
      <c r="F122" s="933"/>
      <c r="G122" s="933"/>
      <c r="H122" s="933"/>
      <c r="I122" s="933"/>
      <c r="J122" s="933"/>
      <c r="K122" s="933"/>
      <c r="L122" s="933"/>
      <c r="M122" s="933"/>
      <c r="N122" s="933"/>
      <c r="O122" s="933"/>
      <c r="P122" s="933"/>
      <c r="Q122" s="933"/>
      <c r="R122" s="933"/>
      <c r="S122" s="933"/>
      <c r="T122" s="933"/>
      <c r="V122" s="933"/>
      <c r="W122" s="933"/>
      <c r="X122" s="945"/>
      <c r="Y122" s="933"/>
      <c r="Z122" s="933"/>
      <c r="AA122" s="933"/>
      <c r="AB122" s="933"/>
      <c r="AC122" s="933"/>
      <c r="AD122" s="933"/>
      <c r="AE122" s="933"/>
      <c r="AF122" s="933"/>
      <c r="AG122" s="933"/>
    </row>
    <row r="123" spans="1:33" ht="12.75">
      <c r="A123" s="933"/>
      <c r="B123" s="933"/>
      <c r="C123" s="933"/>
      <c r="D123" s="933"/>
      <c r="E123" s="933"/>
      <c r="F123" s="933"/>
      <c r="G123" s="933"/>
      <c r="H123" s="933"/>
      <c r="I123" s="933"/>
      <c r="J123" s="933"/>
      <c r="K123" s="933"/>
      <c r="L123" s="933"/>
      <c r="M123" s="933"/>
      <c r="N123" s="933"/>
      <c r="O123" s="933"/>
      <c r="P123" s="933"/>
      <c r="Q123" s="933"/>
      <c r="R123" s="933"/>
      <c r="S123" s="933"/>
      <c r="T123" s="933"/>
      <c r="V123" s="933"/>
      <c r="W123" s="933"/>
      <c r="X123" s="945"/>
      <c r="Y123" s="933"/>
      <c r="Z123" s="933"/>
      <c r="AA123" s="933"/>
      <c r="AB123" s="933"/>
      <c r="AC123" s="933"/>
      <c r="AD123" s="933"/>
      <c r="AE123" s="933"/>
      <c r="AF123" s="933"/>
      <c r="AG123" s="933"/>
    </row>
    <row r="124" spans="1:33" ht="12.75">
      <c r="A124" s="933"/>
      <c r="B124" s="933"/>
      <c r="C124" s="933"/>
      <c r="D124" s="933"/>
      <c r="E124" s="933"/>
      <c r="F124" s="933"/>
      <c r="G124" s="933"/>
      <c r="H124" s="933"/>
      <c r="I124" s="933"/>
      <c r="J124" s="933"/>
      <c r="K124" s="933"/>
      <c r="L124" s="933"/>
      <c r="M124" s="933"/>
      <c r="N124" s="933"/>
      <c r="O124" s="933"/>
      <c r="P124" s="933"/>
      <c r="Q124" s="933"/>
      <c r="R124" s="933"/>
      <c r="S124" s="933"/>
      <c r="T124" s="933"/>
      <c r="V124" s="933"/>
      <c r="W124" s="933"/>
      <c r="X124" s="945"/>
      <c r="Y124" s="933"/>
      <c r="Z124" s="933"/>
      <c r="AA124" s="933"/>
      <c r="AB124" s="933"/>
      <c r="AC124" s="933"/>
      <c r="AD124" s="933"/>
      <c r="AE124" s="933"/>
      <c r="AF124" s="933"/>
      <c r="AG124" s="933"/>
    </row>
    <row r="125" spans="1:33" ht="12.75">
      <c r="A125" s="933"/>
      <c r="B125" s="933"/>
      <c r="C125" s="933"/>
      <c r="D125" s="933"/>
      <c r="E125" s="933"/>
      <c r="F125" s="933"/>
      <c r="G125" s="933"/>
      <c r="H125" s="933"/>
      <c r="I125" s="933"/>
      <c r="J125" s="933"/>
      <c r="K125" s="933"/>
      <c r="L125" s="933"/>
      <c r="M125" s="933"/>
      <c r="N125" s="933"/>
      <c r="O125" s="933"/>
      <c r="P125" s="933"/>
      <c r="Q125" s="933"/>
      <c r="R125" s="933"/>
      <c r="S125" s="933"/>
      <c r="T125" s="933"/>
      <c r="V125" s="933"/>
      <c r="W125" s="933"/>
      <c r="X125" s="945"/>
      <c r="Y125" s="933"/>
      <c r="Z125" s="933"/>
      <c r="AA125" s="933"/>
      <c r="AB125" s="933"/>
      <c r="AC125" s="933"/>
      <c r="AD125" s="933"/>
      <c r="AE125" s="933"/>
      <c r="AF125" s="933"/>
      <c r="AG125" s="933"/>
    </row>
    <row r="126" spans="1:33" ht="12.75">
      <c r="A126" s="933"/>
      <c r="B126" s="933"/>
      <c r="C126" s="933"/>
      <c r="D126" s="933"/>
      <c r="E126" s="933"/>
      <c r="F126" s="933"/>
      <c r="G126" s="933"/>
      <c r="H126" s="933"/>
      <c r="I126" s="933"/>
      <c r="J126" s="933"/>
      <c r="K126" s="933"/>
      <c r="L126" s="933"/>
      <c r="M126" s="933"/>
      <c r="N126" s="933"/>
      <c r="O126" s="933"/>
      <c r="P126" s="933"/>
      <c r="Q126" s="933"/>
      <c r="R126" s="933"/>
      <c r="S126" s="933"/>
      <c r="T126" s="933"/>
      <c r="V126" s="933"/>
      <c r="W126" s="933"/>
      <c r="X126" s="945"/>
      <c r="Y126" s="933"/>
      <c r="Z126" s="933"/>
      <c r="AA126" s="933"/>
      <c r="AB126" s="933"/>
      <c r="AC126" s="933"/>
      <c r="AD126" s="933"/>
      <c r="AE126" s="933"/>
      <c r="AF126" s="933"/>
      <c r="AG126" s="933"/>
    </row>
    <row r="127" spans="1:33" ht="12.75">
      <c r="A127" s="933"/>
      <c r="B127" s="933"/>
      <c r="C127" s="933"/>
      <c r="D127" s="933"/>
      <c r="E127" s="933"/>
      <c r="F127" s="933"/>
      <c r="G127" s="933"/>
      <c r="H127" s="933"/>
      <c r="I127" s="933"/>
      <c r="J127" s="933"/>
      <c r="K127" s="933"/>
      <c r="L127" s="933"/>
      <c r="M127" s="933"/>
      <c r="N127" s="933"/>
      <c r="O127" s="933"/>
      <c r="P127" s="933"/>
      <c r="Q127" s="933"/>
      <c r="R127" s="933"/>
      <c r="S127" s="933"/>
      <c r="T127" s="933"/>
      <c r="V127" s="933"/>
      <c r="W127" s="933"/>
      <c r="X127" s="945"/>
      <c r="Y127" s="933"/>
      <c r="Z127" s="933"/>
      <c r="AA127" s="933"/>
      <c r="AB127" s="933"/>
      <c r="AC127" s="933"/>
      <c r="AD127" s="933"/>
      <c r="AE127" s="933"/>
      <c r="AF127" s="933"/>
      <c r="AG127" s="933"/>
    </row>
    <row r="128" spans="1:33" ht="12.75">
      <c r="A128" s="933"/>
      <c r="B128" s="933"/>
      <c r="C128" s="933"/>
      <c r="D128" s="933"/>
      <c r="E128" s="933"/>
      <c r="F128" s="933"/>
      <c r="G128" s="933"/>
      <c r="H128" s="933"/>
      <c r="I128" s="933"/>
      <c r="J128" s="933"/>
      <c r="K128" s="933"/>
      <c r="L128" s="933"/>
      <c r="M128" s="933"/>
      <c r="N128" s="933"/>
      <c r="O128" s="933"/>
      <c r="P128" s="933"/>
      <c r="Q128" s="933"/>
      <c r="R128" s="933"/>
      <c r="S128" s="933"/>
      <c r="T128" s="933"/>
      <c r="V128" s="933"/>
      <c r="W128" s="933"/>
      <c r="X128" s="945"/>
      <c r="Y128" s="933"/>
      <c r="Z128" s="933"/>
      <c r="AA128" s="933"/>
      <c r="AB128" s="933"/>
      <c r="AC128" s="933"/>
      <c r="AD128" s="933"/>
      <c r="AE128" s="933"/>
      <c r="AF128" s="933"/>
      <c r="AG128" s="933"/>
    </row>
    <row r="129" spans="1:33" ht="12.75">
      <c r="A129" s="933"/>
      <c r="B129" s="933"/>
      <c r="C129" s="933"/>
      <c r="D129" s="933"/>
      <c r="E129" s="933"/>
      <c r="F129" s="933"/>
      <c r="G129" s="933"/>
      <c r="H129" s="933"/>
      <c r="I129" s="933"/>
      <c r="J129" s="933"/>
      <c r="K129" s="933"/>
      <c r="L129" s="933"/>
      <c r="M129" s="933"/>
      <c r="N129" s="933"/>
      <c r="O129" s="933"/>
      <c r="P129" s="933"/>
      <c r="Q129" s="933"/>
      <c r="R129" s="933"/>
      <c r="S129" s="933"/>
      <c r="T129" s="933"/>
      <c r="V129" s="933"/>
      <c r="W129" s="933"/>
      <c r="X129" s="945"/>
      <c r="Y129" s="933"/>
      <c r="Z129" s="933"/>
      <c r="AA129" s="933"/>
      <c r="AB129" s="933"/>
      <c r="AC129" s="933"/>
      <c r="AD129" s="933"/>
      <c r="AE129" s="933"/>
      <c r="AF129" s="933"/>
      <c r="AG129" s="933"/>
    </row>
    <row r="130" spans="1:33" ht="12.75">
      <c r="A130" s="933"/>
      <c r="B130" s="933"/>
      <c r="C130" s="933"/>
      <c r="D130" s="933"/>
      <c r="E130" s="933"/>
      <c r="F130" s="933"/>
      <c r="G130" s="933"/>
      <c r="H130" s="933"/>
      <c r="I130" s="933"/>
      <c r="J130" s="933"/>
      <c r="K130" s="933"/>
      <c r="L130" s="933"/>
      <c r="M130" s="933"/>
      <c r="N130" s="933"/>
      <c r="O130" s="933"/>
      <c r="P130" s="933"/>
      <c r="Q130" s="933"/>
      <c r="R130" s="933"/>
      <c r="S130" s="933"/>
      <c r="T130" s="933"/>
      <c r="V130" s="933"/>
      <c r="W130" s="933"/>
      <c r="X130" s="945"/>
      <c r="Y130" s="933"/>
      <c r="Z130" s="933"/>
      <c r="AA130" s="933"/>
      <c r="AB130" s="933"/>
      <c r="AC130" s="933"/>
      <c r="AD130" s="933"/>
      <c r="AE130" s="933"/>
      <c r="AF130" s="933"/>
      <c r="AG130" s="933"/>
    </row>
    <row r="131" spans="1:33" ht="12.75">
      <c r="A131" s="933"/>
      <c r="B131" s="933"/>
      <c r="C131" s="933"/>
      <c r="D131" s="933"/>
      <c r="E131" s="933"/>
      <c r="F131" s="933"/>
      <c r="G131" s="933"/>
      <c r="H131" s="933"/>
      <c r="I131" s="933"/>
      <c r="J131" s="933"/>
      <c r="K131" s="933"/>
      <c r="L131" s="933"/>
      <c r="M131" s="933"/>
      <c r="N131" s="933"/>
      <c r="O131" s="933"/>
      <c r="P131" s="933"/>
      <c r="Q131" s="933"/>
      <c r="R131" s="933"/>
      <c r="S131" s="933"/>
      <c r="T131" s="933"/>
      <c r="V131" s="933"/>
      <c r="W131" s="933"/>
      <c r="X131" s="945"/>
      <c r="Y131" s="933"/>
      <c r="Z131" s="933"/>
      <c r="AA131" s="933"/>
      <c r="AB131" s="933"/>
      <c r="AC131" s="933"/>
      <c r="AD131" s="933"/>
      <c r="AE131" s="933"/>
      <c r="AF131" s="933"/>
      <c r="AG131" s="933"/>
    </row>
    <row r="132" spans="1:33" ht="12.75">
      <c r="A132" s="933"/>
      <c r="B132" s="933"/>
      <c r="C132" s="933"/>
      <c r="D132" s="933"/>
      <c r="E132" s="933"/>
      <c r="F132" s="933"/>
      <c r="G132" s="933"/>
      <c r="H132" s="933"/>
      <c r="I132" s="933"/>
      <c r="J132" s="933"/>
      <c r="K132" s="933"/>
      <c r="L132" s="933"/>
      <c r="M132" s="933"/>
      <c r="N132" s="933"/>
      <c r="O132" s="933"/>
      <c r="P132" s="933"/>
      <c r="Q132" s="933"/>
      <c r="R132" s="933"/>
      <c r="S132" s="933"/>
      <c r="T132" s="933"/>
      <c r="V132" s="933"/>
      <c r="W132" s="933"/>
      <c r="X132" s="945"/>
      <c r="Y132" s="933"/>
      <c r="Z132" s="933"/>
      <c r="AA132" s="933"/>
      <c r="AB132" s="933"/>
      <c r="AC132" s="933"/>
      <c r="AD132" s="933"/>
      <c r="AE132" s="933"/>
      <c r="AF132" s="933"/>
      <c r="AG132" s="933"/>
    </row>
    <row r="133" spans="1:33" ht="12.75">
      <c r="A133" s="933"/>
      <c r="B133" s="933"/>
      <c r="C133" s="933"/>
      <c r="D133" s="933"/>
      <c r="E133" s="933"/>
      <c r="F133" s="933"/>
      <c r="G133" s="933"/>
      <c r="H133" s="933"/>
      <c r="I133" s="933"/>
      <c r="J133" s="933"/>
      <c r="K133" s="933"/>
      <c r="L133" s="933"/>
      <c r="M133" s="933"/>
      <c r="N133" s="933"/>
      <c r="O133" s="933"/>
      <c r="P133" s="933"/>
      <c r="Q133" s="933"/>
      <c r="R133" s="933"/>
      <c r="S133" s="933"/>
      <c r="T133" s="933"/>
      <c r="V133" s="933"/>
      <c r="W133" s="933"/>
      <c r="X133" s="945"/>
      <c r="Y133" s="933"/>
      <c r="Z133" s="933"/>
      <c r="AA133" s="933"/>
      <c r="AB133" s="933"/>
      <c r="AC133" s="933"/>
      <c r="AD133" s="933"/>
      <c r="AE133" s="933"/>
      <c r="AF133" s="933"/>
      <c r="AG133" s="933"/>
    </row>
    <row r="134" spans="1:33" ht="12.75">
      <c r="A134" s="933"/>
      <c r="B134" s="933"/>
      <c r="C134" s="933"/>
      <c r="D134" s="933"/>
      <c r="E134" s="933"/>
      <c r="F134" s="933"/>
      <c r="G134" s="933"/>
      <c r="H134" s="933"/>
      <c r="I134" s="933"/>
      <c r="J134" s="933"/>
      <c r="K134" s="933"/>
      <c r="L134" s="933"/>
      <c r="M134" s="933"/>
      <c r="N134" s="933"/>
      <c r="O134" s="933"/>
      <c r="P134" s="933"/>
      <c r="Q134" s="933"/>
      <c r="R134" s="933"/>
      <c r="S134" s="933"/>
      <c r="T134" s="933"/>
      <c r="V134" s="933"/>
      <c r="W134" s="933"/>
      <c r="X134" s="945"/>
      <c r="Y134" s="933"/>
      <c r="Z134" s="933"/>
      <c r="AA134" s="933"/>
      <c r="AB134" s="933"/>
      <c r="AC134" s="933"/>
      <c r="AD134" s="933"/>
      <c r="AE134" s="933"/>
      <c r="AF134" s="933"/>
      <c r="AG134" s="933"/>
    </row>
    <row r="135" spans="1:33" ht="12.75">
      <c r="A135" s="933"/>
      <c r="B135" s="933"/>
      <c r="C135" s="933"/>
      <c r="D135" s="933"/>
      <c r="E135" s="933"/>
      <c r="F135" s="933"/>
      <c r="G135" s="933"/>
      <c r="H135" s="933"/>
      <c r="I135" s="933"/>
      <c r="J135" s="933"/>
      <c r="K135" s="933"/>
      <c r="L135" s="933"/>
      <c r="M135" s="933"/>
      <c r="N135" s="933"/>
      <c r="O135" s="933"/>
      <c r="P135" s="933"/>
      <c r="Q135" s="933"/>
      <c r="R135" s="933"/>
      <c r="S135" s="933"/>
      <c r="T135" s="933"/>
      <c r="V135" s="933"/>
      <c r="W135" s="933"/>
      <c r="X135" s="945"/>
      <c r="Y135" s="933"/>
      <c r="Z135" s="933"/>
      <c r="AA135" s="933"/>
      <c r="AB135" s="933"/>
      <c r="AC135" s="933"/>
      <c r="AD135" s="933"/>
      <c r="AE135" s="933"/>
      <c r="AF135" s="933"/>
      <c r="AG135" s="933"/>
    </row>
    <row r="136" spans="1:33" ht="12.75">
      <c r="A136" s="933"/>
      <c r="B136" s="933"/>
      <c r="C136" s="933"/>
      <c r="D136" s="933"/>
      <c r="E136" s="933"/>
      <c r="F136" s="933"/>
      <c r="G136" s="933"/>
      <c r="H136" s="933"/>
      <c r="I136" s="933"/>
      <c r="J136" s="933"/>
      <c r="K136" s="933"/>
      <c r="L136" s="933"/>
      <c r="M136" s="933"/>
      <c r="N136" s="933"/>
      <c r="O136" s="933"/>
      <c r="P136" s="933"/>
      <c r="Q136" s="933"/>
      <c r="R136" s="933"/>
      <c r="S136" s="933"/>
      <c r="T136" s="933"/>
      <c r="V136" s="933"/>
      <c r="W136" s="933"/>
      <c r="X136" s="945"/>
      <c r="Y136" s="933"/>
      <c r="Z136" s="933"/>
      <c r="AA136" s="933"/>
      <c r="AB136" s="933"/>
      <c r="AC136" s="933"/>
      <c r="AD136" s="933"/>
      <c r="AE136" s="933"/>
      <c r="AF136" s="933"/>
      <c r="AG136" s="933"/>
    </row>
    <row r="137" spans="1:33" ht="12.75">
      <c r="A137" s="933"/>
      <c r="B137" s="933"/>
      <c r="C137" s="933"/>
      <c r="D137" s="933"/>
      <c r="E137" s="933"/>
      <c r="F137" s="933"/>
      <c r="G137" s="933"/>
      <c r="H137" s="933"/>
      <c r="I137" s="933"/>
      <c r="J137" s="933"/>
      <c r="K137" s="933"/>
      <c r="L137" s="933"/>
      <c r="M137" s="933"/>
      <c r="N137" s="933"/>
      <c r="O137" s="933"/>
      <c r="P137" s="933"/>
      <c r="Q137" s="933"/>
      <c r="R137" s="933"/>
      <c r="S137" s="933"/>
      <c r="T137" s="933"/>
      <c r="V137" s="933"/>
      <c r="W137" s="933"/>
      <c r="X137" s="945"/>
      <c r="Y137" s="933"/>
      <c r="Z137" s="933"/>
      <c r="AA137" s="933"/>
      <c r="AB137" s="933"/>
      <c r="AC137" s="933"/>
      <c r="AD137" s="933"/>
      <c r="AE137" s="933"/>
      <c r="AF137" s="933"/>
      <c r="AG137" s="933"/>
    </row>
    <row r="138" spans="1:33" ht="12.75">
      <c r="A138" s="933"/>
      <c r="B138" s="933"/>
      <c r="C138" s="933"/>
      <c r="D138" s="933"/>
      <c r="E138" s="933"/>
      <c r="F138" s="933"/>
      <c r="G138" s="933"/>
      <c r="H138" s="933"/>
      <c r="I138" s="933"/>
      <c r="J138" s="933"/>
      <c r="K138" s="933"/>
      <c r="L138" s="933"/>
      <c r="M138" s="933"/>
      <c r="N138" s="933"/>
      <c r="O138" s="933"/>
      <c r="P138" s="933"/>
      <c r="Q138" s="933"/>
      <c r="R138" s="933"/>
      <c r="S138" s="933"/>
      <c r="T138" s="933"/>
      <c r="V138" s="933"/>
      <c r="W138" s="933"/>
      <c r="X138" s="945"/>
      <c r="Y138" s="933"/>
      <c r="Z138" s="933"/>
      <c r="AA138" s="933"/>
      <c r="AB138" s="933"/>
      <c r="AC138" s="933"/>
      <c r="AD138" s="933"/>
      <c r="AE138" s="933"/>
      <c r="AF138" s="933"/>
      <c r="AG138" s="933"/>
    </row>
    <row r="139" spans="1:33" ht="12.75">
      <c r="A139" s="933"/>
      <c r="B139" s="933"/>
      <c r="C139" s="933"/>
      <c r="D139" s="933"/>
      <c r="E139" s="933"/>
      <c r="F139" s="933"/>
      <c r="G139" s="933"/>
      <c r="H139" s="933"/>
      <c r="I139" s="933"/>
      <c r="J139" s="933"/>
      <c r="K139" s="933"/>
      <c r="L139" s="933"/>
      <c r="M139" s="933"/>
      <c r="N139" s="933"/>
      <c r="O139" s="933"/>
      <c r="P139" s="933"/>
      <c r="Q139" s="933"/>
      <c r="R139" s="933"/>
      <c r="S139" s="933"/>
      <c r="T139" s="933"/>
      <c r="V139" s="933"/>
      <c r="W139" s="933"/>
      <c r="X139" s="945"/>
      <c r="Y139" s="933"/>
      <c r="Z139" s="933"/>
      <c r="AA139" s="933"/>
      <c r="AB139" s="933"/>
      <c r="AC139" s="933"/>
      <c r="AD139" s="933"/>
      <c r="AE139" s="933"/>
      <c r="AF139" s="933"/>
      <c r="AG139" s="933"/>
    </row>
    <row r="140" spans="1:33" ht="12.75">
      <c r="A140" s="933"/>
      <c r="B140" s="933"/>
      <c r="C140" s="933"/>
      <c r="D140" s="933"/>
      <c r="E140" s="933"/>
      <c r="F140" s="933"/>
      <c r="G140" s="933"/>
      <c r="H140" s="933"/>
      <c r="I140" s="933"/>
      <c r="J140" s="933"/>
      <c r="K140" s="933"/>
      <c r="L140" s="933"/>
      <c r="M140" s="933"/>
      <c r="N140" s="933"/>
      <c r="O140" s="933"/>
      <c r="P140" s="933"/>
      <c r="Q140" s="933"/>
      <c r="R140" s="933"/>
      <c r="S140" s="933"/>
      <c r="T140" s="933"/>
      <c r="V140" s="933"/>
      <c r="W140" s="933"/>
      <c r="X140" s="945"/>
      <c r="Y140" s="933"/>
      <c r="Z140" s="933"/>
      <c r="AA140" s="933"/>
      <c r="AB140" s="933"/>
      <c r="AC140" s="933"/>
      <c r="AD140" s="933"/>
      <c r="AE140" s="933"/>
      <c r="AF140" s="933"/>
      <c r="AG140" s="933"/>
    </row>
    <row r="141" spans="1:33" ht="12.75">
      <c r="A141" s="933"/>
      <c r="B141" s="933"/>
      <c r="C141" s="933"/>
      <c r="D141" s="933"/>
      <c r="E141" s="933"/>
      <c r="F141" s="933"/>
      <c r="G141" s="933"/>
      <c r="H141" s="933"/>
      <c r="I141" s="933"/>
      <c r="J141" s="933"/>
      <c r="K141" s="933"/>
      <c r="L141" s="933"/>
      <c r="M141" s="933"/>
      <c r="N141" s="933"/>
      <c r="O141" s="933"/>
      <c r="P141" s="933"/>
      <c r="Q141" s="933"/>
      <c r="R141" s="933"/>
      <c r="S141" s="933"/>
      <c r="T141" s="933"/>
      <c r="V141" s="933"/>
      <c r="W141" s="933"/>
      <c r="X141" s="945"/>
      <c r="Y141" s="933"/>
      <c r="Z141" s="933"/>
      <c r="AA141" s="933"/>
      <c r="AB141" s="933"/>
      <c r="AC141" s="933"/>
      <c r="AD141" s="933"/>
      <c r="AE141" s="933"/>
      <c r="AF141" s="933"/>
      <c r="AG141" s="933"/>
    </row>
    <row r="142" spans="1:33" ht="12.75">
      <c r="A142" s="933"/>
      <c r="B142" s="933"/>
      <c r="C142" s="933"/>
      <c r="D142" s="933"/>
      <c r="E142" s="933"/>
      <c r="F142" s="933"/>
      <c r="G142" s="933"/>
      <c r="H142" s="933"/>
      <c r="I142" s="933"/>
      <c r="J142" s="933"/>
      <c r="K142" s="933"/>
      <c r="L142" s="933"/>
      <c r="M142" s="933"/>
      <c r="N142" s="933"/>
      <c r="O142" s="933"/>
      <c r="P142" s="933"/>
      <c r="Q142" s="933"/>
      <c r="R142" s="933"/>
      <c r="S142" s="933"/>
      <c r="T142" s="933"/>
      <c r="V142" s="933"/>
      <c r="W142" s="933"/>
      <c r="X142" s="945"/>
      <c r="Y142" s="933"/>
      <c r="Z142" s="933"/>
      <c r="AA142" s="933"/>
      <c r="AB142" s="933"/>
      <c r="AC142" s="933"/>
      <c r="AD142" s="933"/>
      <c r="AE142" s="933"/>
      <c r="AF142" s="933"/>
      <c r="AG142" s="933"/>
    </row>
    <row r="143" spans="1:33" ht="12.75">
      <c r="A143" s="933"/>
      <c r="B143" s="933"/>
      <c r="C143" s="933"/>
      <c r="D143" s="933"/>
      <c r="E143" s="933"/>
      <c r="F143" s="933"/>
      <c r="G143" s="933"/>
      <c r="H143" s="933"/>
      <c r="I143" s="933"/>
      <c r="J143" s="933"/>
      <c r="K143" s="933"/>
      <c r="L143" s="933"/>
      <c r="M143" s="933"/>
      <c r="N143" s="933"/>
      <c r="O143" s="933"/>
      <c r="P143" s="933"/>
      <c r="Q143" s="933"/>
      <c r="R143" s="933"/>
      <c r="S143" s="933"/>
      <c r="T143" s="933"/>
      <c r="V143" s="933"/>
      <c r="W143" s="933"/>
      <c r="X143" s="945"/>
      <c r="Y143" s="933"/>
      <c r="Z143" s="933"/>
      <c r="AA143" s="933"/>
      <c r="AB143" s="933"/>
      <c r="AC143" s="933"/>
      <c r="AD143" s="933"/>
      <c r="AE143" s="933"/>
      <c r="AF143" s="933"/>
      <c r="AG143" s="933"/>
    </row>
    <row r="144" spans="1:33" ht="12.75">
      <c r="A144" s="933"/>
      <c r="B144" s="933"/>
      <c r="C144" s="933"/>
      <c r="D144" s="933"/>
      <c r="E144" s="933"/>
      <c r="F144" s="933"/>
      <c r="G144" s="933"/>
      <c r="H144" s="933"/>
      <c r="I144" s="933"/>
      <c r="J144" s="933"/>
      <c r="K144" s="933"/>
      <c r="L144" s="933"/>
      <c r="M144" s="933"/>
      <c r="N144" s="933"/>
      <c r="O144" s="933"/>
      <c r="P144" s="933"/>
      <c r="Q144" s="933"/>
      <c r="R144" s="933"/>
      <c r="S144" s="933"/>
      <c r="T144" s="933"/>
      <c r="V144" s="933"/>
      <c r="W144" s="933"/>
      <c r="X144" s="945"/>
      <c r="Y144" s="933"/>
      <c r="Z144" s="933"/>
      <c r="AA144" s="933"/>
      <c r="AB144" s="933"/>
      <c r="AC144" s="933"/>
      <c r="AD144" s="933"/>
      <c r="AE144" s="933"/>
      <c r="AF144" s="933"/>
      <c r="AG144" s="933"/>
    </row>
    <row r="145" spans="1:33" ht="12.75">
      <c r="A145" s="933"/>
      <c r="B145" s="933"/>
      <c r="C145" s="933"/>
      <c r="D145" s="933"/>
      <c r="E145" s="933"/>
      <c r="F145" s="933"/>
      <c r="G145" s="933"/>
      <c r="H145" s="933"/>
      <c r="I145" s="933"/>
      <c r="J145" s="933"/>
      <c r="K145" s="933"/>
      <c r="L145" s="933"/>
      <c r="M145" s="933"/>
      <c r="N145" s="933"/>
      <c r="O145" s="933"/>
      <c r="P145" s="933"/>
      <c r="Q145" s="933"/>
      <c r="R145" s="933"/>
      <c r="S145" s="933"/>
      <c r="T145" s="933"/>
      <c r="V145" s="933"/>
      <c r="W145" s="933"/>
      <c r="X145" s="945"/>
      <c r="Y145" s="933"/>
      <c r="Z145" s="933"/>
      <c r="AA145" s="933"/>
      <c r="AB145" s="933"/>
      <c r="AC145" s="933"/>
      <c r="AD145" s="933"/>
      <c r="AE145" s="933"/>
      <c r="AF145" s="933"/>
      <c r="AG145" s="933"/>
    </row>
    <row r="146" spans="1:33" ht="12.75">
      <c r="A146" s="933"/>
      <c r="B146" s="933"/>
      <c r="C146" s="933"/>
      <c r="D146" s="933"/>
      <c r="E146" s="933"/>
      <c r="F146" s="933"/>
      <c r="G146" s="933"/>
      <c r="H146" s="933"/>
      <c r="I146" s="933"/>
      <c r="J146" s="933"/>
      <c r="K146" s="933"/>
      <c r="L146" s="933"/>
      <c r="M146" s="933"/>
      <c r="N146" s="933"/>
      <c r="O146" s="933"/>
      <c r="P146" s="933"/>
      <c r="Q146" s="933"/>
      <c r="R146" s="933"/>
      <c r="S146" s="933"/>
      <c r="T146" s="933"/>
      <c r="V146" s="933"/>
      <c r="W146" s="933"/>
      <c r="X146" s="945"/>
      <c r="Y146" s="933"/>
      <c r="Z146" s="933"/>
      <c r="AA146" s="933"/>
      <c r="AB146" s="933"/>
      <c r="AC146" s="933"/>
      <c r="AD146" s="933"/>
      <c r="AE146" s="933"/>
      <c r="AF146" s="933"/>
      <c r="AG146" s="933"/>
    </row>
    <row r="147" spans="1:33" ht="12.75">
      <c r="A147" s="933"/>
      <c r="B147" s="933"/>
      <c r="C147" s="933"/>
      <c r="D147" s="933"/>
      <c r="E147" s="933"/>
      <c r="F147" s="933"/>
      <c r="G147" s="933"/>
      <c r="H147" s="933"/>
      <c r="I147" s="933"/>
      <c r="J147" s="933"/>
      <c r="K147" s="933"/>
      <c r="L147" s="933"/>
      <c r="M147" s="933"/>
      <c r="N147" s="933"/>
      <c r="O147" s="933"/>
      <c r="P147" s="933"/>
      <c r="Q147" s="933"/>
      <c r="R147" s="933"/>
      <c r="S147" s="933"/>
      <c r="T147" s="933"/>
      <c r="V147" s="933"/>
      <c r="W147" s="933"/>
      <c r="X147" s="945"/>
      <c r="Y147" s="933"/>
      <c r="Z147" s="933"/>
      <c r="AA147" s="933"/>
      <c r="AB147" s="933"/>
      <c r="AC147" s="933"/>
      <c r="AD147" s="933"/>
      <c r="AE147" s="933"/>
      <c r="AF147" s="933"/>
      <c r="AG147" s="933"/>
    </row>
    <row r="148" spans="1:33" ht="12.75">
      <c r="A148" s="933"/>
      <c r="B148" s="933"/>
      <c r="C148" s="933"/>
      <c r="D148" s="933"/>
      <c r="E148" s="933"/>
      <c r="F148" s="933"/>
      <c r="G148" s="933"/>
      <c r="H148" s="933"/>
      <c r="I148" s="933"/>
      <c r="J148" s="933"/>
      <c r="K148" s="933"/>
      <c r="L148" s="933"/>
      <c r="M148" s="933"/>
      <c r="N148" s="933"/>
      <c r="O148" s="933"/>
      <c r="P148" s="933"/>
      <c r="Q148" s="933"/>
      <c r="R148" s="933"/>
      <c r="S148" s="933"/>
      <c r="T148" s="933"/>
      <c r="V148" s="933"/>
      <c r="W148" s="933"/>
      <c r="X148" s="945"/>
      <c r="Y148" s="933"/>
      <c r="Z148" s="933"/>
      <c r="AA148" s="933"/>
      <c r="AB148" s="933"/>
      <c r="AC148" s="933"/>
      <c r="AD148" s="933"/>
      <c r="AE148" s="933"/>
      <c r="AF148" s="933"/>
      <c r="AG148" s="933"/>
    </row>
    <row r="149" spans="1:33" ht="12.75">
      <c r="A149" s="933"/>
      <c r="B149" s="933"/>
      <c r="C149" s="933"/>
      <c r="D149" s="933"/>
      <c r="E149" s="933"/>
      <c r="F149" s="933"/>
      <c r="G149" s="933"/>
      <c r="H149" s="933"/>
      <c r="I149" s="933"/>
      <c r="J149" s="933"/>
      <c r="K149" s="933"/>
      <c r="L149" s="933"/>
      <c r="M149" s="933"/>
      <c r="N149" s="933"/>
      <c r="O149" s="933"/>
      <c r="P149" s="933"/>
      <c r="Q149" s="933"/>
      <c r="R149" s="933"/>
      <c r="S149" s="933"/>
      <c r="T149" s="933"/>
      <c r="V149" s="933"/>
      <c r="W149" s="933"/>
      <c r="X149" s="945"/>
      <c r="Y149" s="933"/>
      <c r="Z149" s="933"/>
      <c r="AA149" s="933"/>
      <c r="AB149" s="933"/>
      <c r="AC149" s="933"/>
      <c r="AD149" s="933"/>
      <c r="AE149" s="933"/>
      <c r="AF149" s="933"/>
      <c r="AG149" s="933"/>
    </row>
    <row r="150" spans="1:33" ht="12.75">
      <c r="A150" s="933"/>
      <c r="B150" s="933"/>
      <c r="C150" s="933"/>
      <c r="D150" s="933"/>
      <c r="E150" s="933"/>
      <c r="F150" s="933"/>
      <c r="G150" s="933"/>
      <c r="H150" s="933"/>
      <c r="I150" s="933"/>
      <c r="J150" s="933"/>
      <c r="K150" s="933"/>
      <c r="L150" s="933"/>
      <c r="M150" s="933"/>
      <c r="N150" s="933"/>
      <c r="O150" s="933"/>
      <c r="P150" s="933"/>
      <c r="Q150" s="933"/>
      <c r="R150" s="933"/>
      <c r="S150" s="933"/>
      <c r="T150" s="933"/>
      <c r="V150" s="933"/>
      <c r="W150" s="933"/>
      <c r="X150" s="945"/>
      <c r="Y150" s="933"/>
      <c r="Z150" s="933"/>
      <c r="AA150" s="933"/>
      <c r="AB150" s="933"/>
      <c r="AC150" s="933"/>
      <c r="AD150" s="933"/>
      <c r="AE150" s="933"/>
      <c r="AF150" s="933"/>
      <c r="AG150" s="933"/>
    </row>
    <row r="151" spans="1:33" ht="12.75">
      <c r="A151" s="933"/>
      <c r="B151" s="933"/>
      <c r="C151" s="933"/>
      <c r="D151" s="933"/>
      <c r="E151" s="933"/>
      <c r="F151" s="933"/>
      <c r="G151" s="933"/>
      <c r="H151" s="933"/>
      <c r="I151" s="933"/>
      <c r="J151" s="933"/>
      <c r="K151" s="933"/>
      <c r="L151" s="933"/>
      <c r="M151" s="933"/>
      <c r="N151" s="933"/>
      <c r="O151" s="933"/>
      <c r="P151" s="933"/>
      <c r="Q151" s="933"/>
      <c r="R151" s="933"/>
      <c r="S151" s="933"/>
      <c r="T151" s="933"/>
      <c r="V151" s="933"/>
      <c r="W151" s="933"/>
      <c r="X151" s="945"/>
      <c r="Y151" s="933"/>
      <c r="Z151" s="933"/>
      <c r="AA151" s="933"/>
      <c r="AB151" s="933"/>
      <c r="AC151" s="933"/>
      <c r="AD151" s="933"/>
      <c r="AE151" s="933"/>
      <c r="AF151" s="933"/>
      <c r="AG151" s="933"/>
    </row>
    <row r="152" spans="1:33" ht="12.75">
      <c r="A152" s="933"/>
      <c r="B152" s="933"/>
      <c r="C152" s="933"/>
      <c r="D152" s="933"/>
      <c r="E152" s="933"/>
      <c r="F152" s="933"/>
      <c r="G152" s="933"/>
      <c r="H152" s="933"/>
      <c r="I152" s="933"/>
      <c r="J152" s="933"/>
      <c r="K152" s="933"/>
      <c r="L152" s="933"/>
      <c r="M152" s="933"/>
      <c r="N152" s="933"/>
      <c r="O152" s="933"/>
      <c r="P152" s="933"/>
      <c r="Q152" s="933"/>
      <c r="R152" s="933"/>
      <c r="S152" s="933"/>
      <c r="T152" s="933"/>
      <c r="V152" s="933"/>
      <c r="W152" s="933"/>
      <c r="X152" s="945"/>
      <c r="Y152" s="933"/>
      <c r="Z152" s="933"/>
      <c r="AA152" s="933"/>
      <c r="AB152" s="933"/>
      <c r="AC152" s="933"/>
      <c r="AD152" s="933"/>
      <c r="AE152" s="933"/>
      <c r="AF152" s="933"/>
      <c r="AG152" s="933"/>
    </row>
    <row r="153" spans="1:33" ht="12.75">
      <c r="A153" s="933"/>
      <c r="B153" s="933"/>
      <c r="C153" s="933"/>
      <c r="D153" s="933"/>
      <c r="E153" s="933"/>
      <c r="F153" s="933"/>
      <c r="G153" s="933"/>
      <c r="H153" s="933"/>
      <c r="I153" s="933"/>
      <c r="J153" s="933"/>
      <c r="K153" s="933"/>
      <c r="L153" s="933"/>
      <c r="M153" s="933"/>
      <c r="N153" s="933"/>
      <c r="O153" s="933"/>
      <c r="P153" s="933"/>
      <c r="Q153" s="933"/>
      <c r="R153" s="933"/>
      <c r="S153" s="933"/>
      <c r="T153" s="933"/>
      <c r="V153" s="933"/>
      <c r="W153" s="933"/>
      <c r="X153" s="945"/>
      <c r="Y153" s="933"/>
      <c r="Z153" s="933"/>
      <c r="AA153" s="933"/>
      <c r="AB153" s="933"/>
      <c r="AC153" s="933"/>
      <c r="AD153" s="933"/>
      <c r="AE153" s="933"/>
      <c r="AF153" s="933"/>
      <c r="AG153" s="933"/>
    </row>
    <row r="154" spans="1:33" ht="12.75">
      <c r="A154" s="933"/>
      <c r="B154" s="933"/>
      <c r="C154" s="933"/>
      <c r="D154" s="933"/>
      <c r="E154" s="933"/>
      <c r="F154" s="933"/>
      <c r="G154" s="933"/>
      <c r="H154" s="933"/>
      <c r="I154" s="933"/>
      <c r="J154" s="933"/>
      <c r="K154" s="933"/>
      <c r="L154" s="933"/>
      <c r="M154" s="933"/>
      <c r="N154" s="933"/>
      <c r="O154" s="933"/>
      <c r="P154" s="933"/>
      <c r="Q154" s="933"/>
      <c r="R154" s="933"/>
      <c r="S154" s="933"/>
      <c r="T154" s="933"/>
      <c r="V154" s="933"/>
      <c r="W154" s="933"/>
      <c r="X154" s="945"/>
      <c r="Y154" s="933"/>
      <c r="Z154" s="933"/>
      <c r="AA154" s="933"/>
      <c r="AB154" s="933"/>
      <c r="AC154" s="933"/>
      <c r="AD154" s="933"/>
      <c r="AE154" s="933"/>
      <c r="AF154" s="933"/>
      <c r="AG154" s="933"/>
    </row>
    <row r="155" spans="1:33" ht="12.75">
      <c r="A155" s="933"/>
      <c r="B155" s="933"/>
      <c r="C155" s="933"/>
      <c r="D155" s="933"/>
      <c r="E155" s="933"/>
      <c r="F155" s="933"/>
      <c r="G155" s="933"/>
      <c r="H155" s="933"/>
      <c r="I155" s="933"/>
      <c r="J155" s="933"/>
      <c r="K155" s="933"/>
      <c r="L155" s="933"/>
      <c r="M155" s="933"/>
      <c r="N155" s="933"/>
      <c r="O155" s="933"/>
      <c r="P155" s="933"/>
      <c r="Q155" s="933"/>
      <c r="R155" s="933"/>
      <c r="S155" s="933"/>
      <c r="T155" s="933"/>
      <c r="V155" s="933"/>
      <c r="W155" s="933"/>
      <c r="X155" s="945"/>
      <c r="Y155" s="933"/>
      <c r="Z155" s="933"/>
      <c r="AA155" s="933"/>
      <c r="AB155" s="933"/>
      <c r="AC155" s="933"/>
      <c r="AD155" s="933"/>
      <c r="AE155" s="933"/>
      <c r="AF155" s="933"/>
      <c r="AG155" s="933"/>
    </row>
    <row r="156" spans="1:33" ht="12.75">
      <c r="A156" s="933"/>
      <c r="B156" s="933"/>
      <c r="C156" s="933"/>
      <c r="D156" s="933"/>
      <c r="E156" s="933"/>
      <c r="F156" s="933"/>
      <c r="G156" s="933"/>
      <c r="H156" s="933"/>
      <c r="I156" s="933"/>
      <c r="J156" s="933"/>
      <c r="K156" s="933"/>
      <c r="L156" s="933"/>
      <c r="M156" s="933"/>
      <c r="N156" s="933"/>
      <c r="O156" s="933"/>
      <c r="P156" s="933"/>
      <c r="Q156" s="933"/>
      <c r="R156" s="933"/>
      <c r="S156" s="933"/>
      <c r="T156" s="933"/>
      <c r="V156" s="933"/>
      <c r="W156" s="933"/>
      <c r="X156" s="945"/>
      <c r="Y156" s="933"/>
      <c r="Z156" s="933"/>
      <c r="AA156" s="933"/>
      <c r="AB156" s="933"/>
      <c r="AC156" s="933"/>
      <c r="AD156" s="933"/>
      <c r="AE156" s="933"/>
      <c r="AF156" s="933"/>
      <c r="AG156" s="933"/>
    </row>
    <row r="157" spans="1:33" ht="12.75">
      <c r="A157" s="933"/>
      <c r="B157" s="933"/>
      <c r="C157" s="933"/>
      <c r="D157" s="933"/>
      <c r="E157" s="933"/>
      <c r="F157" s="933"/>
      <c r="G157" s="933"/>
      <c r="H157" s="933"/>
      <c r="I157" s="933"/>
      <c r="J157" s="933"/>
      <c r="K157" s="933"/>
      <c r="L157" s="933"/>
      <c r="M157" s="933"/>
      <c r="N157" s="933"/>
      <c r="O157" s="933"/>
      <c r="P157" s="933"/>
      <c r="Q157" s="933"/>
      <c r="R157" s="933"/>
      <c r="S157" s="933"/>
      <c r="T157" s="933"/>
      <c r="V157" s="933"/>
      <c r="W157" s="933"/>
      <c r="X157" s="945"/>
      <c r="Y157" s="933"/>
      <c r="Z157" s="933"/>
      <c r="AA157" s="933"/>
      <c r="AB157" s="933"/>
      <c r="AC157" s="933"/>
      <c r="AD157" s="933"/>
      <c r="AE157" s="933"/>
      <c r="AF157" s="933"/>
      <c r="AG157" s="933"/>
    </row>
    <row r="158" spans="1:33" ht="12.75">
      <c r="A158" s="933"/>
      <c r="B158" s="933"/>
      <c r="C158" s="933"/>
      <c r="D158" s="933"/>
      <c r="E158" s="933"/>
      <c r="F158" s="933"/>
      <c r="G158" s="933"/>
      <c r="H158" s="933"/>
      <c r="I158" s="933"/>
      <c r="J158" s="933"/>
      <c r="K158" s="933"/>
      <c r="L158" s="933"/>
      <c r="M158" s="933"/>
      <c r="N158" s="933"/>
      <c r="O158" s="933"/>
      <c r="P158" s="933"/>
      <c r="Q158" s="933"/>
      <c r="R158" s="933"/>
      <c r="S158" s="933"/>
      <c r="T158" s="933"/>
      <c r="V158" s="933"/>
      <c r="W158" s="933"/>
      <c r="X158" s="945"/>
      <c r="Y158" s="933"/>
      <c r="Z158" s="933"/>
      <c r="AA158" s="933"/>
      <c r="AB158" s="933"/>
      <c r="AC158" s="933"/>
      <c r="AD158" s="933"/>
      <c r="AE158" s="933"/>
      <c r="AF158" s="933"/>
      <c r="AG158" s="933"/>
    </row>
    <row r="159" spans="1:33" ht="12.75">
      <c r="A159" s="933"/>
      <c r="B159" s="933"/>
      <c r="C159" s="933"/>
      <c r="D159" s="933"/>
      <c r="E159" s="933"/>
      <c r="F159" s="933"/>
      <c r="G159" s="933"/>
      <c r="H159" s="933"/>
      <c r="I159" s="933"/>
      <c r="J159" s="933"/>
      <c r="K159" s="933"/>
      <c r="L159" s="933"/>
      <c r="M159" s="933"/>
      <c r="N159" s="933"/>
      <c r="O159" s="933"/>
      <c r="P159" s="933"/>
      <c r="Q159" s="933"/>
      <c r="R159" s="933"/>
      <c r="S159" s="933"/>
      <c r="T159" s="933"/>
      <c r="V159" s="933"/>
      <c r="W159" s="933"/>
      <c r="X159" s="945"/>
      <c r="Y159" s="933"/>
      <c r="Z159" s="933"/>
      <c r="AA159" s="933"/>
      <c r="AB159" s="933"/>
      <c r="AC159" s="933"/>
      <c r="AD159" s="933"/>
      <c r="AE159" s="933"/>
      <c r="AF159" s="933"/>
      <c r="AG159" s="933"/>
    </row>
    <row r="160" spans="1:33" ht="12.75">
      <c r="A160" s="933"/>
      <c r="B160" s="933"/>
      <c r="C160" s="933"/>
      <c r="D160" s="933"/>
      <c r="E160" s="933"/>
      <c r="F160" s="933"/>
      <c r="G160" s="933"/>
      <c r="H160" s="933"/>
      <c r="I160" s="933"/>
      <c r="J160" s="933"/>
      <c r="K160" s="933"/>
      <c r="L160" s="933"/>
      <c r="M160" s="933"/>
      <c r="N160" s="933"/>
      <c r="O160" s="933"/>
      <c r="P160" s="933"/>
      <c r="Q160" s="933"/>
      <c r="R160" s="933"/>
      <c r="S160" s="933"/>
      <c r="T160" s="933"/>
      <c r="V160" s="933"/>
      <c r="W160" s="933"/>
      <c r="X160" s="945"/>
      <c r="Y160" s="933"/>
      <c r="Z160" s="933"/>
      <c r="AA160" s="933"/>
      <c r="AB160" s="933"/>
      <c r="AC160" s="933"/>
      <c r="AD160" s="933"/>
      <c r="AE160" s="933"/>
      <c r="AF160" s="933"/>
      <c r="AG160" s="933"/>
    </row>
    <row r="161" spans="1:33" ht="12.75">
      <c r="A161" s="933"/>
      <c r="B161" s="933"/>
      <c r="C161" s="933"/>
      <c r="D161" s="933"/>
      <c r="E161" s="933"/>
      <c r="F161" s="933"/>
      <c r="G161" s="933"/>
      <c r="H161" s="933"/>
      <c r="I161" s="933"/>
      <c r="J161" s="933"/>
      <c r="K161" s="933"/>
      <c r="L161" s="933"/>
      <c r="M161" s="933"/>
      <c r="N161" s="933"/>
      <c r="O161" s="933"/>
      <c r="P161" s="933"/>
      <c r="Q161" s="933"/>
      <c r="R161" s="933"/>
      <c r="S161" s="933"/>
      <c r="T161" s="933"/>
      <c r="V161" s="933"/>
      <c r="W161" s="933"/>
      <c r="X161" s="945"/>
      <c r="Y161" s="933"/>
      <c r="Z161" s="933"/>
      <c r="AA161" s="933"/>
      <c r="AB161" s="933"/>
      <c r="AC161" s="933"/>
      <c r="AD161" s="933"/>
      <c r="AE161" s="933"/>
      <c r="AF161" s="933"/>
      <c r="AG161" s="933"/>
    </row>
    <row r="162" spans="1:33" ht="12.75">
      <c r="A162" s="933"/>
      <c r="B162" s="933"/>
      <c r="C162" s="933"/>
      <c r="D162" s="933"/>
      <c r="E162" s="933"/>
      <c r="F162" s="933"/>
      <c r="G162" s="933"/>
      <c r="H162" s="933"/>
      <c r="I162" s="933"/>
      <c r="J162" s="933"/>
      <c r="K162" s="933"/>
      <c r="L162" s="933"/>
      <c r="M162" s="933"/>
      <c r="N162" s="933"/>
      <c r="O162" s="933"/>
      <c r="P162" s="933"/>
      <c r="Q162" s="933"/>
      <c r="R162" s="933"/>
      <c r="S162" s="933"/>
      <c r="T162" s="933"/>
      <c r="V162" s="933"/>
      <c r="W162" s="933"/>
      <c r="X162" s="945"/>
      <c r="Y162" s="933"/>
      <c r="Z162" s="933"/>
      <c r="AA162" s="933"/>
      <c r="AB162" s="933"/>
      <c r="AC162" s="933"/>
      <c r="AD162" s="933"/>
      <c r="AE162" s="933"/>
      <c r="AF162" s="933"/>
      <c r="AG162" s="933"/>
    </row>
    <row r="163" spans="1:33" ht="12.75">
      <c r="A163" s="933"/>
      <c r="B163" s="933"/>
      <c r="C163" s="933"/>
      <c r="D163" s="933"/>
      <c r="E163" s="933"/>
      <c r="F163" s="933"/>
      <c r="G163" s="933"/>
      <c r="H163" s="933"/>
      <c r="I163" s="933"/>
      <c r="J163" s="933"/>
      <c r="K163" s="933"/>
      <c r="L163" s="933"/>
      <c r="M163" s="933"/>
      <c r="N163" s="933"/>
      <c r="O163" s="933"/>
      <c r="P163" s="933"/>
      <c r="Q163" s="933"/>
      <c r="R163" s="933"/>
      <c r="S163" s="933"/>
      <c r="T163" s="933"/>
      <c r="V163" s="933"/>
      <c r="W163" s="933"/>
      <c r="X163" s="945"/>
      <c r="Y163" s="933"/>
      <c r="Z163" s="933"/>
      <c r="AA163" s="933"/>
      <c r="AB163" s="933"/>
      <c r="AC163" s="933"/>
      <c r="AD163" s="933"/>
      <c r="AE163" s="933"/>
      <c r="AF163" s="933"/>
      <c r="AG163" s="933"/>
    </row>
    <row r="164" spans="1:33" ht="12.75">
      <c r="A164" s="933"/>
      <c r="B164" s="933"/>
      <c r="C164" s="933"/>
      <c r="D164" s="933"/>
      <c r="E164" s="933"/>
      <c r="F164" s="933"/>
      <c r="G164" s="933"/>
      <c r="H164" s="933"/>
      <c r="I164" s="933"/>
      <c r="J164" s="933"/>
      <c r="K164" s="933"/>
      <c r="L164" s="933"/>
      <c r="M164" s="933"/>
      <c r="N164" s="933"/>
      <c r="O164" s="933"/>
      <c r="P164" s="933"/>
      <c r="Q164" s="933"/>
      <c r="R164" s="933"/>
      <c r="S164" s="933"/>
      <c r="T164" s="933"/>
      <c r="V164" s="933"/>
      <c r="W164" s="933"/>
      <c r="X164" s="945"/>
      <c r="Y164" s="933"/>
      <c r="Z164" s="933"/>
      <c r="AA164" s="933"/>
      <c r="AB164" s="933"/>
      <c r="AC164" s="933"/>
      <c r="AD164" s="933"/>
      <c r="AE164" s="933"/>
      <c r="AF164" s="933"/>
      <c r="AG164" s="933"/>
    </row>
    <row r="165" spans="1:33" ht="12.75">
      <c r="A165" s="933"/>
      <c r="B165" s="933"/>
      <c r="C165" s="933"/>
      <c r="D165" s="933"/>
      <c r="E165" s="933"/>
      <c r="F165" s="933"/>
      <c r="G165" s="933"/>
      <c r="H165" s="933"/>
      <c r="I165" s="933"/>
      <c r="J165" s="933"/>
      <c r="K165" s="933"/>
      <c r="L165" s="933"/>
      <c r="M165" s="933"/>
      <c r="N165" s="933"/>
      <c r="O165" s="933"/>
      <c r="P165" s="933"/>
      <c r="Q165" s="933"/>
      <c r="R165" s="933"/>
      <c r="S165" s="933"/>
      <c r="T165" s="933"/>
      <c r="V165" s="933"/>
      <c r="W165" s="933"/>
      <c r="X165" s="945"/>
      <c r="Y165" s="933"/>
      <c r="Z165" s="933"/>
      <c r="AA165" s="933"/>
      <c r="AB165" s="933"/>
      <c r="AC165" s="933"/>
      <c r="AD165" s="933"/>
      <c r="AE165" s="933"/>
      <c r="AF165" s="933"/>
      <c r="AG165" s="933"/>
    </row>
    <row r="166" spans="1:33" ht="12.75">
      <c r="A166" s="933"/>
      <c r="B166" s="933"/>
      <c r="C166" s="933"/>
      <c r="D166" s="933"/>
      <c r="E166" s="933"/>
      <c r="F166" s="933"/>
      <c r="G166" s="933"/>
      <c r="H166" s="933"/>
      <c r="I166" s="933"/>
      <c r="J166" s="933"/>
      <c r="K166" s="933"/>
      <c r="L166" s="933"/>
      <c r="M166" s="933"/>
      <c r="N166" s="933"/>
      <c r="O166" s="933"/>
      <c r="P166" s="933"/>
      <c r="Q166" s="933"/>
      <c r="R166" s="933"/>
      <c r="S166" s="933"/>
      <c r="T166" s="933"/>
      <c r="V166" s="933"/>
      <c r="W166" s="933"/>
      <c r="X166" s="945"/>
      <c r="Y166" s="933"/>
      <c r="Z166" s="933"/>
      <c r="AA166" s="933"/>
      <c r="AB166" s="933"/>
      <c r="AC166" s="933"/>
      <c r="AD166" s="933"/>
      <c r="AE166" s="933"/>
      <c r="AF166" s="933"/>
      <c r="AG166" s="933"/>
    </row>
    <row r="167" spans="1:33" ht="12.75">
      <c r="A167" s="933"/>
      <c r="B167" s="933"/>
      <c r="C167" s="933"/>
      <c r="D167" s="933"/>
      <c r="E167" s="933"/>
      <c r="F167" s="933"/>
      <c r="G167" s="933"/>
      <c r="H167" s="933"/>
      <c r="I167" s="933"/>
      <c r="J167" s="933"/>
      <c r="K167" s="933"/>
      <c r="L167" s="933"/>
      <c r="M167" s="933"/>
      <c r="N167" s="933"/>
      <c r="O167" s="933"/>
      <c r="P167" s="933"/>
      <c r="Q167" s="933"/>
      <c r="R167" s="933"/>
      <c r="S167" s="933"/>
      <c r="T167" s="933"/>
      <c r="V167" s="933"/>
      <c r="W167" s="933"/>
      <c r="X167" s="945"/>
      <c r="Y167" s="933"/>
      <c r="Z167" s="933"/>
      <c r="AA167" s="933"/>
      <c r="AB167" s="933"/>
      <c r="AC167" s="933"/>
      <c r="AD167" s="933"/>
      <c r="AE167" s="933"/>
      <c r="AF167" s="933"/>
      <c r="AG167" s="933"/>
    </row>
    <row r="168" spans="1:33" ht="12.75">
      <c r="A168" s="933"/>
      <c r="B168" s="933"/>
      <c r="C168" s="933"/>
      <c r="D168" s="933"/>
      <c r="E168" s="933"/>
      <c r="F168" s="933"/>
      <c r="G168" s="933"/>
      <c r="H168" s="933"/>
      <c r="I168" s="933"/>
      <c r="J168" s="933"/>
      <c r="K168" s="933"/>
      <c r="L168" s="933"/>
      <c r="M168" s="933"/>
      <c r="N168" s="933"/>
      <c r="O168" s="933"/>
      <c r="P168" s="933"/>
      <c r="Q168" s="933"/>
      <c r="R168" s="933"/>
      <c r="S168" s="933"/>
      <c r="T168" s="933"/>
      <c r="V168" s="933"/>
      <c r="W168" s="933"/>
      <c r="X168" s="945"/>
      <c r="Y168" s="933"/>
      <c r="Z168" s="933"/>
      <c r="AA168" s="933"/>
      <c r="AB168" s="933"/>
      <c r="AC168" s="933"/>
      <c r="AD168" s="933"/>
      <c r="AE168" s="933"/>
      <c r="AF168" s="933"/>
      <c r="AG168" s="933"/>
    </row>
    <row r="169" spans="1:33" ht="12.75">
      <c r="A169" s="933"/>
      <c r="B169" s="933"/>
      <c r="C169" s="933"/>
      <c r="D169" s="933"/>
      <c r="E169" s="933"/>
      <c r="F169" s="933"/>
      <c r="G169" s="933"/>
      <c r="H169" s="933"/>
      <c r="I169" s="933"/>
      <c r="J169" s="933"/>
      <c r="K169" s="933"/>
      <c r="L169" s="933"/>
      <c r="M169" s="933"/>
      <c r="N169" s="933"/>
      <c r="O169" s="933"/>
      <c r="P169" s="933"/>
      <c r="Q169" s="933"/>
      <c r="R169" s="933"/>
      <c r="S169" s="933"/>
      <c r="T169" s="933"/>
      <c r="V169" s="933"/>
      <c r="W169" s="933"/>
      <c r="X169" s="945"/>
      <c r="Y169" s="933"/>
      <c r="Z169" s="933"/>
      <c r="AA169" s="933"/>
      <c r="AB169" s="933"/>
      <c r="AC169" s="933"/>
      <c r="AD169" s="933"/>
      <c r="AE169" s="933"/>
      <c r="AF169" s="933"/>
      <c r="AG169" s="933"/>
    </row>
    <row r="170" spans="1:33" ht="12.75">
      <c r="A170" s="933"/>
      <c r="B170" s="933"/>
      <c r="C170" s="933"/>
      <c r="D170" s="933"/>
      <c r="E170" s="933"/>
      <c r="F170" s="933"/>
      <c r="G170" s="933"/>
      <c r="H170" s="933"/>
      <c r="I170" s="933"/>
      <c r="J170" s="933"/>
      <c r="K170" s="933"/>
      <c r="L170" s="933"/>
      <c r="M170" s="933"/>
      <c r="N170" s="933"/>
      <c r="O170" s="933"/>
      <c r="P170" s="933"/>
      <c r="Q170" s="933"/>
      <c r="R170" s="933"/>
      <c r="S170" s="933"/>
      <c r="T170" s="933"/>
      <c r="V170" s="933"/>
      <c r="W170" s="933"/>
      <c r="X170" s="945"/>
      <c r="Y170" s="933"/>
      <c r="Z170" s="933"/>
      <c r="AA170" s="933"/>
      <c r="AB170" s="933"/>
      <c r="AC170" s="933"/>
      <c r="AD170" s="933"/>
      <c r="AE170" s="933"/>
      <c r="AF170" s="933"/>
      <c r="AG170" s="933"/>
    </row>
    <row r="171" spans="1:33" ht="12.75">
      <c r="A171" s="933"/>
      <c r="B171" s="933"/>
      <c r="C171" s="933"/>
      <c r="D171" s="933"/>
      <c r="E171" s="933"/>
      <c r="F171" s="933"/>
      <c r="G171" s="933"/>
      <c r="H171" s="933"/>
      <c r="I171" s="933"/>
      <c r="J171" s="933"/>
      <c r="K171" s="933"/>
      <c r="L171" s="933"/>
      <c r="M171" s="933"/>
      <c r="N171" s="933"/>
      <c r="O171" s="933"/>
      <c r="P171" s="933"/>
      <c r="Q171" s="933"/>
      <c r="R171" s="933"/>
      <c r="S171" s="933"/>
      <c r="T171" s="933"/>
      <c r="V171" s="933"/>
      <c r="W171" s="933"/>
      <c r="X171" s="945"/>
      <c r="Y171" s="933"/>
      <c r="Z171" s="933"/>
      <c r="AA171" s="933"/>
      <c r="AB171" s="933"/>
      <c r="AC171" s="933"/>
      <c r="AD171" s="933"/>
      <c r="AE171" s="933"/>
      <c r="AF171" s="933"/>
      <c r="AG171" s="933"/>
    </row>
    <row r="172" spans="1:33" ht="12.75">
      <c r="A172" s="933"/>
      <c r="B172" s="933"/>
      <c r="C172" s="933"/>
      <c r="D172" s="933"/>
      <c r="E172" s="933"/>
      <c r="F172" s="933"/>
      <c r="G172" s="933"/>
      <c r="H172" s="933"/>
      <c r="I172" s="933"/>
      <c r="J172" s="933"/>
      <c r="K172" s="933"/>
      <c r="L172" s="933"/>
      <c r="M172" s="933"/>
      <c r="N172" s="933"/>
      <c r="O172" s="933"/>
      <c r="P172" s="933"/>
      <c r="Q172" s="933"/>
      <c r="R172" s="933"/>
      <c r="S172" s="933"/>
      <c r="T172" s="933"/>
      <c r="V172" s="933"/>
      <c r="W172" s="933"/>
      <c r="X172" s="945"/>
      <c r="Y172" s="933"/>
      <c r="Z172" s="933"/>
      <c r="AA172" s="933"/>
      <c r="AB172" s="933"/>
      <c r="AC172" s="933"/>
      <c r="AD172" s="933"/>
      <c r="AE172" s="933"/>
      <c r="AF172" s="933"/>
      <c r="AG172" s="933"/>
    </row>
    <row r="173" spans="1:33" ht="12.75">
      <c r="A173" s="933"/>
      <c r="B173" s="933"/>
      <c r="C173" s="933"/>
      <c r="D173" s="933"/>
      <c r="E173" s="933"/>
      <c r="F173" s="933"/>
      <c r="G173" s="933"/>
      <c r="H173" s="933"/>
      <c r="I173" s="933"/>
      <c r="J173" s="933"/>
      <c r="K173" s="933"/>
      <c r="L173" s="933"/>
      <c r="M173" s="933"/>
      <c r="N173" s="933"/>
      <c r="O173" s="933"/>
      <c r="P173" s="933"/>
      <c r="Q173" s="933"/>
      <c r="R173" s="933"/>
      <c r="S173" s="933"/>
      <c r="T173" s="933"/>
      <c r="V173" s="933"/>
      <c r="W173" s="933"/>
      <c r="X173" s="945"/>
      <c r="Y173" s="933"/>
      <c r="Z173" s="933"/>
      <c r="AA173" s="933"/>
      <c r="AB173" s="933"/>
      <c r="AC173" s="933"/>
      <c r="AD173" s="933"/>
      <c r="AE173" s="933"/>
      <c r="AF173" s="933"/>
      <c r="AG173" s="933"/>
    </row>
    <row r="174" spans="1:33" ht="12.75">
      <c r="A174" s="933"/>
      <c r="B174" s="933"/>
      <c r="C174" s="933"/>
      <c r="D174" s="933"/>
      <c r="E174" s="933"/>
      <c r="F174" s="933"/>
      <c r="G174" s="933"/>
      <c r="H174" s="933"/>
      <c r="I174" s="933"/>
      <c r="J174" s="933"/>
      <c r="K174" s="933"/>
      <c r="L174" s="933"/>
      <c r="M174" s="933"/>
      <c r="N174" s="933"/>
      <c r="O174" s="933"/>
      <c r="P174" s="933"/>
      <c r="Q174" s="933"/>
      <c r="R174" s="933"/>
      <c r="S174" s="933"/>
      <c r="T174" s="933"/>
      <c r="V174" s="933"/>
      <c r="W174" s="933"/>
      <c r="X174" s="945"/>
      <c r="Y174" s="933"/>
      <c r="Z174" s="933"/>
      <c r="AA174" s="933"/>
      <c r="AB174" s="933"/>
      <c r="AC174" s="933"/>
      <c r="AD174" s="933"/>
      <c r="AE174" s="933"/>
      <c r="AF174" s="933"/>
      <c r="AG174" s="933"/>
    </row>
    <row r="175" spans="1:33" ht="12.75">
      <c r="A175" s="933"/>
      <c r="B175" s="933"/>
      <c r="C175" s="933"/>
      <c r="D175" s="933"/>
      <c r="E175" s="933"/>
      <c r="F175" s="933"/>
      <c r="G175" s="933"/>
      <c r="H175" s="933"/>
      <c r="I175" s="933"/>
      <c r="J175" s="933"/>
      <c r="K175" s="933"/>
      <c r="L175" s="933"/>
      <c r="M175" s="933"/>
      <c r="N175" s="933"/>
      <c r="O175" s="933"/>
      <c r="P175" s="933"/>
      <c r="Q175" s="933"/>
      <c r="R175" s="933"/>
      <c r="S175" s="933"/>
      <c r="T175" s="933"/>
      <c r="V175" s="933"/>
      <c r="W175" s="933"/>
      <c r="X175" s="945"/>
      <c r="Y175" s="933"/>
      <c r="Z175" s="933"/>
      <c r="AA175" s="933"/>
      <c r="AB175" s="933"/>
      <c r="AC175" s="933"/>
      <c r="AD175" s="933"/>
      <c r="AE175" s="933"/>
      <c r="AF175" s="933"/>
      <c r="AG175" s="933"/>
    </row>
    <row r="176" spans="1:33" ht="12.75">
      <c r="A176" s="933"/>
      <c r="B176" s="933"/>
      <c r="C176" s="933"/>
      <c r="D176" s="933"/>
      <c r="E176" s="933"/>
      <c r="F176" s="933"/>
      <c r="G176" s="933"/>
      <c r="H176" s="933"/>
      <c r="I176" s="933"/>
      <c r="J176" s="933"/>
      <c r="K176" s="933"/>
      <c r="L176" s="933"/>
      <c r="M176" s="933"/>
      <c r="N176" s="933"/>
      <c r="O176" s="933"/>
      <c r="P176" s="933"/>
      <c r="Q176" s="933"/>
      <c r="R176" s="933"/>
      <c r="S176" s="933"/>
      <c r="T176" s="933"/>
      <c r="V176" s="933"/>
      <c r="W176" s="933"/>
      <c r="X176" s="945"/>
      <c r="Y176" s="933"/>
      <c r="Z176" s="933"/>
      <c r="AA176" s="933"/>
      <c r="AB176" s="933"/>
      <c r="AC176" s="933"/>
      <c r="AD176" s="933"/>
      <c r="AE176" s="933"/>
      <c r="AF176" s="933"/>
      <c r="AG176" s="933"/>
    </row>
    <row r="177" spans="1:33" ht="12.75">
      <c r="A177" s="933"/>
      <c r="B177" s="933"/>
      <c r="C177" s="933"/>
      <c r="D177" s="933"/>
      <c r="E177" s="933"/>
      <c r="F177" s="933"/>
      <c r="G177" s="933"/>
      <c r="H177" s="933"/>
      <c r="I177" s="933"/>
      <c r="J177" s="933"/>
      <c r="K177" s="933"/>
      <c r="L177" s="933"/>
      <c r="M177" s="933"/>
      <c r="N177" s="933"/>
      <c r="O177" s="933"/>
      <c r="P177" s="933"/>
      <c r="Q177" s="933"/>
      <c r="R177" s="933"/>
      <c r="S177" s="933"/>
      <c r="T177" s="933"/>
      <c r="V177" s="933"/>
      <c r="W177" s="933"/>
      <c r="X177" s="945"/>
      <c r="Y177" s="933"/>
      <c r="Z177" s="933"/>
      <c r="AA177" s="933"/>
      <c r="AB177" s="933"/>
      <c r="AC177" s="933"/>
      <c r="AD177" s="933"/>
      <c r="AE177" s="933"/>
      <c r="AF177" s="933"/>
      <c r="AG177" s="933"/>
    </row>
    <row r="178" spans="1:33" ht="12.75">
      <c r="A178" s="933"/>
      <c r="B178" s="933"/>
      <c r="C178" s="933"/>
      <c r="D178" s="933"/>
      <c r="E178" s="933"/>
      <c r="F178" s="933"/>
      <c r="G178" s="933"/>
      <c r="H178" s="933"/>
      <c r="I178" s="933"/>
      <c r="J178" s="933"/>
      <c r="K178" s="933"/>
      <c r="L178" s="933"/>
      <c r="M178" s="933"/>
      <c r="N178" s="933"/>
      <c r="O178" s="933"/>
      <c r="P178" s="933"/>
      <c r="Q178" s="933"/>
      <c r="R178" s="933"/>
      <c r="S178" s="933"/>
      <c r="T178" s="933"/>
      <c r="V178" s="933"/>
      <c r="W178" s="933"/>
      <c r="X178" s="945"/>
      <c r="Y178" s="933"/>
      <c r="Z178" s="933"/>
      <c r="AA178" s="933"/>
      <c r="AB178" s="933"/>
      <c r="AC178" s="933"/>
      <c r="AD178" s="933"/>
      <c r="AE178" s="933"/>
      <c r="AF178" s="933"/>
      <c r="AG178" s="933"/>
    </row>
    <row r="179" spans="1:33" ht="12.75">
      <c r="A179" s="933"/>
      <c r="B179" s="933"/>
      <c r="C179" s="933"/>
      <c r="D179" s="933"/>
      <c r="E179" s="933"/>
      <c r="F179" s="933"/>
      <c r="G179" s="933"/>
      <c r="H179" s="933"/>
      <c r="I179" s="933"/>
      <c r="J179" s="933"/>
      <c r="K179" s="933"/>
      <c r="L179" s="933"/>
      <c r="M179" s="933"/>
      <c r="N179" s="933"/>
      <c r="O179" s="933"/>
      <c r="P179" s="933"/>
      <c r="Q179" s="933"/>
      <c r="R179" s="933"/>
      <c r="S179" s="933"/>
      <c r="T179" s="933"/>
      <c r="V179" s="933"/>
      <c r="W179" s="933"/>
      <c r="X179" s="945"/>
      <c r="Y179" s="933"/>
      <c r="Z179" s="933"/>
      <c r="AA179" s="933"/>
      <c r="AB179" s="933"/>
      <c r="AC179" s="933"/>
      <c r="AD179" s="933"/>
      <c r="AE179" s="933"/>
      <c r="AF179" s="933"/>
      <c r="AG179" s="933"/>
    </row>
    <row r="180" spans="1:33" ht="12.75">
      <c r="A180" s="933"/>
      <c r="B180" s="933"/>
      <c r="C180" s="933"/>
      <c r="D180" s="933"/>
      <c r="E180" s="933"/>
      <c r="F180" s="933"/>
      <c r="G180" s="933"/>
      <c r="H180" s="933"/>
      <c r="I180" s="933"/>
      <c r="J180" s="933"/>
      <c r="K180" s="933"/>
      <c r="L180" s="933"/>
      <c r="M180" s="933"/>
      <c r="N180" s="933"/>
      <c r="O180" s="933"/>
      <c r="P180" s="933"/>
      <c r="Q180" s="933"/>
      <c r="R180" s="933"/>
      <c r="S180" s="933"/>
      <c r="T180" s="933"/>
      <c r="V180" s="933"/>
      <c r="W180" s="933"/>
      <c r="X180" s="945"/>
      <c r="Y180" s="933"/>
      <c r="Z180" s="933"/>
      <c r="AA180" s="933"/>
      <c r="AB180" s="933"/>
      <c r="AC180" s="933"/>
      <c r="AD180" s="933"/>
      <c r="AE180" s="933"/>
      <c r="AF180" s="933"/>
      <c r="AG180" s="933"/>
    </row>
    <row r="181" spans="1:33" ht="12.75">
      <c r="A181" s="933"/>
      <c r="B181" s="933"/>
      <c r="C181" s="933"/>
      <c r="D181" s="933"/>
      <c r="E181" s="933"/>
      <c r="F181" s="933"/>
      <c r="G181" s="933"/>
      <c r="H181" s="933"/>
      <c r="I181" s="933"/>
      <c r="J181" s="933"/>
      <c r="K181" s="933"/>
      <c r="L181" s="933"/>
      <c r="M181" s="933"/>
      <c r="N181" s="933"/>
      <c r="O181" s="933"/>
      <c r="P181" s="933"/>
      <c r="Q181" s="933"/>
      <c r="R181" s="933"/>
      <c r="S181" s="933"/>
      <c r="T181" s="933"/>
      <c r="V181" s="933"/>
      <c r="W181" s="933"/>
      <c r="X181" s="945"/>
      <c r="Y181" s="933"/>
      <c r="Z181" s="933"/>
      <c r="AA181" s="933"/>
      <c r="AB181" s="933"/>
      <c r="AC181" s="933"/>
      <c r="AD181" s="933"/>
      <c r="AE181" s="933"/>
      <c r="AF181" s="933"/>
      <c r="AG181" s="933"/>
    </row>
    <row r="182" spans="1:33" ht="12.75">
      <c r="A182" s="933"/>
      <c r="B182" s="933"/>
      <c r="C182" s="933"/>
      <c r="D182" s="933"/>
      <c r="E182" s="933"/>
      <c r="F182" s="933"/>
      <c r="G182" s="933"/>
      <c r="H182" s="933"/>
      <c r="I182" s="933"/>
      <c r="J182" s="933"/>
      <c r="K182" s="933"/>
      <c r="L182" s="933"/>
      <c r="M182" s="933"/>
      <c r="N182" s="933"/>
      <c r="O182" s="933"/>
      <c r="P182" s="933"/>
      <c r="Q182" s="933"/>
      <c r="R182" s="933"/>
      <c r="S182" s="933"/>
      <c r="T182" s="933"/>
      <c r="V182" s="933"/>
      <c r="W182" s="933"/>
      <c r="X182" s="945"/>
      <c r="Y182" s="933"/>
      <c r="Z182" s="933"/>
      <c r="AA182" s="933"/>
      <c r="AB182" s="933"/>
      <c r="AC182" s="933"/>
      <c r="AD182" s="933"/>
      <c r="AE182" s="933"/>
      <c r="AF182" s="933"/>
      <c r="AG182" s="933"/>
    </row>
    <row r="183" spans="1:33" ht="12.75">
      <c r="A183" s="933"/>
      <c r="B183" s="933"/>
      <c r="C183" s="933"/>
      <c r="D183" s="933"/>
      <c r="E183" s="933"/>
      <c r="F183" s="933"/>
      <c r="G183" s="933"/>
      <c r="H183" s="933"/>
      <c r="I183" s="933"/>
      <c r="J183" s="933"/>
      <c r="K183" s="933"/>
      <c r="L183" s="933"/>
      <c r="M183" s="933"/>
      <c r="N183" s="933"/>
      <c r="O183" s="933"/>
      <c r="P183" s="933"/>
      <c r="Q183" s="933"/>
      <c r="R183" s="933"/>
      <c r="S183" s="933"/>
      <c r="T183" s="933"/>
      <c r="V183" s="933"/>
      <c r="W183" s="933"/>
      <c r="X183" s="945"/>
      <c r="Y183" s="933"/>
      <c r="Z183" s="933"/>
      <c r="AA183" s="933"/>
      <c r="AB183" s="933"/>
      <c r="AC183" s="933"/>
      <c r="AD183" s="933"/>
      <c r="AE183" s="933"/>
      <c r="AF183" s="933"/>
      <c r="AG183" s="933"/>
    </row>
    <row r="184" spans="1:33" ht="12.75">
      <c r="A184" s="933"/>
      <c r="B184" s="933"/>
      <c r="C184" s="933"/>
      <c r="D184" s="933"/>
      <c r="E184" s="933"/>
      <c r="F184" s="933"/>
      <c r="G184" s="933"/>
      <c r="H184" s="933"/>
      <c r="I184" s="933"/>
      <c r="J184" s="933"/>
      <c r="K184" s="933"/>
      <c r="L184" s="933"/>
      <c r="M184" s="933"/>
      <c r="N184" s="933"/>
      <c r="O184" s="933"/>
      <c r="P184" s="933"/>
      <c r="Q184" s="933"/>
      <c r="R184" s="933"/>
      <c r="S184" s="933"/>
      <c r="T184" s="933"/>
      <c r="V184" s="933"/>
      <c r="W184" s="933"/>
      <c r="X184" s="945"/>
      <c r="Y184" s="933"/>
      <c r="Z184" s="933"/>
      <c r="AA184" s="933"/>
      <c r="AB184" s="933"/>
      <c r="AC184" s="933"/>
      <c r="AD184" s="933"/>
      <c r="AE184" s="933"/>
      <c r="AF184" s="933"/>
      <c r="AG184" s="933"/>
    </row>
    <row r="185" spans="1:33" ht="12.75">
      <c r="A185" s="933"/>
      <c r="B185" s="933"/>
      <c r="C185" s="933"/>
      <c r="D185" s="933"/>
      <c r="E185" s="933"/>
      <c r="F185" s="933"/>
      <c r="G185" s="933"/>
      <c r="H185" s="933"/>
      <c r="I185" s="933"/>
      <c r="J185" s="933"/>
      <c r="K185" s="933"/>
      <c r="L185" s="933"/>
      <c r="M185" s="933"/>
      <c r="N185" s="933"/>
      <c r="O185" s="933"/>
      <c r="P185" s="933"/>
      <c r="Q185" s="933"/>
      <c r="R185" s="933"/>
      <c r="S185" s="933"/>
      <c r="T185" s="933"/>
      <c r="V185" s="933"/>
      <c r="W185" s="933"/>
      <c r="X185" s="945"/>
      <c r="Y185" s="933"/>
      <c r="Z185" s="933"/>
      <c r="AA185" s="933"/>
      <c r="AB185" s="933"/>
      <c r="AC185" s="933"/>
      <c r="AD185" s="933"/>
      <c r="AE185" s="933"/>
      <c r="AF185" s="933"/>
      <c r="AG185" s="933"/>
    </row>
    <row r="186" spans="1:33" ht="12.75">
      <c r="A186" s="933"/>
      <c r="B186" s="933"/>
      <c r="C186" s="933"/>
      <c r="D186" s="933"/>
      <c r="E186" s="933"/>
      <c r="F186" s="933"/>
      <c r="G186" s="933"/>
      <c r="H186" s="933"/>
      <c r="I186" s="933"/>
      <c r="J186" s="933"/>
      <c r="K186" s="933"/>
      <c r="L186" s="933"/>
      <c r="M186" s="933"/>
      <c r="N186" s="933"/>
      <c r="O186" s="933"/>
      <c r="P186" s="933"/>
      <c r="Q186" s="933"/>
      <c r="R186" s="933"/>
      <c r="S186" s="933"/>
      <c r="T186" s="933"/>
      <c r="V186" s="933"/>
      <c r="W186" s="933"/>
      <c r="X186" s="945"/>
      <c r="Y186" s="933"/>
      <c r="Z186" s="933"/>
      <c r="AA186" s="933"/>
      <c r="AB186" s="933"/>
      <c r="AC186" s="933"/>
      <c r="AD186" s="933"/>
      <c r="AE186" s="933"/>
      <c r="AF186" s="933"/>
      <c r="AG186" s="933"/>
    </row>
    <row r="187" spans="1:33" ht="12.75">
      <c r="A187" s="933"/>
      <c r="B187" s="933"/>
      <c r="C187" s="933"/>
      <c r="D187" s="933"/>
      <c r="E187" s="933"/>
      <c r="F187" s="933"/>
      <c r="G187" s="933"/>
      <c r="H187" s="933"/>
      <c r="I187" s="933"/>
      <c r="J187" s="933"/>
      <c r="K187" s="933"/>
      <c r="L187" s="933"/>
      <c r="M187" s="933"/>
      <c r="N187" s="933"/>
      <c r="O187" s="933"/>
      <c r="P187" s="933"/>
      <c r="Q187" s="933"/>
      <c r="R187" s="933"/>
      <c r="S187" s="933"/>
      <c r="T187" s="933"/>
      <c r="V187" s="933"/>
      <c r="W187" s="933"/>
      <c r="X187" s="945"/>
      <c r="Y187" s="933"/>
      <c r="Z187" s="933"/>
      <c r="AA187" s="933"/>
      <c r="AB187" s="933"/>
      <c r="AC187" s="933"/>
      <c r="AD187" s="933"/>
      <c r="AE187" s="933"/>
      <c r="AF187" s="933"/>
      <c r="AG187" s="933"/>
    </row>
    <row r="188" spans="1:33" ht="12.75">
      <c r="A188" s="933"/>
      <c r="B188" s="933"/>
      <c r="C188" s="933"/>
      <c r="D188" s="933"/>
      <c r="E188" s="933"/>
      <c r="F188" s="933"/>
      <c r="G188" s="933"/>
      <c r="H188" s="933"/>
      <c r="I188" s="933"/>
      <c r="J188" s="933"/>
      <c r="K188" s="933"/>
      <c r="L188" s="933"/>
      <c r="M188" s="933"/>
      <c r="N188" s="933"/>
      <c r="O188" s="933"/>
      <c r="P188" s="933"/>
      <c r="Q188" s="933"/>
      <c r="R188" s="933"/>
      <c r="S188" s="933"/>
      <c r="T188" s="933"/>
      <c r="V188" s="933"/>
      <c r="W188" s="933"/>
      <c r="X188" s="945"/>
      <c r="Y188" s="933"/>
      <c r="Z188" s="933"/>
      <c r="AA188" s="933"/>
      <c r="AB188" s="933"/>
      <c r="AC188" s="933"/>
      <c r="AD188" s="933"/>
      <c r="AE188" s="933"/>
      <c r="AF188" s="933"/>
      <c r="AG188" s="933"/>
    </row>
    <row r="189" spans="1:33" ht="12.75">
      <c r="A189" s="933"/>
      <c r="B189" s="933"/>
      <c r="C189" s="933"/>
      <c r="D189" s="933"/>
      <c r="E189" s="933"/>
      <c r="F189" s="933"/>
      <c r="G189" s="933"/>
      <c r="H189" s="933"/>
      <c r="I189" s="933"/>
      <c r="J189" s="933"/>
      <c r="K189" s="933"/>
      <c r="L189" s="933"/>
      <c r="M189" s="933"/>
      <c r="N189" s="933"/>
      <c r="O189" s="933"/>
      <c r="P189" s="933"/>
      <c r="Q189" s="933"/>
      <c r="R189" s="933"/>
      <c r="S189" s="933"/>
      <c r="T189" s="933"/>
      <c r="V189" s="933"/>
      <c r="W189" s="933"/>
      <c r="X189" s="945"/>
      <c r="Y189" s="933"/>
      <c r="Z189" s="933"/>
      <c r="AA189" s="933"/>
      <c r="AB189" s="933"/>
      <c r="AC189" s="933"/>
      <c r="AD189" s="933"/>
      <c r="AE189" s="933"/>
      <c r="AF189" s="933"/>
      <c r="AG189" s="933"/>
    </row>
    <row r="190" spans="1:33" ht="12.75">
      <c r="A190" s="933"/>
      <c r="B190" s="933"/>
      <c r="C190" s="933"/>
      <c r="D190" s="933"/>
      <c r="E190" s="933"/>
      <c r="F190" s="933"/>
      <c r="G190" s="933"/>
      <c r="H190" s="933"/>
      <c r="I190" s="933"/>
      <c r="J190" s="933"/>
      <c r="K190" s="933"/>
      <c r="L190" s="933"/>
      <c r="M190" s="933"/>
      <c r="N190" s="933"/>
      <c r="O190" s="933"/>
      <c r="P190" s="933"/>
      <c r="Q190" s="933"/>
      <c r="R190" s="933"/>
      <c r="S190" s="933"/>
      <c r="T190" s="933"/>
      <c r="V190" s="933"/>
      <c r="W190" s="933"/>
      <c r="X190" s="945"/>
      <c r="Y190" s="933"/>
      <c r="Z190" s="933"/>
      <c r="AA190" s="933"/>
      <c r="AB190" s="933"/>
      <c r="AC190" s="933"/>
      <c r="AD190" s="933"/>
      <c r="AE190" s="933"/>
      <c r="AF190" s="933"/>
      <c r="AG190" s="933"/>
    </row>
    <row r="191" spans="1:33" ht="12.75">
      <c r="A191" s="933"/>
      <c r="B191" s="933"/>
      <c r="C191" s="933"/>
      <c r="D191" s="933"/>
      <c r="E191" s="933"/>
      <c r="F191" s="933"/>
      <c r="G191" s="933"/>
      <c r="H191" s="933"/>
      <c r="I191" s="933"/>
      <c r="J191" s="933"/>
      <c r="K191" s="933"/>
      <c r="L191" s="933"/>
      <c r="M191" s="933"/>
      <c r="N191" s="933"/>
      <c r="O191" s="933"/>
      <c r="P191" s="933"/>
      <c r="Q191" s="933"/>
      <c r="R191" s="933"/>
      <c r="S191" s="933"/>
      <c r="T191" s="933"/>
      <c r="V191" s="933"/>
      <c r="W191" s="933"/>
      <c r="X191" s="945"/>
      <c r="Y191" s="933"/>
      <c r="Z191" s="933"/>
      <c r="AA191" s="933"/>
      <c r="AB191" s="933"/>
      <c r="AC191" s="933"/>
      <c r="AD191" s="933"/>
      <c r="AE191" s="933"/>
      <c r="AF191" s="933"/>
      <c r="AG191" s="933"/>
    </row>
    <row r="192" spans="1:33" ht="12.75">
      <c r="A192" s="933"/>
      <c r="B192" s="933"/>
      <c r="C192" s="933"/>
      <c r="D192" s="933"/>
      <c r="E192" s="933"/>
      <c r="F192" s="933"/>
      <c r="G192" s="933"/>
      <c r="H192" s="933"/>
      <c r="I192" s="933"/>
      <c r="J192" s="933"/>
      <c r="K192" s="933"/>
      <c r="L192" s="933"/>
      <c r="M192" s="933"/>
      <c r="N192" s="933"/>
      <c r="O192" s="933"/>
      <c r="P192" s="933"/>
      <c r="Q192" s="933"/>
      <c r="R192" s="933"/>
      <c r="S192" s="933"/>
      <c r="T192" s="933"/>
      <c r="V192" s="933"/>
      <c r="W192" s="933"/>
      <c r="X192" s="945"/>
      <c r="Y192" s="933"/>
      <c r="Z192" s="933"/>
      <c r="AA192" s="933"/>
      <c r="AB192" s="933"/>
      <c r="AC192" s="933"/>
      <c r="AD192" s="933"/>
      <c r="AE192" s="933"/>
      <c r="AF192" s="933"/>
      <c r="AG192" s="933"/>
    </row>
    <row r="193" spans="1:33" ht="12.75">
      <c r="A193" s="933"/>
      <c r="B193" s="933"/>
      <c r="C193" s="933"/>
      <c r="D193" s="933"/>
      <c r="E193" s="933"/>
      <c r="F193" s="933"/>
      <c r="G193" s="933"/>
      <c r="H193" s="933"/>
      <c r="I193" s="933"/>
      <c r="J193" s="933"/>
      <c r="K193" s="933"/>
      <c r="L193" s="933"/>
      <c r="M193" s="933"/>
      <c r="N193" s="933"/>
      <c r="O193" s="933"/>
      <c r="P193" s="933"/>
      <c r="Q193" s="933"/>
      <c r="R193" s="933"/>
      <c r="S193" s="933"/>
      <c r="T193" s="933"/>
      <c r="V193" s="933"/>
      <c r="W193" s="933"/>
      <c r="X193" s="945"/>
      <c r="Y193" s="933"/>
      <c r="Z193" s="933"/>
      <c r="AA193" s="933"/>
      <c r="AB193" s="933"/>
      <c r="AC193" s="933"/>
      <c r="AD193" s="933"/>
      <c r="AE193" s="933"/>
      <c r="AF193" s="933"/>
      <c r="AG193" s="933"/>
    </row>
    <row r="194" spans="1:33" ht="12.75">
      <c r="A194" s="933"/>
      <c r="B194" s="933"/>
      <c r="C194" s="933"/>
      <c r="D194" s="933"/>
      <c r="E194" s="933"/>
      <c r="F194" s="933"/>
      <c r="G194" s="933"/>
      <c r="H194" s="933"/>
      <c r="I194" s="933"/>
      <c r="J194" s="933"/>
      <c r="K194" s="933"/>
      <c r="L194" s="933"/>
      <c r="M194" s="933"/>
      <c r="N194" s="933"/>
      <c r="O194" s="933"/>
      <c r="P194" s="933"/>
      <c r="Q194" s="933"/>
      <c r="R194" s="933"/>
      <c r="S194" s="933"/>
      <c r="T194" s="933"/>
      <c r="V194" s="933"/>
      <c r="W194" s="933"/>
      <c r="X194" s="945"/>
      <c r="Y194" s="933"/>
      <c r="Z194" s="933"/>
      <c r="AA194" s="933"/>
      <c r="AB194" s="933"/>
      <c r="AC194" s="933"/>
      <c r="AD194" s="933"/>
      <c r="AE194" s="933"/>
      <c r="AF194" s="933"/>
      <c r="AG194" s="933"/>
    </row>
    <row r="195" spans="1:33" ht="12.75">
      <c r="A195" s="933"/>
      <c r="B195" s="933"/>
      <c r="C195" s="933"/>
      <c r="D195" s="933"/>
      <c r="E195" s="933"/>
      <c r="F195" s="933"/>
      <c r="G195" s="933"/>
      <c r="H195" s="933"/>
      <c r="I195" s="933"/>
      <c r="J195" s="933"/>
      <c r="K195" s="933"/>
      <c r="L195" s="933"/>
      <c r="M195" s="933"/>
      <c r="N195" s="933"/>
      <c r="O195" s="933"/>
      <c r="P195" s="933"/>
      <c r="Q195" s="933"/>
      <c r="R195" s="933"/>
      <c r="S195" s="933"/>
      <c r="T195" s="933"/>
      <c r="V195" s="933"/>
      <c r="W195" s="933"/>
      <c r="X195" s="945"/>
      <c r="Y195" s="933"/>
      <c r="Z195" s="933"/>
      <c r="AA195" s="933"/>
      <c r="AB195" s="933"/>
      <c r="AC195" s="933"/>
      <c r="AD195" s="933"/>
      <c r="AE195" s="933"/>
      <c r="AF195" s="933"/>
      <c r="AG195" s="933"/>
    </row>
    <row r="196" spans="1:33" ht="12.75">
      <c r="A196" s="933"/>
      <c r="B196" s="933"/>
      <c r="C196" s="933"/>
      <c r="D196" s="933"/>
      <c r="E196" s="933"/>
      <c r="F196" s="933"/>
      <c r="G196" s="933"/>
      <c r="H196" s="933"/>
      <c r="I196" s="933"/>
      <c r="J196" s="933"/>
      <c r="K196" s="933"/>
      <c r="L196" s="933"/>
      <c r="M196" s="933"/>
      <c r="N196" s="933"/>
      <c r="O196" s="933"/>
      <c r="P196" s="933"/>
      <c r="Q196" s="933"/>
      <c r="R196" s="933"/>
      <c r="S196" s="933"/>
      <c r="T196" s="933"/>
      <c r="V196" s="933"/>
      <c r="W196" s="933"/>
      <c r="X196" s="945"/>
      <c r="Y196" s="933"/>
      <c r="Z196" s="933"/>
      <c r="AA196" s="933"/>
      <c r="AB196" s="933"/>
      <c r="AC196" s="933"/>
      <c r="AD196" s="933"/>
      <c r="AE196" s="933"/>
      <c r="AF196" s="933"/>
      <c r="AG196" s="933"/>
    </row>
    <row r="197" spans="1:33" ht="12.75">
      <c r="A197" s="933"/>
      <c r="B197" s="933"/>
      <c r="C197" s="933"/>
      <c r="D197" s="933"/>
      <c r="E197" s="933"/>
      <c r="F197" s="933"/>
      <c r="G197" s="933"/>
      <c r="H197" s="933"/>
      <c r="I197" s="933"/>
      <c r="J197" s="933"/>
      <c r="K197" s="933"/>
      <c r="L197" s="933"/>
      <c r="M197" s="933"/>
      <c r="N197" s="933"/>
      <c r="O197" s="933"/>
      <c r="P197" s="933"/>
      <c r="Q197" s="933"/>
      <c r="R197" s="933"/>
      <c r="S197" s="933"/>
      <c r="T197" s="933"/>
      <c r="V197" s="933"/>
      <c r="W197" s="933"/>
      <c r="X197" s="945"/>
      <c r="Y197" s="933"/>
      <c r="Z197" s="933"/>
      <c r="AA197" s="933"/>
      <c r="AB197" s="933"/>
      <c r="AC197" s="933"/>
      <c r="AD197" s="933"/>
      <c r="AE197" s="933"/>
      <c r="AF197" s="933"/>
      <c r="AG197" s="933"/>
    </row>
    <row r="198" spans="1:33" ht="12.75">
      <c r="A198" s="933"/>
      <c r="B198" s="933"/>
      <c r="C198" s="933"/>
      <c r="D198" s="933"/>
      <c r="E198" s="933"/>
      <c r="F198" s="933"/>
      <c r="G198" s="933"/>
      <c r="H198" s="933"/>
      <c r="I198" s="933"/>
      <c r="J198" s="933"/>
      <c r="K198" s="933"/>
      <c r="L198" s="933"/>
      <c r="M198" s="933"/>
      <c r="N198" s="933"/>
      <c r="O198" s="933"/>
      <c r="P198" s="933"/>
      <c r="Q198" s="933"/>
      <c r="R198" s="933"/>
      <c r="S198" s="933"/>
      <c r="T198" s="933"/>
      <c r="V198" s="933"/>
      <c r="W198" s="933"/>
      <c r="X198" s="945"/>
      <c r="Y198" s="933"/>
      <c r="Z198" s="933"/>
      <c r="AA198" s="933"/>
      <c r="AB198" s="933"/>
      <c r="AC198" s="933"/>
      <c r="AD198" s="933"/>
      <c r="AE198" s="933"/>
      <c r="AF198" s="933"/>
      <c r="AG198" s="933"/>
    </row>
    <row r="199" spans="1:33" ht="12.75">
      <c r="A199" s="933"/>
      <c r="B199" s="933"/>
      <c r="C199" s="933"/>
      <c r="D199" s="933"/>
      <c r="E199" s="933"/>
      <c r="F199" s="933"/>
      <c r="G199" s="933"/>
      <c r="H199" s="933"/>
      <c r="I199" s="933"/>
      <c r="J199" s="933"/>
      <c r="K199" s="933"/>
      <c r="L199" s="933"/>
      <c r="M199" s="933"/>
      <c r="N199" s="933"/>
      <c r="O199" s="933"/>
      <c r="P199" s="933"/>
      <c r="Q199" s="933"/>
      <c r="R199" s="933"/>
      <c r="S199" s="933"/>
      <c r="T199" s="933"/>
      <c r="V199" s="933"/>
      <c r="W199" s="933"/>
      <c r="X199" s="945"/>
      <c r="Y199" s="933"/>
      <c r="Z199" s="933"/>
      <c r="AA199" s="933"/>
      <c r="AB199" s="933"/>
      <c r="AC199" s="933"/>
      <c r="AD199" s="933"/>
      <c r="AE199" s="933"/>
      <c r="AF199" s="933"/>
      <c r="AG199" s="933"/>
    </row>
    <row r="200" spans="1:33" ht="12.75">
      <c r="A200" s="933"/>
      <c r="B200" s="933"/>
      <c r="C200" s="933"/>
      <c r="D200" s="933"/>
      <c r="E200" s="933"/>
      <c r="F200" s="933"/>
      <c r="G200" s="933"/>
      <c r="H200" s="933"/>
      <c r="I200" s="933"/>
      <c r="J200" s="933"/>
      <c r="K200" s="933"/>
      <c r="L200" s="933"/>
      <c r="M200" s="933"/>
      <c r="N200" s="933"/>
      <c r="O200" s="933"/>
      <c r="P200" s="933"/>
      <c r="Q200" s="933"/>
      <c r="R200" s="933"/>
      <c r="S200" s="933"/>
      <c r="T200" s="933"/>
      <c r="V200" s="933"/>
      <c r="W200" s="933"/>
      <c r="X200" s="945"/>
      <c r="Y200" s="933"/>
      <c r="Z200" s="933"/>
      <c r="AA200" s="933"/>
      <c r="AB200" s="933"/>
      <c r="AC200" s="933"/>
      <c r="AD200" s="933"/>
      <c r="AE200" s="933"/>
      <c r="AF200" s="933"/>
      <c r="AG200" s="933"/>
    </row>
    <row r="201" spans="1:33" ht="12.75">
      <c r="A201" s="933"/>
      <c r="B201" s="933"/>
      <c r="C201" s="933"/>
      <c r="D201" s="933"/>
      <c r="E201" s="933"/>
      <c r="F201" s="933"/>
      <c r="G201" s="933"/>
      <c r="H201" s="933"/>
      <c r="I201" s="933"/>
      <c r="J201" s="933"/>
      <c r="K201" s="933"/>
      <c r="L201" s="933"/>
      <c r="M201" s="933"/>
      <c r="N201" s="933"/>
      <c r="O201" s="933"/>
      <c r="P201" s="933"/>
      <c r="Q201" s="933"/>
      <c r="R201" s="933"/>
      <c r="S201" s="933"/>
      <c r="T201" s="933"/>
      <c r="V201" s="933"/>
      <c r="W201" s="933"/>
      <c r="X201" s="945"/>
      <c r="Y201" s="933"/>
      <c r="Z201" s="933"/>
      <c r="AA201" s="933"/>
      <c r="AB201" s="933"/>
      <c r="AC201" s="933"/>
      <c r="AD201" s="933"/>
      <c r="AE201" s="933"/>
      <c r="AF201" s="933"/>
      <c r="AG201" s="933"/>
    </row>
    <row r="202" spans="1:33" ht="12.75">
      <c r="A202" s="933"/>
      <c r="B202" s="933"/>
      <c r="C202" s="933"/>
      <c r="D202" s="933"/>
      <c r="E202" s="933"/>
      <c r="F202" s="933"/>
      <c r="G202" s="933"/>
      <c r="H202" s="933"/>
      <c r="I202" s="933"/>
      <c r="J202" s="933"/>
      <c r="K202" s="933"/>
      <c r="L202" s="933"/>
      <c r="M202" s="933"/>
      <c r="N202" s="933"/>
      <c r="O202" s="933"/>
      <c r="P202" s="933"/>
      <c r="Q202" s="933"/>
      <c r="R202" s="933"/>
      <c r="S202" s="933"/>
      <c r="T202" s="933"/>
      <c r="V202" s="933"/>
      <c r="W202" s="933"/>
      <c r="X202" s="945"/>
      <c r="Y202" s="933"/>
      <c r="Z202" s="933"/>
      <c r="AA202" s="933"/>
      <c r="AB202" s="933"/>
      <c r="AC202" s="933"/>
      <c r="AD202" s="933"/>
      <c r="AE202" s="933"/>
      <c r="AF202" s="933"/>
      <c r="AG202" s="933"/>
    </row>
    <row r="203" spans="1:33" ht="12.75">
      <c r="A203" s="933"/>
      <c r="B203" s="933"/>
      <c r="C203" s="933"/>
      <c r="D203" s="933"/>
      <c r="E203" s="933"/>
      <c r="F203" s="933"/>
      <c r="G203" s="933"/>
      <c r="H203" s="933"/>
      <c r="I203" s="933"/>
      <c r="J203" s="933"/>
      <c r="K203" s="933"/>
      <c r="L203" s="933"/>
      <c r="M203" s="933"/>
      <c r="N203" s="933"/>
      <c r="O203" s="933"/>
      <c r="P203" s="933"/>
      <c r="Q203" s="933"/>
      <c r="R203" s="933"/>
      <c r="S203" s="933"/>
      <c r="T203" s="933"/>
      <c r="V203" s="933"/>
      <c r="W203" s="933"/>
      <c r="X203" s="945"/>
      <c r="Y203" s="933"/>
      <c r="Z203" s="933"/>
      <c r="AA203" s="933"/>
      <c r="AB203" s="933"/>
      <c r="AC203" s="933"/>
      <c r="AD203" s="933"/>
      <c r="AE203" s="933"/>
      <c r="AF203" s="933"/>
      <c r="AG203" s="933"/>
    </row>
    <row r="204" spans="1:33" ht="12.75">
      <c r="A204" s="933"/>
      <c r="B204" s="933"/>
      <c r="C204" s="933"/>
      <c r="D204" s="933"/>
      <c r="E204" s="933"/>
      <c r="F204" s="933"/>
      <c r="G204" s="933"/>
      <c r="H204" s="933"/>
      <c r="I204" s="933"/>
      <c r="J204" s="933"/>
      <c r="K204" s="933"/>
      <c r="L204" s="933"/>
      <c r="M204" s="933"/>
      <c r="N204" s="933"/>
      <c r="O204" s="933"/>
      <c r="P204" s="933"/>
      <c r="Q204" s="933"/>
      <c r="R204" s="933"/>
      <c r="S204" s="933"/>
      <c r="T204" s="933"/>
      <c r="V204" s="933"/>
      <c r="W204" s="933"/>
      <c r="X204" s="945"/>
      <c r="Y204" s="933"/>
      <c r="Z204" s="933"/>
      <c r="AA204" s="933"/>
      <c r="AB204" s="933"/>
      <c r="AC204" s="933"/>
      <c r="AD204" s="933"/>
      <c r="AE204" s="933"/>
      <c r="AF204" s="933"/>
      <c r="AG204" s="933"/>
    </row>
    <row r="205" spans="1:33" ht="12.75">
      <c r="A205" s="933"/>
      <c r="B205" s="933"/>
      <c r="C205" s="933"/>
      <c r="D205" s="933"/>
      <c r="E205" s="933"/>
      <c r="F205" s="933"/>
      <c r="G205" s="933"/>
      <c r="H205" s="933"/>
      <c r="I205" s="933"/>
      <c r="J205" s="933"/>
      <c r="K205" s="933"/>
      <c r="L205" s="933"/>
      <c r="M205" s="933"/>
      <c r="N205" s="933"/>
      <c r="O205" s="933"/>
      <c r="P205" s="933"/>
      <c r="Q205" s="933"/>
      <c r="R205" s="933"/>
      <c r="S205" s="933"/>
      <c r="T205" s="933"/>
      <c r="V205" s="933"/>
      <c r="W205" s="933"/>
      <c r="X205" s="945"/>
      <c r="Y205" s="933"/>
      <c r="Z205" s="933"/>
      <c r="AA205" s="933"/>
      <c r="AB205" s="933"/>
      <c r="AC205" s="933"/>
      <c r="AD205" s="933"/>
      <c r="AE205" s="933"/>
      <c r="AF205" s="933"/>
      <c r="AG205" s="933"/>
    </row>
    <row r="206" spans="1:33" ht="12.75">
      <c r="A206" s="933"/>
      <c r="B206" s="933"/>
      <c r="C206" s="933"/>
      <c r="D206" s="933"/>
      <c r="E206" s="933"/>
      <c r="F206" s="933"/>
      <c r="G206" s="933"/>
      <c r="H206" s="933"/>
      <c r="I206" s="933"/>
      <c r="J206" s="933"/>
      <c r="K206" s="933"/>
      <c r="L206" s="933"/>
      <c r="M206" s="933"/>
      <c r="N206" s="933"/>
      <c r="O206" s="933"/>
      <c r="P206" s="933"/>
      <c r="Q206" s="933"/>
      <c r="R206" s="933"/>
      <c r="S206" s="933"/>
      <c r="T206" s="933"/>
      <c r="V206" s="933"/>
      <c r="W206" s="933"/>
      <c r="X206" s="945"/>
      <c r="Y206" s="933"/>
      <c r="Z206" s="933"/>
      <c r="AA206" s="933"/>
      <c r="AB206" s="933"/>
      <c r="AC206" s="933"/>
      <c r="AD206" s="933"/>
      <c r="AE206" s="933"/>
      <c r="AF206" s="933"/>
      <c r="AG206" s="933"/>
    </row>
    <row r="207" spans="1:33" ht="12.75">
      <c r="A207" s="933"/>
      <c r="B207" s="933"/>
      <c r="C207" s="933"/>
      <c r="D207" s="933"/>
      <c r="E207" s="933"/>
      <c r="F207" s="933"/>
      <c r="G207" s="933"/>
      <c r="H207" s="933"/>
      <c r="I207" s="933"/>
      <c r="J207" s="933"/>
      <c r="K207" s="933"/>
      <c r="L207" s="933"/>
      <c r="M207" s="933"/>
      <c r="N207" s="933"/>
      <c r="O207" s="933"/>
      <c r="P207" s="933"/>
      <c r="Q207" s="933"/>
      <c r="R207" s="933"/>
      <c r="S207" s="933"/>
      <c r="T207" s="933"/>
      <c r="V207" s="933"/>
      <c r="W207" s="933"/>
      <c r="X207" s="945"/>
      <c r="Y207" s="933"/>
      <c r="Z207" s="933"/>
      <c r="AA207" s="933"/>
      <c r="AB207" s="933"/>
      <c r="AC207" s="933"/>
      <c r="AD207" s="933"/>
      <c r="AE207" s="933"/>
      <c r="AF207" s="933"/>
      <c r="AG207" s="933"/>
    </row>
    <row r="208" spans="1:33" ht="12.75">
      <c r="A208" s="933"/>
      <c r="B208" s="933"/>
      <c r="C208" s="933"/>
      <c r="D208" s="933"/>
      <c r="E208" s="933"/>
      <c r="F208" s="933"/>
      <c r="G208" s="933"/>
      <c r="H208" s="933"/>
      <c r="I208" s="933"/>
      <c r="J208" s="933"/>
      <c r="K208" s="933"/>
      <c r="L208" s="933"/>
      <c r="M208" s="933"/>
      <c r="N208" s="933"/>
      <c r="O208" s="933"/>
      <c r="P208" s="933"/>
      <c r="Q208" s="933"/>
      <c r="R208" s="933"/>
      <c r="S208" s="933"/>
      <c r="T208" s="933"/>
      <c r="V208" s="933"/>
      <c r="W208" s="933"/>
      <c r="X208" s="945"/>
      <c r="Y208" s="933"/>
      <c r="Z208" s="933"/>
      <c r="AA208" s="933"/>
      <c r="AB208" s="933"/>
      <c r="AC208" s="933"/>
      <c r="AD208" s="933"/>
      <c r="AE208" s="933"/>
      <c r="AF208" s="933"/>
      <c r="AG208" s="933"/>
    </row>
    <row r="209" spans="1:33" ht="12.75">
      <c r="A209" s="933"/>
      <c r="B209" s="933"/>
      <c r="C209" s="933"/>
      <c r="D209" s="933"/>
      <c r="E209" s="933"/>
      <c r="F209" s="933"/>
      <c r="G209" s="933"/>
      <c r="H209" s="933"/>
      <c r="I209" s="933"/>
      <c r="J209" s="933"/>
      <c r="K209" s="933"/>
      <c r="L209" s="933"/>
      <c r="M209" s="933"/>
      <c r="N209" s="933"/>
      <c r="O209" s="933"/>
      <c r="P209" s="933"/>
      <c r="Q209" s="933"/>
      <c r="R209" s="933"/>
      <c r="S209" s="933"/>
      <c r="T209" s="933"/>
      <c r="V209" s="933"/>
      <c r="W209" s="933"/>
      <c r="X209" s="945"/>
      <c r="Y209" s="933"/>
      <c r="Z209" s="933"/>
      <c r="AA209" s="933"/>
      <c r="AB209" s="933"/>
      <c r="AC209" s="933"/>
      <c r="AD209" s="933"/>
      <c r="AE209" s="933"/>
      <c r="AF209" s="933"/>
      <c r="AG209" s="933"/>
    </row>
    <row r="210" spans="1:33" ht="12.75">
      <c r="A210" s="933"/>
      <c r="B210" s="933"/>
      <c r="C210" s="933"/>
      <c r="D210" s="933"/>
      <c r="E210" s="933"/>
      <c r="F210" s="933"/>
      <c r="G210" s="933"/>
      <c r="H210" s="933"/>
      <c r="I210" s="933"/>
      <c r="J210" s="933"/>
      <c r="K210" s="933"/>
      <c r="L210" s="933"/>
      <c r="M210" s="933"/>
      <c r="N210" s="933"/>
      <c r="O210" s="933"/>
      <c r="P210" s="933"/>
      <c r="Q210" s="933"/>
      <c r="R210" s="933"/>
      <c r="S210" s="933"/>
      <c r="T210" s="933"/>
      <c r="V210" s="933"/>
      <c r="W210" s="933"/>
      <c r="X210" s="945"/>
      <c r="Y210" s="933"/>
      <c r="Z210" s="933"/>
      <c r="AA210" s="933"/>
      <c r="AB210" s="933"/>
      <c r="AC210" s="933"/>
      <c r="AD210" s="933"/>
      <c r="AE210" s="933"/>
      <c r="AF210" s="933"/>
      <c r="AG210" s="933"/>
    </row>
    <row r="211" spans="1:33" ht="12.75">
      <c r="A211" s="933"/>
      <c r="B211" s="933"/>
      <c r="C211" s="933"/>
      <c r="D211" s="933"/>
      <c r="E211" s="933"/>
      <c r="F211" s="933"/>
      <c r="G211" s="933"/>
      <c r="H211" s="933"/>
      <c r="I211" s="933"/>
      <c r="J211" s="933"/>
      <c r="K211" s="933"/>
      <c r="L211" s="933"/>
      <c r="M211" s="933"/>
      <c r="N211" s="933"/>
      <c r="O211" s="933"/>
      <c r="P211" s="933"/>
      <c r="Q211" s="933"/>
      <c r="R211" s="933"/>
      <c r="S211" s="933"/>
      <c r="T211" s="933"/>
      <c r="V211" s="933"/>
      <c r="W211" s="933"/>
      <c r="X211" s="945"/>
      <c r="Y211" s="933"/>
      <c r="Z211" s="933"/>
      <c r="AA211" s="933"/>
      <c r="AB211" s="933"/>
      <c r="AC211" s="933"/>
      <c r="AD211" s="933"/>
      <c r="AE211" s="933"/>
      <c r="AF211" s="933"/>
      <c r="AG211" s="933"/>
    </row>
    <row r="212" spans="1:33" ht="12.75">
      <c r="A212" s="933"/>
      <c r="B212" s="933"/>
      <c r="C212" s="933"/>
      <c r="D212" s="933"/>
      <c r="E212" s="933"/>
      <c r="F212" s="933"/>
      <c r="G212" s="933"/>
      <c r="H212" s="933"/>
      <c r="I212" s="933"/>
      <c r="J212" s="933"/>
      <c r="K212" s="933"/>
      <c r="L212" s="933"/>
      <c r="M212" s="933"/>
      <c r="N212" s="933"/>
      <c r="O212" s="933"/>
      <c r="P212" s="933"/>
      <c r="Q212" s="933"/>
      <c r="R212" s="933"/>
      <c r="S212" s="933"/>
      <c r="T212" s="933"/>
      <c r="V212" s="933"/>
      <c r="W212" s="933"/>
      <c r="X212" s="945"/>
      <c r="Y212" s="933"/>
      <c r="Z212" s="933"/>
      <c r="AA212" s="933"/>
      <c r="AB212" s="933"/>
      <c r="AC212" s="933"/>
      <c r="AD212" s="933"/>
      <c r="AE212" s="933"/>
      <c r="AF212" s="933"/>
      <c r="AG212" s="933"/>
    </row>
    <row r="213" spans="1:33" ht="12.75">
      <c r="A213" s="933"/>
      <c r="B213" s="933"/>
      <c r="C213" s="933"/>
      <c r="D213" s="933"/>
      <c r="E213" s="933"/>
      <c r="F213" s="933"/>
      <c r="G213" s="933"/>
      <c r="H213" s="933"/>
      <c r="I213" s="933"/>
      <c r="J213" s="933"/>
      <c r="K213" s="933"/>
      <c r="L213" s="933"/>
      <c r="M213" s="933"/>
      <c r="N213" s="933"/>
      <c r="O213" s="933"/>
      <c r="P213" s="933"/>
      <c r="Q213" s="933"/>
      <c r="R213" s="933"/>
      <c r="S213" s="933"/>
      <c r="T213" s="933"/>
      <c r="V213" s="933"/>
      <c r="W213" s="933"/>
      <c r="X213" s="945"/>
      <c r="Y213" s="933"/>
      <c r="Z213" s="933"/>
      <c r="AA213" s="933"/>
      <c r="AB213" s="933"/>
      <c r="AC213" s="933"/>
      <c r="AD213" s="933"/>
      <c r="AE213" s="933"/>
      <c r="AF213" s="933"/>
      <c r="AG213" s="933"/>
    </row>
    <row r="214" spans="1:33" ht="12.75">
      <c r="A214" s="933"/>
      <c r="B214" s="933"/>
      <c r="C214" s="933"/>
      <c r="D214" s="933"/>
      <c r="E214" s="933"/>
      <c r="F214" s="933"/>
      <c r="G214" s="933"/>
      <c r="H214" s="933"/>
      <c r="I214" s="933"/>
      <c r="J214" s="933"/>
      <c r="K214" s="933"/>
      <c r="L214" s="933"/>
      <c r="M214" s="933"/>
      <c r="N214" s="933"/>
      <c r="O214" s="933"/>
      <c r="P214" s="933"/>
      <c r="Q214" s="933"/>
      <c r="R214" s="933"/>
      <c r="S214" s="933"/>
      <c r="T214" s="933"/>
      <c r="V214" s="933"/>
      <c r="W214" s="933"/>
      <c r="X214" s="945"/>
      <c r="Y214" s="933"/>
      <c r="Z214" s="933"/>
      <c r="AA214" s="933"/>
      <c r="AB214" s="933"/>
      <c r="AC214" s="933"/>
      <c r="AD214" s="933"/>
      <c r="AE214" s="933"/>
      <c r="AF214" s="933"/>
      <c r="AG214" s="933"/>
    </row>
    <row r="215" spans="1:33" ht="12.75">
      <c r="A215" s="933"/>
      <c r="B215" s="933"/>
      <c r="C215" s="933"/>
      <c r="D215" s="933"/>
      <c r="E215" s="933"/>
      <c r="F215" s="933"/>
      <c r="G215" s="933"/>
      <c r="H215" s="933"/>
      <c r="I215" s="933"/>
      <c r="J215" s="933"/>
      <c r="K215" s="933"/>
      <c r="L215" s="933"/>
      <c r="M215" s="933"/>
      <c r="N215" s="933"/>
      <c r="O215" s="933"/>
      <c r="P215" s="933"/>
      <c r="Q215" s="933"/>
      <c r="R215" s="933"/>
      <c r="S215" s="933"/>
      <c r="T215" s="933"/>
      <c r="V215" s="933"/>
      <c r="W215" s="933"/>
      <c r="X215" s="945"/>
      <c r="Y215" s="933"/>
      <c r="Z215" s="933"/>
      <c r="AA215" s="933"/>
      <c r="AB215" s="933"/>
      <c r="AC215" s="933"/>
      <c r="AD215" s="933"/>
      <c r="AE215" s="933"/>
      <c r="AF215" s="933"/>
      <c r="AG215" s="933"/>
    </row>
    <row r="216" spans="1:33" ht="12.75">
      <c r="A216" s="933"/>
      <c r="B216" s="933"/>
      <c r="C216" s="933"/>
      <c r="D216" s="933"/>
      <c r="E216" s="933"/>
      <c r="F216" s="933"/>
      <c r="G216" s="933"/>
      <c r="H216" s="933"/>
      <c r="I216" s="933"/>
      <c r="J216" s="933"/>
      <c r="K216" s="933"/>
      <c r="L216" s="933"/>
      <c r="M216" s="933"/>
      <c r="N216" s="933"/>
      <c r="O216" s="933"/>
      <c r="P216" s="933"/>
      <c r="Q216" s="933"/>
      <c r="R216" s="933"/>
      <c r="S216" s="933"/>
      <c r="T216" s="933"/>
      <c r="V216" s="933"/>
      <c r="W216" s="933"/>
      <c r="X216" s="945"/>
      <c r="Y216" s="933"/>
      <c r="Z216" s="933"/>
      <c r="AA216" s="933"/>
      <c r="AB216" s="933"/>
      <c r="AC216" s="933"/>
      <c r="AD216" s="933"/>
      <c r="AE216" s="933"/>
      <c r="AF216" s="933"/>
      <c r="AG216" s="933"/>
    </row>
    <row r="217" spans="1:33" ht="12.75">
      <c r="A217" s="933"/>
      <c r="B217" s="933"/>
      <c r="C217" s="933"/>
      <c r="D217" s="933"/>
      <c r="E217" s="933"/>
      <c r="F217" s="933"/>
      <c r="G217" s="933"/>
      <c r="H217" s="933"/>
      <c r="I217" s="933"/>
      <c r="J217" s="933"/>
      <c r="K217" s="933"/>
      <c r="L217" s="933"/>
      <c r="M217" s="933"/>
      <c r="N217" s="933"/>
      <c r="O217" s="933"/>
      <c r="P217" s="933"/>
      <c r="Q217" s="933"/>
      <c r="R217" s="933"/>
      <c r="S217" s="933"/>
      <c r="T217" s="933"/>
      <c r="V217" s="933"/>
      <c r="W217" s="933"/>
      <c r="X217" s="945"/>
      <c r="Y217" s="933"/>
      <c r="Z217" s="933"/>
      <c r="AA217" s="933"/>
      <c r="AB217" s="933"/>
      <c r="AC217" s="933"/>
      <c r="AD217" s="933"/>
      <c r="AE217" s="933"/>
      <c r="AF217" s="933"/>
      <c r="AG217" s="933"/>
    </row>
    <row r="218" spans="1:33" ht="12.75">
      <c r="A218" s="933"/>
      <c r="B218" s="933"/>
      <c r="C218" s="933"/>
      <c r="D218" s="933"/>
      <c r="E218" s="933"/>
      <c r="F218" s="933"/>
      <c r="G218" s="933"/>
      <c r="H218" s="933"/>
      <c r="I218" s="933"/>
      <c r="J218" s="933"/>
      <c r="K218" s="933"/>
      <c r="L218" s="933"/>
      <c r="M218" s="933"/>
      <c r="N218" s="933"/>
      <c r="O218" s="933"/>
      <c r="P218" s="933"/>
      <c r="Q218" s="933"/>
      <c r="R218" s="933"/>
      <c r="S218" s="933"/>
      <c r="T218" s="933"/>
      <c r="V218" s="933"/>
      <c r="W218" s="933"/>
      <c r="X218" s="945"/>
      <c r="Y218" s="933"/>
      <c r="Z218" s="933"/>
      <c r="AA218" s="933"/>
      <c r="AB218" s="933"/>
      <c r="AC218" s="933"/>
      <c r="AD218" s="933"/>
      <c r="AE218" s="933"/>
      <c r="AF218" s="933"/>
      <c r="AG218" s="933"/>
    </row>
    <row r="219" spans="1:33" ht="12.75">
      <c r="A219" s="933"/>
      <c r="B219" s="933"/>
      <c r="C219" s="933"/>
      <c r="D219" s="933"/>
      <c r="E219" s="933"/>
      <c r="F219" s="933"/>
      <c r="G219" s="933"/>
      <c r="H219" s="933"/>
      <c r="I219" s="933"/>
      <c r="J219" s="933"/>
      <c r="K219" s="933"/>
      <c r="L219" s="933"/>
      <c r="M219" s="933"/>
      <c r="N219" s="933"/>
      <c r="O219" s="933"/>
      <c r="P219" s="933"/>
      <c r="Q219" s="933"/>
      <c r="R219" s="933"/>
      <c r="S219" s="933"/>
      <c r="T219" s="933"/>
      <c r="V219" s="933"/>
      <c r="W219" s="933"/>
      <c r="X219" s="945"/>
      <c r="Y219" s="933"/>
      <c r="Z219" s="933"/>
      <c r="AA219" s="933"/>
      <c r="AB219" s="933"/>
      <c r="AC219" s="933"/>
      <c r="AD219" s="933"/>
      <c r="AE219" s="933"/>
      <c r="AF219" s="933"/>
      <c r="AG219" s="933"/>
    </row>
    <row r="220" spans="1:33" ht="12.75">
      <c r="A220" s="933"/>
      <c r="B220" s="933"/>
      <c r="C220" s="933"/>
      <c r="D220" s="933"/>
      <c r="E220" s="933"/>
      <c r="F220" s="933"/>
      <c r="G220" s="933"/>
      <c r="H220" s="933"/>
      <c r="I220" s="933"/>
      <c r="J220" s="933"/>
      <c r="K220" s="933"/>
      <c r="L220" s="933"/>
      <c r="M220" s="933"/>
      <c r="N220" s="933"/>
      <c r="O220" s="933"/>
      <c r="P220" s="933"/>
      <c r="Q220" s="933"/>
      <c r="R220" s="933"/>
      <c r="S220" s="933"/>
      <c r="T220" s="933"/>
      <c r="V220" s="933"/>
      <c r="W220" s="933"/>
      <c r="X220" s="945"/>
      <c r="Y220" s="933"/>
      <c r="Z220" s="933"/>
      <c r="AA220" s="933"/>
      <c r="AB220" s="933"/>
      <c r="AC220" s="933"/>
      <c r="AD220" s="933"/>
      <c r="AE220" s="933"/>
      <c r="AF220" s="933"/>
      <c r="AG220" s="933"/>
    </row>
    <row r="221" spans="1:33" ht="12.75">
      <c r="A221" s="933"/>
      <c r="B221" s="933"/>
      <c r="C221" s="933"/>
      <c r="D221" s="933"/>
      <c r="E221" s="933"/>
      <c r="F221" s="933"/>
      <c r="G221" s="933"/>
      <c r="H221" s="933"/>
      <c r="I221" s="933"/>
      <c r="J221" s="933"/>
      <c r="K221" s="933"/>
      <c r="L221" s="933"/>
      <c r="M221" s="933"/>
      <c r="N221" s="933"/>
      <c r="O221" s="933"/>
      <c r="P221" s="933"/>
      <c r="Q221" s="933"/>
      <c r="R221" s="933"/>
      <c r="S221" s="933"/>
      <c r="T221" s="933"/>
      <c r="V221" s="933"/>
      <c r="W221" s="933"/>
      <c r="X221" s="945"/>
      <c r="Y221" s="933"/>
      <c r="Z221" s="933"/>
      <c r="AA221" s="933"/>
      <c r="AB221" s="933"/>
      <c r="AC221" s="933"/>
      <c r="AD221" s="933"/>
      <c r="AE221" s="933"/>
      <c r="AF221" s="933"/>
      <c r="AG221" s="933"/>
    </row>
    <row r="222" spans="1:33" ht="12.75">
      <c r="A222" s="933"/>
      <c r="B222" s="933"/>
      <c r="C222" s="933"/>
      <c r="D222" s="933"/>
      <c r="E222" s="933"/>
      <c r="F222" s="933"/>
      <c r="G222" s="933"/>
      <c r="H222" s="933"/>
      <c r="I222" s="933"/>
      <c r="J222" s="933"/>
      <c r="K222" s="933"/>
      <c r="L222" s="933"/>
      <c r="M222" s="933"/>
      <c r="N222" s="933"/>
      <c r="O222" s="933"/>
      <c r="P222" s="933"/>
      <c r="Q222" s="933"/>
      <c r="R222" s="933"/>
      <c r="S222" s="933"/>
      <c r="T222" s="933"/>
      <c r="V222" s="933"/>
      <c r="W222" s="933"/>
      <c r="X222" s="945"/>
      <c r="Y222" s="933"/>
      <c r="Z222" s="933"/>
      <c r="AA222" s="933"/>
      <c r="AB222" s="933"/>
      <c r="AC222" s="933"/>
      <c r="AD222" s="933"/>
      <c r="AE222" s="933"/>
      <c r="AF222" s="933"/>
      <c r="AG222" s="933"/>
    </row>
    <row r="223" spans="1:33" ht="12.75">
      <c r="A223" s="933"/>
      <c r="B223" s="933"/>
      <c r="C223" s="933"/>
      <c r="D223" s="933"/>
      <c r="E223" s="933"/>
      <c r="F223" s="933"/>
      <c r="G223" s="933"/>
      <c r="H223" s="933"/>
      <c r="I223" s="933"/>
      <c r="J223" s="933"/>
      <c r="K223" s="933"/>
      <c r="L223" s="933"/>
      <c r="M223" s="933"/>
      <c r="N223" s="933"/>
      <c r="O223" s="933"/>
      <c r="P223" s="933"/>
      <c r="Q223" s="933"/>
      <c r="R223" s="933"/>
      <c r="S223" s="933"/>
      <c r="T223" s="933"/>
      <c r="V223" s="933"/>
      <c r="W223" s="933"/>
      <c r="X223" s="945"/>
      <c r="Y223" s="933"/>
      <c r="Z223" s="933"/>
      <c r="AA223" s="933"/>
      <c r="AB223" s="933"/>
      <c r="AC223" s="933"/>
      <c r="AD223" s="933"/>
      <c r="AE223" s="933"/>
      <c r="AF223" s="933"/>
      <c r="AG223" s="933"/>
    </row>
    <row r="224" spans="1:33" ht="12.75">
      <c r="A224" s="933"/>
      <c r="B224" s="933"/>
      <c r="C224" s="933"/>
      <c r="D224" s="933"/>
      <c r="E224" s="933"/>
      <c r="F224" s="933"/>
      <c r="G224" s="933"/>
      <c r="H224" s="933"/>
      <c r="I224" s="933"/>
      <c r="J224" s="933"/>
      <c r="K224" s="933"/>
      <c r="L224" s="933"/>
      <c r="M224" s="933"/>
      <c r="N224" s="933"/>
      <c r="O224" s="933"/>
      <c r="P224" s="933"/>
      <c r="Q224" s="933"/>
      <c r="R224" s="933"/>
      <c r="S224" s="933"/>
      <c r="T224" s="933"/>
      <c r="V224" s="933"/>
      <c r="W224" s="933"/>
      <c r="X224" s="945"/>
      <c r="Y224" s="933"/>
      <c r="Z224" s="933"/>
      <c r="AA224" s="933"/>
      <c r="AB224" s="933"/>
      <c r="AC224" s="933"/>
      <c r="AD224" s="933"/>
      <c r="AE224" s="933"/>
      <c r="AF224" s="933"/>
      <c r="AG224" s="933"/>
    </row>
    <row r="225" spans="1:33" ht="12.75">
      <c r="A225" s="933"/>
      <c r="B225" s="933"/>
      <c r="C225" s="933"/>
      <c r="D225" s="933"/>
      <c r="E225" s="933"/>
      <c r="F225" s="933"/>
      <c r="G225" s="933"/>
      <c r="H225" s="933"/>
      <c r="I225" s="933"/>
      <c r="J225" s="933"/>
      <c r="K225" s="933"/>
      <c r="L225" s="933"/>
      <c r="M225" s="933"/>
      <c r="N225" s="933"/>
      <c r="O225" s="933"/>
      <c r="P225" s="933"/>
      <c r="Q225" s="933"/>
      <c r="R225" s="933"/>
      <c r="S225" s="933"/>
      <c r="T225" s="933"/>
      <c r="V225" s="933"/>
      <c r="W225" s="933"/>
      <c r="X225" s="945"/>
      <c r="Y225" s="933"/>
      <c r="Z225" s="933"/>
      <c r="AA225" s="933"/>
      <c r="AB225" s="933"/>
      <c r="AC225" s="933"/>
      <c r="AD225" s="933"/>
      <c r="AE225" s="933"/>
      <c r="AF225" s="933"/>
      <c r="AG225" s="933"/>
    </row>
    <row r="226" spans="1:33" ht="12.75">
      <c r="A226" s="933"/>
      <c r="B226" s="933"/>
      <c r="C226" s="933"/>
      <c r="D226" s="933"/>
      <c r="E226" s="933"/>
      <c r="F226" s="933"/>
      <c r="G226" s="933"/>
      <c r="H226" s="933"/>
      <c r="I226" s="933"/>
      <c r="J226" s="933"/>
      <c r="K226" s="933"/>
      <c r="L226" s="933"/>
      <c r="M226" s="933"/>
      <c r="N226" s="933"/>
      <c r="O226" s="933"/>
      <c r="P226" s="933"/>
      <c r="Q226" s="933"/>
      <c r="R226" s="933"/>
      <c r="S226" s="933"/>
      <c r="T226" s="933"/>
      <c r="V226" s="933"/>
      <c r="W226" s="933"/>
      <c r="X226" s="945"/>
      <c r="Y226" s="933"/>
      <c r="Z226" s="933"/>
      <c r="AA226" s="933"/>
      <c r="AB226" s="933"/>
      <c r="AC226" s="933"/>
      <c r="AD226" s="933"/>
      <c r="AE226" s="933"/>
      <c r="AF226" s="933"/>
      <c r="AG226" s="933"/>
    </row>
    <row r="227" spans="1:33" ht="12.75">
      <c r="A227" s="933"/>
      <c r="B227" s="933"/>
      <c r="C227" s="933"/>
      <c r="D227" s="933"/>
      <c r="E227" s="933"/>
      <c r="F227" s="933"/>
      <c r="G227" s="933"/>
      <c r="H227" s="933"/>
      <c r="I227" s="933"/>
      <c r="J227" s="933"/>
      <c r="K227" s="933"/>
      <c r="L227" s="933"/>
      <c r="M227" s="933"/>
      <c r="N227" s="933"/>
      <c r="O227" s="933"/>
      <c r="P227" s="933"/>
      <c r="Q227" s="933"/>
      <c r="R227" s="933"/>
      <c r="S227" s="933"/>
      <c r="T227" s="933"/>
      <c r="V227" s="933"/>
      <c r="W227" s="933"/>
      <c r="X227" s="945"/>
      <c r="Y227" s="933"/>
      <c r="Z227" s="933"/>
      <c r="AA227" s="933"/>
      <c r="AB227" s="933"/>
      <c r="AC227" s="933"/>
      <c r="AD227" s="933"/>
      <c r="AE227" s="933"/>
      <c r="AF227" s="933"/>
      <c r="AG227" s="933"/>
    </row>
    <row r="228" spans="1:33" ht="12.75">
      <c r="A228" s="933"/>
      <c r="B228" s="933"/>
      <c r="C228" s="933"/>
      <c r="D228" s="933"/>
      <c r="E228" s="933"/>
      <c r="F228" s="933"/>
      <c r="G228" s="933"/>
      <c r="H228" s="933"/>
      <c r="I228" s="933"/>
      <c r="J228" s="933"/>
      <c r="K228" s="933"/>
      <c r="L228" s="933"/>
      <c r="M228" s="933"/>
      <c r="N228" s="933"/>
      <c r="O228" s="933"/>
      <c r="P228" s="933"/>
      <c r="Q228" s="933"/>
      <c r="R228" s="933"/>
      <c r="S228" s="933"/>
      <c r="T228" s="933"/>
      <c r="V228" s="933"/>
      <c r="W228" s="933"/>
      <c r="X228" s="945"/>
      <c r="Y228" s="933"/>
      <c r="Z228" s="933"/>
      <c r="AA228" s="933"/>
      <c r="AB228" s="933"/>
      <c r="AC228" s="933"/>
      <c r="AD228" s="933"/>
      <c r="AE228" s="933"/>
      <c r="AF228" s="933"/>
      <c r="AG228" s="933"/>
    </row>
    <row r="229" spans="1:33" ht="12.75">
      <c r="A229" s="933"/>
      <c r="B229" s="933"/>
      <c r="C229" s="933"/>
      <c r="D229" s="933"/>
      <c r="E229" s="933"/>
      <c r="F229" s="933"/>
      <c r="G229" s="933"/>
      <c r="H229" s="933"/>
      <c r="I229" s="933"/>
      <c r="J229" s="933"/>
      <c r="K229" s="933"/>
      <c r="L229" s="933"/>
      <c r="M229" s="933"/>
      <c r="N229" s="933"/>
      <c r="O229" s="933"/>
      <c r="P229" s="933"/>
      <c r="Q229" s="933"/>
      <c r="R229" s="933"/>
      <c r="S229" s="933"/>
      <c r="T229" s="933"/>
      <c r="V229" s="933"/>
      <c r="W229" s="933"/>
      <c r="X229" s="945"/>
      <c r="Y229" s="933"/>
      <c r="Z229" s="933"/>
      <c r="AA229" s="933"/>
      <c r="AB229" s="933"/>
      <c r="AC229" s="933"/>
      <c r="AD229" s="933"/>
      <c r="AE229" s="933"/>
      <c r="AF229" s="933"/>
      <c r="AG229" s="933"/>
    </row>
    <row r="230" spans="1:33" ht="12.75">
      <c r="A230" s="933"/>
      <c r="B230" s="933"/>
      <c r="C230" s="933"/>
      <c r="D230" s="933"/>
      <c r="E230" s="933"/>
      <c r="F230" s="933"/>
      <c r="G230" s="933"/>
      <c r="H230" s="933"/>
      <c r="I230" s="933"/>
      <c r="J230" s="933"/>
      <c r="K230" s="933"/>
      <c r="L230" s="933"/>
      <c r="M230" s="933"/>
      <c r="N230" s="933"/>
      <c r="O230" s="933"/>
      <c r="P230" s="933"/>
      <c r="Q230" s="933"/>
      <c r="R230" s="933"/>
      <c r="S230" s="933"/>
      <c r="T230" s="933"/>
      <c r="V230" s="933"/>
      <c r="W230" s="933"/>
      <c r="X230" s="945"/>
      <c r="Y230" s="933"/>
      <c r="Z230" s="933"/>
      <c r="AA230" s="933"/>
      <c r="AB230" s="933"/>
      <c r="AC230" s="933"/>
      <c r="AD230" s="933"/>
      <c r="AE230" s="933"/>
      <c r="AF230" s="933"/>
      <c r="AG230" s="933"/>
    </row>
    <row r="231" spans="1:33" ht="12.75">
      <c r="A231" s="933"/>
      <c r="B231" s="933"/>
      <c r="C231" s="933"/>
      <c r="D231" s="933"/>
      <c r="E231" s="933"/>
      <c r="F231" s="933"/>
      <c r="G231" s="933"/>
      <c r="H231" s="933"/>
      <c r="I231" s="933"/>
      <c r="J231" s="933"/>
      <c r="K231" s="933"/>
      <c r="L231" s="933"/>
      <c r="M231" s="933"/>
      <c r="N231" s="933"/>
      <c r="O231" s="933"/>
      <c r="P231" s="933"/>
      <c r="Q231" s="933"/>
      <c r="R231" s="933"/>
      <c r="S231" s="933"/>
      <c r="T231" s="933"/>
      <c r="V231" s="933"/>
      <c r="W231" s="933"/>
      <c r="X231" s="945"/>
      <c r="Y231" s="933"/>
      <c r="Z231" s="933"/>
      <c r="AA231" s="933"/>
      <c r="AB231" s="933"/>
      <c r="AC231" s="933"/>
      <c r="AD231" s="933"/>
      <c r="AE231" s="933"/>
      <c r="AF231" s="933"/>
      <c r="AG231" s="933"/>
    </row>
    <row r="232" spans="1:33" ht="12.75">
      <c r="A232" s="933"/>
      <c r="B232" s="933"/>
      <c r="C232" s="933"/>
      <c r="D232" s="933"/>
      <c r="E232" s="933"/>
      <c r="F232" s="933"/>
      <c r="G232" s="933"/>
      <c r="H232" s="933"/>
      <c r="I232" s="933"/>
      <c r="J232" s="933"/>
      <c r="K232" s="933"/>
      <c r="L232" s="933"/>
      <c r="M232" s="933"/>
      <c r="N232" s="933"/>
      <c r="O232" s="933"/>
      <c r="P232" s="933"/>
      <c r="Q232" s="933"/>
      <c r="R232" s="933"/>
      <c r="S232" s="933"/>
      <c r="T232" s="933"/>
      <c r="V232" s="933"/>
      <c r="W232" s="933"/>
      <c r="X232" s="945"/>
      <c r="Y232" s="933"/>
      <c r="Z232" s="933"/>
      <c r="AA232" s="933"/>
      <c r="AB232" s="933"/>
      <c r="AC232" s="933"/>
      <c r="AD232" s="933"/>
      <c r="AE232" s="933"/>
      <c r="AF232" s="933"/>
      <c r="AG232" s="933"/>
    </row>
    <row r="233" spans="1:33" ht="12.75">
      <c r="A233" s="933"/>
      <c r="B233" s="933"/>
      <c r="C233" s="933"/>
      <c r="D233" s="933"/>
      <c r="E233" s="933"/>
      <c r="F233" s="933"/>
      <c r="G233" s="933"/>
      <c r="H233" s="933"/>
      <c r="I233" s="933"/>
      <c r="J233" s="933"/>
      <c r="K233" s="933"/>
      <c r="L233" s="933"/>
      <c r="M233" s="933"/>
      <c r="N233" s="933"/>
      <c r="O233" s="933"/>
      <c r="P233" s="933"/>
      <c r="Q233" s="933"/>
      <c r="R233" s="933"/>
      <c r="S233" s="933"/>
      <c r="T233" s="933"/>
      <c r="V233" s="933"/>
      <c r="W233" s="933"/>
      <c r="X233" s="945"/>
      <c r="Y233" s="933"/>
      <c r="Z233" s="933"/>
      <c r="AA233" s="933"/>
      <c r="AB233" s="933"/>
      <c r="AC233" s="933"/>
      <c r="AD233" s="933"/>
      <c r="AE233" s="933"/>
      <c r="AF233" s="933"/>
      <c r="AG233" s="933"/>
    </row>
    <row r="234" spans="1:33" ht="12.75">
      <c r="A234" s="933"/>
      <c r="B234" s="933"/>
      <c r="C234" s="933"/>
      <c r="D234" s="933"/>
      <c r="E234" s="933"/>
      <c r="F234" s="933"/>
      <c r="G234" s="933"/>
      <c r="H234" s="933"/>
      <c r="I234" s="933"/>
      <c r="J234" s="933"/>
      <c r="K234" s="933"/>
      <c r="L234" s="933"/>
      <c r="M234" s="933"/>
      <c r="N234" s="933"/>
      <c r="O234" s="933"/>
      <c r="P234" s="933"/>
      <c r="Q234" s="933"/>
      <c r="R234" s="933"/>
      <c r="S234" s="933"/>
      <c r="T234" s="933"/>
      <c r="V234" s="933"/>
      <c r="W234" s="933"/>
      <c r="X234" s="945"/>
      <c r="Y234" s="933"/>
      <c r="Z234" s="933"/>
      <c r="AA234" s="933"/>
      <c r="AB234" s="933"/>
      <c r="AC234" s="933"/>
      <c r="AD234" s="933"/>
      <c r="AE234" s="933"/>
      <c r="AF234" s="933"/>
      <c r="AG234" s="933"/>
    </row>
    <row r="235" spans="1:33" ht="12.75">
      <c r="A235" s="933"/>
      <c r="B235" s="933"/>
      <c r="C235" s="933"/>
      <c r="D235" s="933"/>
      <c r="E235" s="933"/>
      <c r="F235" s="933"/>
      <c r="G235" s="933"/>
      <c r="H235" s="933"/>
      <c r="I235" s="933"/>
      <c r="J235" s="933"/>
      <c r="K235" s="933"/>
      <c r="L235" s="933"/>
      <c r="M235" s="933"/>
      <c r="N235" s="933"/>
      <c r="O235" s="933"/>
      <c r="P235" s="933"/>
      <c r="Q235" s="933"/>
      <c r="R235" s="933"/>
      <c r="S235" s="933"/>
      <c r="T235" s="933"/>
      <c r="V235" s="933"/>
      <c r="W235" s="933"/>
      <c r="X235" s="945"/>
      <c r="Y235" s="933"/>
      <c r="Z235" s="933"/>
      <c r="AA235" s="933"/>
      <c r="AB235" s="933"/>
      <c r="AC235" s="933"/>
      <c r="AD235" s="933"/>
      <c r="AE235" s="933"/>
      <c r="AF235" s="933"/>
      <c r="AG235" s="933"/>
    </row>
    <row r="236" spans="1:33" ht="12.75">
      <c r="A236" s="933"/>
      <c r="B236" s="933"/>
      <c r="C236" s="933"/>
      <c r="D236" s="933"/>
      <c r="E236" s="933"/>
      <c r="F236" s="933"/>
      <c r="G236" s="933"/>
      <c r="H236" s="933"/>
      <c r="I236" s="933"/>
      <c r="J236" s="933"/>
      <c r="K236" s="933"/>
      <c r="L236" s="933"/>
      <c r="M236" s="933"/>
      <c r="N236" s="933"/>
      <c r="O236" s="933"/>
      <c r="P236" s="933"/>
      <c r="Q236" s="933"/>
      <c r="R236" s="933"/>
      <c r="S236" s="933"/>
      <c r="T236" s="933"/>
      <c r="V236" s="933"/>
      <c r="W236" s="933"/>
      <c r="X236" s="945"/>
      <c r="Y236" s="933"/>
      <c r="Z236" s="933"/>
      <c r="AA236" s="933"/>
      <c r="AB236" s="933"/>
      <c r="AC236" s="933"/>
      <c r="AD236" s="933"/>
      <c r="AE236" s="933"/>
      <c r="AF236" s="933"/>
      <c r="AG236" s="933"/>
    </row>
    <row r="237" spans="1:33" ht="12.75">
      <c r="A237" s="933"/>
      <c r="B237" s="933"/>
      <c r="C237" s="933"/>
      <c r="D237" s="933"/>
      <c r="E237" s="933"/>
      <c r="F237" s="933"/>
      <c r="G237" s="933"/>
      <c r="H237" s="933"/>
      <c r="I237" s="933"/>
      <c r="J237" s="933"/>
      <c r="K237" s="933"/>
      <c r="L237" s="933"/>
      <c r="M237" s="933"/>
      <c r="N237" s="933"/>
      <c r="O237" s="933"/>
      <c r="P237" s="933"/>
      <c r="Q237" s="933"/>
      <c r="R237" s="933"/>
      <c r="S237" s="933"/>
      <c r="T237" s="933"/>
      <c r="V237" s="933"/>
      <c r="W237" s="933"/>
      <c r="X237" s="945"/>
      <c r="Y237" s="933"/>
      <c r="Z237" s="933"/>
      <c r="AA237" s="933"/>
      <c r="AB237" s="933"/>
      <c r="AC237" s="933"/>
      <c r="AD237" s="933"/>
      <c r="AE237" s="933"/>
      <c r="AF237" s="933"/>
      <c r="AG237" s="933"/>
    </row>
    <row r="238" spans="1:33" ht="12.75">
      <c r="A238" s="933"/>
      <c r="B238" s="933"/>
      <c r="C238" s="933"/>
      <c r="D238" s="933"/>
      <c r="E238" s="933"/>
      <c r="F238" s="933"/>
      <c r="G238" s="933"/>
      <c r="H238" s="933"/>
      <c r="I238" s="933"/>
      <c r="J238" s="933"/>
      <c r="K238" s="933"/>
      <c r="L238" s="933"/>
      <c r="M238" s="933"/>
      <c r="N238" s="933"/>
      <c r="O238" s="933"/>
      <c r="P238" s="933"/>
      <c r="Q238" s="933"/>
      <c r="R238" s="933"/>
      <c r="S238" s="933"/>
      <c r="T238" s="933"/>
      <c r="V238" s="933"/>
      <c r="W238" s="933"/>
      <c r="X238" s="945"/>
      <c r="Y238" s="933"/>
      <c r="Z238" s="933"/>
      <c r="AA238" s="933"/>
      <c r="AB238" s="933"/>
      <c r="AC238" s="933"/>
      <c r="AD238" s="933"/>
      <c r="AE238" s="933"/>
      <c r="AF238" s="933"/>
      <c r="AG238" s="933"/>
    </row>
    <row r="239" spans="1:33" ht="12.75">
      <c r="A239" s="933"/>
      <c r="B239" s="933"/>
      <c r="C239" s="933"/>
      <c r="D239" s="933"/>
      <c r="E239" s="933"/>
      <c r="F239" s="933"/>
      <c r="G239" s="933"/>
      <c r="H239" s="933"/>
      <c r="I239" s="933"/>
      <c r="J239" s="933"/>
      <c r="K239" s="933"/>
      <c r="L239" s="933"/>
      <c r="M239" s="933"/>
      <c r="N239" s="933"/>
      <c r="O239" s="933"/>
      <c r="P239" s="933"/>
      <c r="Q239" s="933"/>
      <c r="R239" s="933"/>
      <c r="S239" s="933"/>
      <c r="T239" s="933"/>
      <c r="V239" s="933"/>
      <c r="W239" s="933"/>
      <c r="X239" s="945"/>
      <c r="Y239" s="933"/>
      <c r="Z239" s="933"/>
      <c r="AA239" s="933"/>
      <c r="AB239" s="933"/>
      <c r="AC239" s="933"/>
      <c r="AD239" s="933"/>
      <c r="AE239" s="933"/>
      <c r="AF239" s="933"/>
      <c r="AG239" s="933"/>
    </row>
    <row r="240" spans="1:33" ht="12.75">
      <c r="A240" s="933"/>
      <c r="B240" s="933"/>
      <c r="C240" s="933"/>
      <c r="D240" s="933"/>
      <c r="E240" s="933"/>
      <c r="F240" s="933"/>
      <c r="G240" s="933"/>
      <c r="H240" s="933"/>
      <c r="I240" s="933"/>
      <c r="J240" s="933"/>
      <c r="K240" s="933"/>
      <c r="L240" s="933"/>
      <c r="M240" s="933"/>
      <c r="N240" s="933"/>
      <c r="O240" s="933"/>
      <c r="P240" s="933"/>
      <c r="Q240" s="933"/>
      <c r="R240" s="933"/>
      <c r="S240" s="933"/>
      <c r="T240" s="933"/>
      <c r="V240" s="933"/>
      <c r="W240" s="933"/>
      <c r="X240" s="945"/>
      <c r="Y240" s="933"/>
      <c r="Z240" s="933"/>
      <c r="AA240" s="933"/>
      <c r="AB240" s="933"/>
      <c r="AC240" s="933"/>
      <c r="AD240" s="933"/>
      <c r="AE240" s="933"/>
      <c r="AF240" s="933"/>
      <c r="AG240" s="933"/>
    </row>
    <row r="241" spans="1:33" ht="12.75">
      <c r="A241" s="933"/>
      <c r="B241" s="933"/>
      <c r="C241" s="933"/>
      <c r="D241" s="933"/>
      <c r="E241" s="933"/>
      <c r="F241" s="933"/>
      <c r="G241" s="933"/>
      <c r="H241" s="933"/>
      <c r="I241" s="933"/>
      <c r="J241" s="933"/>
      <c r="K241" s="933"/>
      <c r="L241" s="933"/>
      <c r="M241" s="933"/>
      <c r="N241" s="933"/>
      <c r="O241" s="933"/>
      <c r="P241" s="933"/>
      <c r="Q241" s="933"/>
      <c r="R241" s="933"/>
      <c r="S241" s="933"/>
      <c r="T241" s="933"/>
      <c r="V241" s="933"/>
      <c r="W241" s="933"/>
      <c r="X241" s="945"/>
      <c r="Y241" s="933"/>
      <c r="Z241" s="933"/>
      <c r="AA241" s="933"/>
      <c r="AB241" s="933"/>
      <c r="AC241" s="933"/>
      <c r="AD241" s="933"/>
      <c r="AE241" s="933"/>
      <c r="AF241" s="933"/>
      <c r="AG241" s="933"/>
    </row>
    <row r="242" spans="1:33" ht="12.75">
      <c r="A242" s="933"/>
      <c r="B242" s="933"/>
      <c r="C242" s="933"/>
      <c r="D242" s="933"/>
      <c r="E242" s="933"/>
      <c r="F242" s="933"/>
      <c r="G242" s="933"/>
      <c r="H242" s="933"/>
      <c r="I242" s="933"/>
      <c r="J242" s="933"/>
      <c r="K242" s="933"/>
      <c r="L242" s="933"/>
      <c r="M242" s="933"/>
      <c r="N242" s="933"/>
      <c r="O242" s="933"/>
      <c r="P242" s="933"/>
      <c r="Q242" s="933"/>
      <c r="R242" s="933"/>
      <c r="S242" s="933"/>
      <c r="T242" s="933"/>
      <c r="V242" s="933"/>
      <c r="W242" s="933"/>
      <c r="X242" s="945"/>
      <c r="Y242" s="933"/>
      <c r="Z242" s="933"/>
      <c r="AA242" s="933"/>
      <c r="AB242" s="933"/>
      <c r="AC242" s="933"/>
      <c r="AD242" s="933"/>
      <c r="AE242" s="933"/>
      <c r="AF242" s="933"/>
      <c r="AG242" s="933"/>
    </row>
    <row r="243" spans="1:33" ht="12.75">
      <c r="A243" s="933"/>
      <c r="B243" s="933"/>
      <c r="C243" s="933"/>
      <c r="D243" s="933"/>
      <c r="E243" s="933"/>
      <c r="F243" s="933"/>
      <c r="G243" s="933"/>
      <c r="H243" s="933"/>
      <c r="I243" s="933"/>
      <c r="J243" s="933"/>
      <c r="K243" s="933"/>
      <c r="L243" s="933"/>
      <c r="M243" s="933"/>
      <c r="N243" s="933"/>
      <c r="O243" s="933"/>
      <c r="P243" s="933"/>
      <c r="Q243" s="933"/>
      <c r="R243" s="933"/>
      <c r="S243" s="933"/>
      <c r="T243" s="933"/>
      <c r="V243" s="933"/>
      <c r="W243" s="933"/>
      <c r="X243" s="945"/>
      <c r="Y243" s="933"/>
      <c r="Z243" s="933"/>
      <c r="AA243" s="933"/>
      <c r="AB243" s="933"/>
      <c r="AC243" s="933"/>
      <c r="AD243" s="933"/>
      <c r="AE243" s="933"/>
      <c r="AF243" s="933"/>
      <c r="AG243" s="933"/>
    </row>
    <row r="244" spans="1:33" ht="12.75">
      <c r="A244" s="933"/>
      <c r="B244" s="933"/>
      <c r="C244" s="933"/>
      <c r="D244" s="933"/>
      <c r="E244" s="933"/>
      <c r="F244" s="933"/>
      <c r="G244" s="933"/>
      <c r="H244" s="933"/>
      <c r="I244" s="933"/>
      <c r="J244" s="933"/>
      <c r="K244" s="933"/>
      <c r="L244" s="933"/>
      <c r="M244" s="933"/>
      <c r="N244" s="933"/>
      <c r="O244" s="933"/>
      <c r="P244" s="933"/>
      <c r="Q244" s="933"/>
      <c r="R244" s="933"/>
      <c r="S244" s="933"/>
      <c r="T244" s="933"/>
      <c r="V244" s="933"/>
      <c r="W244" s="933"/>
      <c r="X244" s="945"/>
      <c r="Y244" s="933"/>
      <c r="Z244" s="933"/>
      <c r="AA244" s="933"/>
      <c r="AB244" s="933"/>
      <c r="AC244" s="933"/>
      <c r="AD244" s="933"/>
      <c r="AE244" s="933"/>
      <c r="AF244" s="933"/>
      <c r="AG244" s="933"/>
    </row>
    <row r="245" spans="1:33" ht="12.75">
      <c r="A245" s="933"/>
      <c r="B245" s="933"/>
      <c r="C245" s="933"/>
      <c r="D245" s="933"/>
      <c r="E245" s="933"/>
      <c r="F245" s="933"/>
      <c r="G245" s="933"/>
      <c r="H245" s="933"/>
      <c r="I245" s="933"/>
      <c r="J245" s="933"/>
      <c r="K245" s="933"/>
      <c r="L245" s="933"/>
      <c r="M245" s="933"/>
      <c r="N245" s="933"/>
      <c r="O245" s="933"/>
      <c r="P245" s="933"/>
      <c r="Q245" s="933"/>
      <c r="R245" s="933"/>
      <c r="S245" s="933"/>
      <c r="T245" s="933"/>
      <c r="V245" s="933"/>
      <c r="W245" s="933"/>
      <c r="X245" s="945"/>
      <c r="Y245" s="933"/>
      <c r="Z245" s="933"/>
      <c r="AA245" s="933"/>
      <c r="AB245" s="933"/>
      <c r="AC245" s="933"/>
      <c r="AD245" s="933"/>
      <c r="AE245" s="933"/>
      <c r="AF245" s="933"/>
      <c r="AG245" s="933"/>
    </row>
    <row r="246" spans="1:33" ht="12.75">
      <c r="A246" s="933"/>
      <c r="B246" s="933"/>
      <c r="C246" s="933"/>
      <c r="D246" s="933"/>
      <c r="E246" s="933"/>
      <c r="F246" s="933"/>
      <c r="G246" s="933"/>
      <c r="H246" s="933"/>
      <c r="I246" s="933"/>
      <c r="J246" s="933"/>
      <c r="K246" s="933"/>
      <c r="L246" s="933"/>
      <c r="M246" s="933"/>
      <c r="N246" s="933"/>
      <c r="O246" s="933"/>
      <c r="P246" s="933"/>
      <c r="Q246" s="933"/>
      <c r="R246" s="933"/>
      <c r="S246" s="933"/>
      <c r="T246" s="933"/>
      <c r="V246" s="933"/>
      <c r="W246" s="933"/>
      <c r="X246" s="945"/>
      <c r="Y246" s="933"/>
      <c r="Z246" s="933"/>
      <c r="AA246" s="933"/>
      <c r="AB246" s="933"/>
      <c r="AC246" s="933"/>
      <c r="AD246" s="933"/>
      <c r="AE246" s="933"/>
      <c r="AF246" s="933"/>
      <c r="AG246" s="933"/>
    </row>
    <row r="247" spans="1:33" ht="12.75">
      <c r="A247" s="933"/>
      <c r="B247" s="933"/>
      <c r="C247" s="933"/>
      <c r="D247" s="933"/>
      <c r="E247" s="933"/>
      <c r="F247" s="933"/>
      <c r="G247" s="933"/>
      <c r="H247" s="933"/>
      <c r="I247" s="933"/>
      <c r="J247" s="933"/>
      <c r="K247" s="933"/>
      <c r="L247" s="933"/>
      <c r="M247" s="933"/>
      <c r="N247" s="933"/>
      <c r="O247" s="933"/>
      <c r="P247" s="933"/>
      <c r="Q247" s="933"/>
      <c r="R247" s="933"/>
      <c r="S247" s="933"/>
      <c r="T247" s="933"/>
      <c r="V247" s="933"/>
      <c r="W247" s="933"/>
      <c r="X247" s="945"/>
      <c r="Y247" s="933"/>
      <c r="Z247" s="933"/>
      <c r="AA247" s="933"/>
      <c r="AB247" s="933"/>
      <c r="AC247" s="933"/>
      <c r="AD247" s="933"/>
      <c r="AE247" s="933"/>
      <c r="AF247" s="933"/>
      <c r="AG247" s="933"/>
    </row>
    <row r="248" spans="1:33" ht="12.75">
      <c r="A248" s="933"/>
      <c r="B248" s="933"/>
      <c r="C248" s="933"/>
      <c r="D248" s="933"/>
      <c r="E248" s="933"/>
      <c r="F248" s="933"/>
      <c r="G248" s="933"/>
      <c r="H248" s="933"/>
      <c r="I248" s="933"/>
      <c r="J248" s="933"/>
      <c r="K248" s="933"/>
      <c r="L248" s="933"/>
      <c r="M248" s="933"/>
      <c r="N248" s="933"/>
      <c r="O248" s="933"/>
      <c r="P248" s="933"/>
      <c r="Q248" s="933"/>
      <c r="R248" s="933"/>
      <c r="S248" s="933"/>
      <c r="T248" s="933"/>
      <c r="V248" s="933"/>
      <c r="W248" s="933"/>
      <c r="X248" s="945"/>
      <c r="Y248" s="933"/>
      <c r="Z248" s="933"/>
      <c r="AA248" s="933"/>
      <c r="AB248" s="933"/>
      <c r="AC248" s="933"/>
      <c r="AD248" s="933"/>
      <c r="AE248" s="933"/>
      <c r="AF248" s="933"/>
      <c r="AG248" s="933"/>
    </row>
    <row r="249" spans="1:33" ht="12.75">
      <c r="A249" s="933"/>
      <c r="B249" s="933"/>
      <c r="C249" s="933"/>
      <c r="D249" s="933"/>
      <c r="E249" s="933"/>
      <c r="F249" s="933"/>
      <c r="G249" s="933"/>
      <c r="H249" s="933"/>
      <c r="I249" s="933"/>
      <c r="J249" s="933"/>
      <c r="K249" s="933"/>
      <c r="L249" s="933"/>
      <c r="M249" s="933"/>
      <c r="N249" s="933"/>
      <c r="O249" s="933"/>
      <c r="P249" s="933"/>
      <c r="Q249" s="933"/>
      <c r="R249" s="933"/>
      <c r="S249" s="933"/>
      <c r="T249" s="933"/>
      <c r="V249" s="933"/>
      <c r="W249" s="933"/>
      <c r="X249" s="945"/>
      <c r="Y249" s="933"/>
      <c r="Z249" s="933"/>
      <c r="AA249" s="933"/>
      <c r="AB249" s="933"/>
      <c r="AC249" s="933"/>
      <c r="AD249" s="933"/>
      <c r="AE249" s="933"/>
      <c r="AF249" s="933"/>
      <c r="AG249" s="933"/>
    </row>
    <row r="250" spans="1:33" ht="12.75">
      <c r="A250" s="933"/>
      <c r="B250" s="933"/>
      <c r="C250" s="933"/>
      <c r="D250" s="933"/>
      <c r="E250" s="933"/>
      <c r="F250" s="933"/>
      <c r="G250" s="933"/>
      <c r="H250" s="933"/>
      <c r="I250" s="933"/>
      <c r="J250" s="933"/>
      <c r="K250" s="933"/>
      <c r="L250" s="933"/>
      <c r="M250" s="933"/>
      <c r="N250" s="933"/>
      <c r="O250" s="933"/>
      <c r="P250" s="933"/>
      <c r="Q250" s="933"/>
      <c r="R250" s="933"/>
      <c r="S250" s="933"/>
      <c r="T250" s="933"/>
      <c r="V250" s="933"/>
      <c r="W250" s="933"/>
      <c r="X250" s="945"/>
      <c r="Y250" s="933"/>
      <c r="Z250" s="933"/>
      <c r="AA250" s="933"/>
      <c r="AB250" s="933"/>
      <c r="AC250" s="933"/>
      <c r="AD250" s="933"/>
      <c r="AE250" s="933"/>
      <c r="AF250" s="933"/>
      <c r="AG250" s="933"/>
    </row>
    <row r="251" spans="1:33" ht="12.75">
      <c r="A251" s="933"/>
      <c r="B251" s="933"/>
      <c r="C251" s="933"/>
      <c r="D251" s="933"/>
      <c r="E251" s="933"/>
      <c r="F251" s="933"/>
      <c r="G251" s="933"/>
      <c r="H251" s="933"/>
      <c r="I251" s="933"/>
      <c r="J251" s="933"/>
      <c r="K251" s="933"/>
      <c r="L251" s="933"/>
      <c r="M251" s="933"/>
      <c r="N251" s="933"/>
      <c r="O251" s="933"/>
      <c r="P251" s="933"/>
      <c r="Q251" s="933"/>
      <c r="R251" s="933"/>
      <c r="S251" s="933"/>
      <c r="T251" s="933"/>
      <c r="V251" s="933"/>
      <c r="W251" s="933"/>
      <c r="X251" s="945"/>
      <c r="Y251" s="933"/>
      <c r="Z251" s="933"/>
      <c r="AA251" s="933"/>
      <c r="AB251" s="933"/>
      <c r="AC251" s="933"/>
      <c r="AD251" s="933"/>
      <c r="AE251" s="933"/>
      <c r="AF251" s="933"/>
      <c r="AG251" s="933"/>
    </row>
    <row r="252" spans="1:33" ht="12.75">
      <c r="A252" s="933"/>
      <c r="B252" s="933"/>
      <c r="C252" s="933"/>
      <c r="D252" s="933"/>
      <c r="E252" s="933"/>
      <c r="F252" s="933"/>
      <c r="G252" s="933"/>
      <c r="H252" s="933"/>
      <c r="I252" s="933"/>
      <c r="J252" s="933"/>
      <c r="K252" s="933"/>
      <c r="L252" s="933"/>
      <c r="M252" s="933"/>
      <c r="N252" s="933"/>
      <c r="O252" s="933"/>
      <c r="P252" s="933"/>
      <c r="Q252" s="933"/>
      <c r="R252" s="933"/>
      <c r="S252" s="933"/>
      <c r="T252" s="933"/>
      <c r="V252" s="933"/>
      <c r="W252" s="933"/>
      <c r="X252" s="945"/>
      <c r="Y252" s="933"/>
      <c r="Z252" s="933"/>
      <c r="AA252" s="933"/>
      <c r="AB252" s="933"/>
      <c r="AC252" s="933"/>
      <c r="AD252" s="933"/>
      <c r="AE252" s="933"/>
      <c r="AF252" s="933"/>
      <c r="AG252" s="933"/>
    </row>
    <row r="253" spans="1:33" ht="12.75">
      <c r="A253" s="933"/>
      <c r="B253" s="933"/>
      <c r="C253" s="933"/>
      <c r="D253" s="933"/>
      <c r="E253" s="933"/>
      <c r="F253" s="933"/>
      <c r="G253" s="933"/>
      <c r="H253" s="933"/>
      <c r="I253" s="933"/>
      <c r="J253" s="933"/>
      <c r="K253" s="933"/>
      <c r="L253" s="933"/>
      <c r="M253" s="933"/>
      <c r="N253" s="933"/>
      <c r="O253" s="933"/>
      <c r="P253" s="933"/>
      <c r="Q253" s="933"/>
      <c r="R253" s="933"/>
      <c r="S253" s="933"/>
      <c r="T253" s="933"/>
      <c r="V253" s="933"/>
      <c r="W253" s="933"/>
      <c r="X253" s="945"/>
      <c r="Y253" s="933"/>
      <c r="Z253" s="933"/>
      <c r="AA253" s="933"/>
      <c r="AB253" s="933"/>
      <c r="AC253" s="933"/>
      <c r="AD253" s="933"/>
      <c r="AE253" s="933"/>
      <c r="AF253" s="933"/>
      <c r="AG253" s="933"/>
    </row>
    <row r="254" spans="1:33" ht="12.75">
      <c r="A254" s="933"/>
      <c r="B254" s="933"/>
      <c r="C254" s="933"/>
      <c r="D254" s="933"/>
      <c r="E254" s="933"/>
      <c r="F254" s="933"/>
      <c r="G254" s="933"/>
      <c r="H254" s="933"/>
      <c r="I254" s="933"/>
      <c r="J254" s="933"/>
      <c r="K254" s="933"/>
      <c r="L254" s="933"/>
      <c r="M254" s="933"/>
      <c r="N254" s="933"/>
      <c r="O254" s="933"/>
      <c r="P254" s="933"/>
      <c r="Q254" s="933"/>
      <c r="R254" s="933"/>
      <c r="S254" s="933"/>
      <c r="T254" s="933"/>
      <c r="V254" s="933"/>
      <c r="W254" s="933"/>
      <c r="X254" s="945"/>
      <c r="Y254" s="933"/>
      <c r="Z254" s="933"/>
      <c r="AA254" s="933"/>
      <c r="AB254" s="933"/>
      <c r="AC254" s="933"/>
      <c r="AD254" s="933"/>
      <c r="AE254" s="933"/>
      <c r="AF254" s="933"/>
      <c r="AG254" s="933"/>
    </row>
    <row r="255" spans="1:33" ht="12.75">
      <c r="A255" s="933"/>
      <c r="B255" s="933"/>
      <c r="C255" s="933"/>
      <c r="D255" s="933"/>
      <c r="E255" s="933"/>
      <c r="F255" s="933"/>
      <c r="G255" s="933"/>
      <c r="H255" s="933"/>
      <c r="I255" s="933"/>
      <c r="J255" s="933"/>
      <c r="K255" s="933"/>
      <c r="L255" s="933"/>
      <c r="M255" s="933"/>
      <c r="N255" s="933"/>
      <c r="O255" s="933"/>
      <c r="P255" s="933"/>
      <c r="Q255" s="933"/>
      <c r="R255" s="933"/>
      <c r="S255" s="933"/>
      <c r="T255" s="933"/>
      <c r="V255" s="933"/>
      <c r="W255" s="933"/>
      <c r="X255" s="945"/>
      <c r="Y255" s="933"/>
      <c r="Z255" s="933"/>
      <c r="AA255" s="933"/>
      <c r="AB255" s="933"/>
      <c r="AC255" s="933"/>
      <c r="AD255" s="933"/>
      <c r="AE255" s="933"/>
      <c r="AF255" s="933"/>
      <c r="AG255" s="933"/>
    </row>
    <row r="256" spans="1:33" ht="12.75">
      <c r="A256" s="933"/>
      <c r="B256" s="933"/>
      <c r="C256" s="933"/>
      <c r="D256" s="933"/>
      <c r="E256" s="933"/>
      <c r="F256" s="933"/>
      <c r="G256" s="933"/>
      <c r="H256" s="933"/>
      <c r="I256" s="933"/>
      <c r="J256" s="933"/>
      <c r="K256" s="933"/>
      <c r="L256" s="933"/>
      <c r="M256" s="933"/>
      <c r="N256" s="933"/>
      <c r="O256" s="933"/>
      <c r="P256" s="933"/>
      <c r="Q256" s="933"/>
      <c r="R256" s="933"/>
      <c r="S256" s="933"/>
      <c r="T256" s="933"/>
      <c r="V256" s="933"/>
      <c r="W256" s="933"/>
      <c r="X256" s="945"/>
      <c r="Y256" s="933"/>
      <c r="Z256" s="933"/>
      <c r="AA256" s="933"/>
      <c r="AB256" s="933"/>
      <c r="AC256" s="933"/>
      <c r="AD256" s="933"/>
      <c r="AE256" s="933"/>
      <c r="AF256" s="933"/>
      <c r="AG256" s="933"/>
    </row>
    <row r="257" spans="1:33" ht="12.75">
      <c r="A257" s="933"/>
      <c r="B257" s="933"/>
      <c r="C257" s="933"/>
      <c r="D257" s="933"/>
      <c r="E257" s="933"/>
      <c r="F257" s="933"/>
      <c r="G257" s="933"/>
      <c r="H257" s="933"/>
      <c r="I257" s="933"/>
      <c r="J257" s="933"/>
      <c r="K257" s="933"/>
      <c r="L257" s="933"/>
      <c r="M257" s="933"/>
      <c r="N257" s="933"/>
      <c r="O257" s="933"/>
      <c r="P257" s="933"/>
      <c r="Q257" s="933"/>
      <c r="R257" s="933"/>
      <c r="S257" s="933"/>
      <c r="T257" s="933"/>
      <c r="V257" s="933"/>
      <c r="W257" s="933"/>
      <c r="X257" s="945"/>
      <c r="Y257" s="933"/>
      <c r="Z257" s="933"/>
      <c r="AA257" s="933"/>
      <c r="AB257" s="933"/>
      <c r="AC257" s="933"/>
      <c r="AD257" s="933"/>
      <c r="AE257" s="933"/>
      <c r="AF257" s="933"/>
      <c r="AG257" s="933"/>
    </row>
    <row r="258" spans="1:33" ht="12.75">
      <c r="A258" s="933"/>
      <c r="B258" s="933"/>
      <c r="C258" s="933"/>
      <c r="D258" s="933"/>
      <c r="E258" s="933"/>
      <c r="F258" s="933"/>
      <c r="G258" s="933"/>
      <c r="H258" s="933"/>
      <c r="I258" s="933"/>
      <c r="J258" s="933"/>
      <c r="K258" s="933"/>
      <c r="L258" s="933"/>
      <c r="M258" s="933"/>
      <c r="N258" s="933"/>
      <c r="O258" s="933"/>
      <c r="P258" s="933"/>
      <c r="Q258" s="933"/>
      <c r="R258" s="933"/>
      <c r="S258" s="933"/>
      <c r="T258" s="933"/>
      <c r="V258" s="933"/>
      <c r="W258" s="933"/>
      <c r="X258" s="945"/>
      <c r="Y258" s="933"/>
      <c r="Z258" s="933"/>
      <c r="AA258" s="933"/>
      <c r="AB258" s="933"/>
      <c r="AC258" s="933"/>
      <c r="AD258" s="933"/>
      <c r="AE258" s="933"/>
      <c r="AF258" s="933"/>
      <c r="AG258" s="933"/>
    </row>
    <row r="259" spans="1:33" ht="12.75">
      <c r="A259" s="933"/>
      <c r="B259" s="933"/>
      <c r="C259" s="933"/>
      <c r="D259" s="933"/>
      <c r="E259" s="933"/>
      <c r="F259" s="933"/>
      <c r="G259" s="933"/>
      <c r="H259" s="933"/>
      <c r="I259" s="933"/>
      <c r="J259" s="933"/>
      <c r="K259" s="933"/>
      <c r="L259" s="933"/>
      <c r="M259" s="933"/>
      <c r="N259" s="933"/>
      <c r="O259" s="933"/>
      <c r="P259" s="933"/>
      <c r="Q259" s="933"/>
      <c r="R259" s="933"/>
      <c r="S259" s="933"/>
      <c r="T259" s="933"/>
      <c r="V259" s="933"/>
      <c r="W259" s="933"/>
      <c r="X259" s="945"/>
      <c r="Y259" s="933"/>
      <c r="Z259" s="933"/>
      <c r="AA259" s="933"/>
      <c r="AB259" s="933"/>
      <c r="AC259" s="933"/>
      <c r="AD259" s="933"/>
      <c r="AE259" s="933"/>
      <c r="AF259" s="933"/>
      <c r="AG259" s="933"/>
    </row>
    <row r="260" spans="1:33" ht="12.75">
      <c r="A260" s="933"/>
      <c r="B260" s="933"/>
      <c r="C260" s="933"/>
      <c r="D260" s="933"/>
      <c r="E260" s="933"/>
      <c r="F260" s="933"/>
      <c r="G260" s="933"/>
      <c r="H260" s="933"/>
      <c r="I260" s="933"/>
      <c r="J260" s="933"/>
      <c r="K260" s="933"/>
      <c r="L260" s="933"/>
      <c r="M260" s="933"/>
      <c r="N260" s="933"/>
      <c r="O260" s="933"/>
      <c r="P260" s="933"/>
      <c r="Q260" s="933"/>
      <c r="R260" s="933"/>
      <c r="S260" s="933"/>
      <c r="T260" s="933"/>
      <c r="V260" s="933"/>
      <c r="W260" s="933"/>
      <c r="X260" s="945"/>
      <c r="Y260" s="933"/>
      <c r="Z260" s="933"/>
      <c r="AA260" s="933"/>
      <c r="AB260" s="933"/>
      <c r="AC260" s="933"/>
      <c r="AD260" s="933"/>
      <c r="AE260" s="933"/>
      <c r="AF260" s="933"/>
      <c r="AG260" s="933"/>
    </row>
    <row r="261" spans="1:33" ht="12.75">
      <c r="A261" s="933"/>
      <c r="B261" s="933"/>
      <c r="C261" s="933"/>
      <c r="D261" s="933"/>
      <c r="E261" s="933"/>
      <c r="F261" s="933"/>
      <c r="G261" s="933"/>
      <c r="H261" s="933"/>
      <c r="I261" s="933"/>
      <c r="J261" s="933"/>
      <c r="K261" s="933"/>
      <c r="L261" s="933"/>
      <c r="M261" s="933"/>
      <c r="N261" s="933"/>
      <c r="O261" s="933"/>
      <c r="P261" s="933"/>
      <c r="Q261" s="933"/>
      <c r="R261" s="933"/>
      <c r="S261" s="933"/>
      <c r="T261" s="933"/>
      <c r="V261" s="933"/>
      <c r="W261" s="933"/>
      <c r="X261" s="945"/>
      <c r="Y261" s="933"/>
      <c r="Z261" s="933"/>
      <c r="AA261" s="933"/>
      <c r="AB261" s="933"/>
      <c r="AC261" s="933"/>
      <c r="AD261" s="933"/>
      <c r="AE261" s="933"/>
      <c r="AF261" s="933"/>
      <c r="AG261" s="933"/>
    </row>
    <row r="262" spans="1:33" ht="12.75">
      <c r="A262" s="933"/>
      <c r="B262" s="933"/>
      <c r="C262" s="933"/>
      <c r="D262" s="933"/>
      <c r="E262" s="933"/>
      <c r="F262" s="933"/>
      <c r="G262" s="933"/>
      <c r="H262" s="933"/>
      <c r="I262" s="933"/>
      <c r="J262" s="933"/>
      <c r="K262" s="933"/>
      <c r="L262" s="933"/>
      <c r="M262" s="933"/>
      <c r="N262" s="933"/>
      <c r="O262" s="933"/>
      <c r="P262" s="933"/>
      <c r="Q262" s="933"/>
      <c r="R262" s="933"/>
      <c r="S262" s="933"/>
      <c r="T262" s="933"/>
      <c r="V262" s="933"/>
      <c r="W262" s="933"/>
      <c r="X262" s="945"/>
      <c r="Y262" s="933"/>
      <c r="Z262" s="933"/>
      <c r="AA262" s="933"/>
      <c r="AB262" s="933"/>
      <c r="AC262" s="933"/>
      <c r="AD262" s="933"/>
      <c r="AE262" s="933"/>
      <c r="AF262" s="933"/>
      <c r="AG262" s="933"/>
    </row>
    <row r="263" spans="1:33" ht="12.75">
      <c r="A263" s="933"/>
      <c r="B263" s="933"/>
      <c r="C263" s="933"/>
      <c r="D263" s="933"/>
      <c r="E263" s="933"/>
      <c r="F263" s="933"/>
      <c r="G263" s="933"/>
      <c r="H263" s="933"/>
      <c r="I263" s="933"/>
      <c r="J263" s="933"/>
      <c r="K263" s="933"/>
      <c r="L263" s="933"/>
      <c r="M263" s="933"/>
      <c r="N263" s="933"/>
      <c r="O263" s="933"/>
      <c r="P263" s="933"/>
      <c r="Q263" s="933"/>
      <c r="R263" s="933"/>
      <c r="S263" s="933"/>
      <c r="T263" s="933"/>
      <c r="V263" s="933"/>
      <c r="W263" s="933"/>
      <c r="X263" s="945"/>
      <c r="Y263" s="933"/>
      <c r="Z263" s="933"/>
      <c r="AA263" s="933"/>
      <c r="AB263" s="933"/>
      <c r="AC263" s="933"/>
      <c r="AD263" s="933"/>
      <c r="AE263" s="933"/>
      <c r="AF263" s="933"/>
      <c r="AG263" s="933"/>
    </row>
    <row r="264" spans="1:33" ht="12.75">
      <c r="A264" s="933"/>
      <c r="B264" s="933"/>
      <c r="C264" s="933"/>
      <c r="D264" s="933"/>
      <c r="E264" s="933"/>
      <c r="F264" s="933"/>
      <c r="G264" s="933"/>
      <c r="H264" s="933"/>
      <c r="I264" s="933"/>
      <c r="J264" s="933"/>
      <c r="K264" s="933"/>
      <c r="L264" s="933"/>
      <c r="M264" s="933"/>
      <c r="N264" s="933"/>
      <c r="O264" s="933"/>
      <c r="P264" s="933"/>
      <c r="Q264" s="933"/>
      <c r="R264" s="933"/>
      <c r="S264" s="933"/>
      <c r="T264" s="933"/>
      <c r="V264" s="933"/>
      <c r="W264" s="933"/>
      <c r="X264" s="945"/>
      <c r="Y264" s="933"/>
      <c r="Z264" s="933"/>
      <c r="AA264" s="933"/>
      <c r="AB264" s="933"/>
      <c r="AC264" s="933"/>
      <c r="AD264" s="933"/>
      <c r="AE264" s="933"/>
      <c r="AF264" s="933"/>
      <c r="AG264" s="933"/>
    </row>
    <row r="265" spans="1:33" ht="12.75">
      <c r="A265" s="933"/>
      <c r="B265" s="933"/>
      <c r="C265" s="933"/>
      <c r="D265" s="933"/>
      <c r="E265" s="933"/>
      <c r="F265" s="933"/>
      <c r="G265" s="933"/>
      <c r="H265" s="933"/>
      <c r="I265" s="933"/>
      <c r="J265" s="933"/>
      <c r="K265" s="933"/>
      <c r="L265" s="933"/>
      <c r="M265" s="933"/>
      <c r="N265" s="933"/>
      <c r="O265" s="933"/>
      <c r="P265" s="933"/>
      <c r="Q265" s="933"/>
      <c r="R265" s="933"/>
      <c r="S265" s="933"/>
      <c r="T265" s="933"/>
      <c r="V265" s="933"/>
      <c r="W265" s="933"/>
      <c r="X265" s="945"/>
      <c r="Y265" s="933"/>
      <c r="Z265" s="933"/>
      <c r="AA265" s="933"/>
      <c r="AB265" s="933"/>
      <c r="AC265" s="933"/>
      <c r="AD265" s="933"/>
      <c r="AE265" s="933"/>
      <c r="AF265" s="933"/>
      <c r="AG265" s="933"/>
    </row>
    <row r="266" spans="1:33" ht="12.75">
      <c r="A266" s="933"/>
      <c r="B266" s="933"/>
      <c r="C266" s="933"/>
      <c r="D266" s="933"/>
      <c r="E266" s="933"/>
      <c r="F266" s="933"/>
      <c r="G266" s="933"/>
      <c r="H266" s="933"/>
      <c r="I266" s="933"/>
      <c r="J266" s="933"/>
      <c r="K266" s="933"/>
      <c r="L266" s="933"/>
      <c r="M266" s="933"/>
      <c r="N266" s="933"/>
      <c r="O266" s="933"/>
      <c r="P266" s="933"/>
      <c r="Q266" s="933"/>
      <c r="R266" s="933"/>
      <c r="S266" s="933"/>
      <c r="T266" s="933"/>
      <c r="V266" s="933"/>
      <c r="W266" s="933"/>
      <c r="X266" s="945"/>
      <c r="Y266" s="933"/>
      <c r="Z266" s="933"/>
      <c r="AA266" s="933"/>
      <c r="AB266" s="933"/>
      <c r="AC266" s="933"/>
      <c r="AD266" s="933"/>
      <c r="AE266" s="933"/>
      <c r="AF266" s="933"/>
      <c r="AG266" s="933"/>
    </row>
    <row r="267" spans="1:33" ht="12.75">
      <c r="A267" s="933"/>
      <c r="B267" s="933"/>
      <c r="C267" s="933"/>
      <c r="D267" s="933"/>
      <c r="E267" s="933"/>
      <c r="F267" s="933"/>
      <c r="G267" s="933"/>
      <c r="H267" s="933"/>
      <c r="I267" s="933"/>
      <c r="J267" s="933"/>
      <c r="K267" s="933"/>
      <c r="L267" s="933"/>
      <c r="M267" s="933"/>
      <c r="N267" s="933"/>
      <c r="O267" s="933"/>
      <c r="P267" s="933"/>
      <c r="Q267" s="933"/>
      <c r="R267" s="933"/>
      <c r="S267" s="933"/>
      <c r="T267" s="933"/>
      <c r="V267" s="933"/>
      <c r="W267" s="933"/>
      <c r="X267" s="945"/>
      <c r="Y267" s="933"/>
      <c r="Z267" s="933"/>
      <c r="AA267" s="933"/>
      <c r="AB267" s="933"/>
      <c r="AC267" s="933"/>
      <c r="AD267" s="933"/>
      <c r="AE267" s="933"/>
      <c r="AF267" s="933"/>
      <c r="AG267" s="933"/>
    </row>
    <row r="268" spans="1:33" ht="12.75">
      <c r="A268" s="933"/>
      <c r="B268" s="933"/>
      <c r="C268" s="933"/>
      <c r="D268" s="933"/>
      <c r="E268" s="933"/>
      <c r="F268" s="933"/>
      <c r="G268" s="933"/>
      <c r="H268" s="933"/>
      <c r="I268" s="933"/>
      <c r="J268" s="933"/>
      <c r="K268" s="933"/>
      <c r="L268" s="933"/>
      <c r="M268" s="933"/>
      <c r="N268" s="933"/>
      <c r="O268" s="933"/>
      <c r="P268" s="933"/>
      <c r="Q268" s="933"/>
      <c r="R268" s="933"/>
      <c r="S268" s="933"/>
      <c r="T268" s="933"/>
      <c r="V268" s="933"/>
      <c r="W268" s="933"/>
      <c r="X268" s="945"/>
      <c r="Y268" s="933"/>
      <c r="Z268" s="933"/>
      <c r="AA268" s="933"/>
      <c r="AB268" s="933"/>
      <c r="AC268" s="933"/>
      <c r="AD268" s="933"/>
      <c r="AE268" s="933"/>
      <c r="AF268" s="933"/>
      <c r="AG268" s="933"/>
    </row>
    <row r="269" spans="1:33" ht="12.75">
      <c r="A269" s="933"/>
      <c r="B269" s="933"/>
      <c r="C269" s="933"/>
      <c r="D269" s="933"/>
      <c r="E269" s="933"/>
      <c r="F269" s="933"/>
      <c r="G269" s="933"/>
      <c r="H269" s="933"/>
      <c r="I269" s="933"/>
      <c r="J269" s="933"/>
      <c r="K269" s="933"/>
      <c r="L269" s="933"/>
      <c r="M269" s="933"/>
      <c r="N269" s="933"/>
      <c r="O269" s="933"/>
      <c r="P269" s="933"/>
      <c r="Q269" s="933"/>
      <c r="R269" s="933"/>
      <c r="S269" s="933"/>
      <c r="T269" s="933"/>
      <c r="V269" s="933"/>
      <c r="W269" s="933"/>
      <c r="X269" s="945"/>
      <c r="Y269" s="933"/>
      <c r="Z269" s="933"/>
      <c r="AA269" s="933"/>
      <c r="AB269" s="933"/>
      <c r="AC269" s="933"/>
      <c r="AD269" s="933"/>
      <c r="AE269" s="933"/>
      <c r="AF269" s="933"/>
      <c r="AG269" s="933"/>
    </row>
    <row r="270" spans="1:33" ht="12.75">
      <c r="A270" s="933"/>
      <c r="B270" s="933"/>
      <c r="C270" s="933"/>
      <c r="D270" s="933"/>
      <c r="E270" s="933"/>
      <c r="F270" s="933"/>
      <c r="G270" s="933"/>
      <c r="H270" s="933"/>
      <c r="I270" s="933"/>
      <c r="J270" s="933"/>
      <c r="K270" s="933"/>
      <c r="L270" s="933"/>
      <c r="M270" s="933"/>
      <c r="N270" s="933"/>
      <c r="O270" s="933"/>
      <c r="P270" s="933"/>
      <c r="Q270" s="933"/>
      <c r="R270" s="933"/>
      <c r="S270" s="933"/>
      <c r="T270" s="933"/>
      <c r="V270" s="933"/>
      <c r="W270" s="933"/>
      <c r="X270" s="945"/>
      <c r="Y270" s="933"/>
      <c r="Z270" s="933"/>
      <c r="AA270" s="933"/>
      <c r="AB270" s="933"/>
      <c r="AC270" s="933"/>
      <c r="AD270" s="933"/>
      <c r="AE270" s="933"/>
      <c r="AF270" s="933"/>
      <c r="AG270" s="933"/>
    </row>
    <row r="271" spans="1:33" ht="12.75">
      <c r="A271" s="933"/>
      <c r="B271" s="933"/>
      <c r="C271" s="933"/>
      <c r="D271" s="933"/>
      <c r="E271" s="933"/>
      <c r="F271" s="933"/>
      <c r="G271" s="933"/>
      <c r="H271" s="933"/>
      <c r="I271" s="933"/>
      <c r="J271" s="933"/>
      <c r="K271" s="933"/>
      <c r="L271" s="933"/>
      <c r="M271" s="933"/>
      <c r="N271" s="933"/>
      <c r="O271" s="933"/>
      <c r="P271" s="933"/>
      <c r="Q271" s="933"/>
      <c r="R271" s="933"/>
      <c r="S271" s="933"/>
      <c r="T271" s="933"/>
      <c r="V271" s="933"/>
      <c r="W271" s="933"/>
      <c r="X271" s="945"/>
      <c r="Y271" s="933"/>
      <c r="Z271" s="933"/>
      <c r="AA271" s="933"/>
      <c r="AB271" s="933"/>
      <c r="AC271" s="933"/>
      <c r="AD271" s="933"/>
      <c r="AE271" s="933"/>
      <c r="AF271" s="933"/>
      <c r="AG271" s="933"/>
    </row>
    <row r="272" spans="1:33" ht="12.75">
      <c r="A272" s="933"/>
      <c r="B272" s="933"/>
      <c r="C272" s="933"/>
      <c r="D272" s="933"/>
      <c r="E272" s="933"/>
      <c r="F272" s="933"/>
      <c r="G272" s="933"/>
      <c r="H272" s="933"/>
      <c r="I272" s="933"/>
      <c r="J272" s="933"/>
      <c r="K272" s="933"/>
      <c r="L272" s="933"/>
      <c r="M272" s="933"/>
      <c r="N272" s="933"/>
      <c r="O272" s="933"/>
      <c r="P272" s="933"/>
      <c r="Q272" s="933"/>
      <c r="R272" s="933"/>
      <c r="S272" s="933"/>
      <c r="T272" s="933"/>
      <c r="V272" s="933"/>
      <c r="W272" s="933"/>
      <c r="X272" s="945"/>
      <c r="Y272" s="933"/>
      <c r="Z272" s="933"/>
      <c r="AA272" s="933"/>
      <c r="AB272" s="933"/>
      <c r="AC272" s="933"/>
      <c r="AD272" s="933"/>
      <c r="AE272" s="933"/>
      <c r="AF272" s="933"/>
      <c r="AG272" s="933"/>
    </row>
    <row r="273" spans="1:33" ht="12.75">
      <c r="A273" s="933"/>
      <c r="B273" s="933"/>
      <c r="C273" s="933"/>
      <c r="D273" s="933"/>
      <c r="E273" s="933"/>
      <c r="F273" s="933"/>
      <c r="G273" s="933"/>
      <c r="H273" s="933"/>
      <c r="I273" s="933"/>
      <c r="J273" s="933"/>
      <c r="K273" s="933"/>
      <c r="L273" s="933"/>
      <c r="M273" s="933"/>
      <c r="N273" s="933"/>
      <c r="O273" s="933"/>
      <c r="P273" s="933"/>
      <c r="Q273" s="933"/>
      <c r="R273" s="933"/>
      <c r="S273" s="933"/>
      <c r="T273" s="933"/>
      <c r="V273" s="933"/>
      <c r="W273" s="933"/>
      <c r="X273" s="945"/>
      <c r="Y273" s="933"/>
      <c r="Z273" s="933"/>
      <c r="AA273" s="933"/>
      <c r="AB273" s="933"/>
      <c r="AC273" s="933"/>
      <c r="AD273" s="933"/>
      <c r="AE273" s="933"/>
      <c r="AF273" s="933"/>
      <c r="AG273" s="933"/>
    </row>
    <row r="274" spans="1:33" ht="12.75">
      <c r="A274" s="933"/>
      <c r="B274" s="933"/>
      <c r="C274" s="933"/>
      <c r="D274" s="933"/>
      <c r="E274" s="933"/>
      <c r="F274" s="933"/>
      <c r="G274" s="933"/>
      <c r="H274" s="933"/>
      <c r="I274" s="933"/>
      <c r="J274" s="933"/>
      <c r="K274" s="933"/>
      <c r="L274" s="933"/>
      <c r="M274" s="933"/>
      <c r="N274" s="933"/>
      <c r="O274" s="933"/>
      <c r="P274" s="933"/>
      <c r="Q274" s="933"/>
      <c r="R274" s="933"/>
      <c r="S274" s="933"/>
      <c r="T274" s="933"/>
      <c r="V274" s="933"/>
      <c r="W274" s="933"/>
      <c r="X274" s="945"/>
      <c r="Y274" s="933"/>
      <c r="Z274" s="933"/>
      <c r="AA274" s="933"/>
      <c r="AB274" s="933"/>
      <c r="AC274" s="933"/>
      <c r="AD274" s="933"/>
      <c r="AE274" s="933"/>
      <c r="AF274" s="933"/>
      <c r="AG274" s="933"/>
    </row>
    <row r="275" spans="1:33" ht="12.75">
      <c r="A275" s="933"/>
      <c r="B275" s="933"/>
      <c r="C275" s="933"/>
      <c r="D275" s="933"/>
      <c r="E275" s="933"/>
      <c r="F275" s="933"/>
      <c r="G275" s="933"/>
      <c r="H275" s="933"/>
      <c r="I275" s="933"/>
      <c r="J275" s="933"/>
      <c r="K275" s="933"/>
      <c r="L275" s="933"/>
      <c r="M275" s="933"/>
      <c r="N275" s="933"/>
      <c r="O275" s="933"/>
      <c r="P275" s="933"/>
      <c r="Q275" s="933"/>
      <c r="R275" s="933"/>
      <c r="S275" s="933"/>
      <c r="T275" s="933"/>
      <c r="V275" s="933"/>
      <c r="W275" s="933"/>
      <c r="X275" s="945"/>
      <c r="Y275" s="933"/>
      <c r="Z275" s="933"/>
      <c r="AA275" s="933"/>
      <c r="AB275" s="933"/>
      <c r="AC275" s="933"/>
      <c r="AD275" s="933"/>
      <c r="AE275" s="933"/>
      <c r="AF275" s="933"/>
      <c r="AG275" s="933"/>
    </row>
    <row r="276" spans="1:33" ht="12.75">
      <c r="A276" s="933"/>
      <c r="B276" s="933"/>
      <c r="C276" s="933"/>
      <c r="D276" s="933"/>
      <c r="E276" s="933"/>
      <c r="F276" s="933"/>
      <c r="G276" s="933"/>
      <c r="H276" s="933"/>
      <c r="I276" s="933"/>
      <c r="J276" s="933"/>
      <c r="K276" s="933"/>
      <c r="L276" s="933"/>
      <c r="M276" s="933"/>
      <c r="N276" s="933"/>
      <c r="O276" s="933"/>
      <c r="P276" s="933"/>
      <c r="Q276" s="933"/>
      <c r="R276" s="933"/>
      <c r="S276" s="933"/>
      <c r="T276" s="933"/>
      <c r="V276" s="933"/>
      <c r="W276" s="933"/>
      <c r="X276" s="945"/>
      <c r="Y276" s="933"/>
      <c r="Z276" s="933"/>
      <c r="AA276" s="933"/>
      <c r="AB276" s="933"/>
      <c r="AC276" s="933"/>
      <c r="AD276" s="933"/>
      <c r="AE276" s="933"/>
      <c r="AF276" s="933"/>
      <c r="AG276" s="933"/>
    </row>
    <row r="277" spans="1:33" ht="12.75">
      <c r="A277" s="933"/>
      <c r="B277" s="933"/>
      <c r="C277" s="933"/>
      <c r="D277" s="933"/>
      <c r="E277" s="933"/>
      <c r="F277" s="933"/>
      <c r="G277" s="933"/>
      <c r="H277" s="933"/>
      <c r="I277" s="933"/>
      <c r="J277" s="933"/>
      <c r="K277" s="933"/>
      <c r="L277" s="933"/>
      <c r="M277" s="933"/>
      <c r="N277" s="933"/>
      <c r="O277" s="933"/>
      <c r="P277" s="933"/>
      <c r="Q277" s="933"/>
      <c r="R277" s="933"/>
      <c r="S277" s="933"/>
      <c r="T277" s="933"/>
      <c r="V277" s="933"/>
      <c r="W277" s="933"/>
      <c r="X277" s="945"/>
      <c r="Y277" s="933"/>
      <c r="Z277" s="933"/>
      <c r="AA277" s="933"/>
      <c r="AB277" s="933"/>
      <c r="AC277" s="933"/>
      <c r="AD277" s="933"/>
      <c r="AE277" s="933"/>
      <c r="AF277" s="933"/>
      <c r="AG277" s="933"/>
    </row>
    <row r="278" spans="1:33" ht="12.75">
      <c r="A278" s="933"/>
      <c r="B278" s="933"/>
      <c r="C278" s="933"/>
      <c r="D278" s="933"/>
      <c r="E278" s="933"/>
      <c r="F278" s="933"/>
      <c r="G278" s="933"/>
      <c r="H278" s="933"/>
      <c r="I278" s="933"/>
      <c r="J278" s="933"/>
      <c r="K278" s="933"/>
      <c r="L278" s="933"/>
      <c r="M278" s="933"/>
      <c r="N278" s="933"/>
      <c r="O278" s="933"/>
      <c r="P278" s="933"/>
      <c r="Q278" s="933"/>
      <c r="R278" s="933"/>
      <c r="S278" s="933"/>
      <c r="T278" s="933"/>
      <c r="V278" s="933"/>
      <c r="W278" s="933"/>
      <c r="X278" s="945"/>
      <c r="Y278" s="933"/>
      <c r="Z278" s="933"/>
      <c r="AA278" s="933"/>
      <c r="AB278" s="933"/>
      <c r="AC278" s="933"/>
      <c r="AD278" s="933"/>
      <c r="AE278" s="933"/>
      <c r="AF278" s="933"/>
      <c r="AG278" s="933"/>
    </row>
    <row r="279" spans="1:33" ht="12.75">
      <c r="A279" s="933"/>
      <c r="B279" s="933"/>
      <c r="C279" s="933"/>
      <c r="D279" s="933"/>
      <c r="E279" s="933"/>
      <c r="F279" s="933"/>
      <c r="G279" s="933"/>
      <c r="H279" s="933"/>
      <c r="I279" s="933"/>
      <c r="J279" s="933"/>
      <c r="K279" s="933"/>
      <c r="L279" s="933"/>
      <c r="M279" s="933"/>
      <c r="N279" s="933"/>
      <c r="O279" s="933"/>
      <c r="P279" s="933"/>
      <c r="Q279" s="933"/>
      <c r="R279" s="933"/>
      <c r="S279" s="933"/>
      <c r="T279" s="933"/>
      <c r="V279" s="933"/>
      <c r="W279" s="933"/>
      <c r="X279" s="945"/>
      <c r="Y279" s="933"/>
      <c r="Z279" s="933"/>
      <c r="AA279" s="933"/>
      <c r="AB279" s="933"/>
      <c r="AC279" s="933"/>
      <c r="AD279" s="933"/>
      <c r="AE279" s="933"/>
      <c r="AF279" s="933"/>
      <c r="AG279" s="933"/>
    </row>
    <row r="280" spans="1:33" ht="12.75">
      <c r="A280" s="933"/>
      <c r="B280" s="933"/>
      <c r="C280" s="933"/>
      <c r="D280" s="933"/>
      <c r="E280" s="933"/>
      <c r="F280" s="933"/>
      <c r="G280" s="933"/>
      <c r="H280" s="933"/>
      <c r="I280" s="933"/>
      <c r="J280" s="933"/>
      <c r="K280" s="933"/>
      <c r="L280" s="933"/>
      <c r="M280" s="933"/>
      <c r="N280" s="933"/>
      <c r="O280" s="933"/>
      <c r="P280" s="933"/>
      <c r="Q280" s="933"/>
      <c r="R280" s="933"/>
      <c r="S280" s="933"/>
      <c r="T280" s="933"/>
      <c r="V280" s="933"/>
      <c r="W280" s="933"/>
      <c r="X280" s="945"/>
      <c r="Y280" s="933"/>
      <c r="Z280" s="933"/>
      <c r="AA280" s="933"/>
      <c r="AB280" s="933"/>
      <c r="AC280" s="933"/>
      <c r="AD280" s="933"/>
      <c r="AE280" s="933"/>
      <c r="AF280" s="933"/>
      <c r="AG280" s="933"/>
    </row>
    <row r="281" spans="1:33" ht="12.75">
      <c r="A281" s="933"/>
      <c r="B281" s="933"/>
      <c r="C281" s="933"/>
      <c r="D281" s="933"/>
      <c r="E281" s="933"/>
      <c r="F281" s="933"/>
      <c r="G281" s="933"/>
      <c r="H281" s="933"/>
      <c r="I281" s="933"/>
      <c r="J281" s="933"/>
      <c r="K281" s="933"/>
      <c r="L281" s="933"/>
      <c r="M281" s="933"/>
      <c r="N281" s="933"/>
      <c r="O281" s="933"/>
      <c r="P281" s="933"/>
      <c r="Q281" s="933"/>
      <c r="R281" s="933"/>
      <c r="S281" s="933"/>
      <c r="T281" s="933"/>
      <c r="V281" s="933"/>
      <c r="W281" s="933"/>
      <c r="X281" s="945"/>
      <c r="Y281" s="933"/>
      <c r="Z281" s="933"/>
      <c r="AA281" s="933"/>
      <c r="AB281" s="933"/>
      <c r="AC281" s="933"/>
      <c r="AD281" s="933"/>
      <c r="AE281" s="933"/>
      <c r="AF281" s="933"/>
      <c r="AG281" s="933"/>
    </row>
    <row r="282" spans="1:33" ht="12.75">
      <c r="A282" s="933"/>
      <c r="B282" s="933"/>
      <c r="C282" s="933"/>
      <c r="D282" s="933"/>
      <c r="E282" s="933"/>
      <c r="F282" s="933"/>
      <c r="G282" s="933"/>
      <c r="H282" s="933"/>
      <c r="I282" s="933"/>
      <c r="J282" s="933"/>
      <c r="K282" s="933"/>
      <c r="L282" s="933"/>
      <c r="M282" s="933"/>
      <c r="N282" s="933"/>
      <c r="O282" s="933"/>
      <c r="P282" s="933"/>
      <c r="Q282" s="933"/>
      <c r="R282" s="933"/>
      <c r="S282" s="933"/>
      <c r="T282" s="933"/>
      <c r="V282" s="933"/>
      <c r="W282" s="933"/>
      <c r="X282" s="945"/>
      <c r="Y282" s="933"/>
      <c r="Z282" s="933"/>
      <c r="AA282" s="933"/>
      <c r="AB282" s="933"/>
      <c r="AC282" s="933"/>
      <c r="AD282" s="933"/>
      <c r="AE282" s="933"/>
      <c r="AF282" s="933"/>
      <c r="AG282" s="933"/>
    </row>
    <row r="283" spans="1:33" ht="12.75">
      <c r="A283" s="933"/>
      <c r="B283" s="933"/>
      <c r="C283" s="933"/>
      <c r="D283" s="933"/>
      <c r="E283" s="933"/>
      <c r="F283" s="933"/>
      <c r="G283" s="933"/>
      <c r="H283" s="933"/>
      <c r="I283" s="933"/>
      <c r="J283" s="933"/>
      <c r="K283" s="933"/>
      <c r="L283" s="933"/>
      <c r="M283" s="933"/>
      <c r="N283" s="933"/>
      <c r="O283" s="933"/>
      <c r="P283" s="933"/>
      <c r="Q283" s="933"/>
      <c r="R283" s="933"/>
      <c r="S283" s="933"/>
      <c r="T283" s="933"/>
      <c r="V283" s="933"/>
      <c r="W283" s="933"/>
      <c r="X283" s="945"/>
      <c r="Y283" s="933"/>
      <c r="Z283" s="933"/>
      <c r="AA283" s="933"/>
      <c r="AB283" s="933"/>
      <c r="AC283" s="933"/>
      <c r="AD283" s="933"/>
      <c r="AE283" s="933"/>
      <c r="AF283" s="933"/>
      <c r="AG283" s="933"/>
    </row>
    <row r="284" spans="1:33" ht="12.75">
      <c r="A284" s="933"/>
      <c r="B284" s="933"/>
      <c r="C284" s="933"/>
      <c r="D284" s="933"/>
      <c r="E284" s="933"/>
      <c r="F284" s="933"/>
      <c r="G284" s="933"/>
      <c r="H284" s="933"/>
      <c r="I284" s="933"/>
      <c r="J284" s="933"/>
      <c r="K284" s="933"/>
      <c r="L284" s="933"/>
      <c r="M284" s="933"/>
      <c r="N284" s="933"/>
      <c r="O284" s="933"/>
      <c r="P284" s="933"/>
      <c r="Q284" s="933"/>
      <c r="R284" s="933"/>
      <c r="S284" s="933"/>
      <c r="T284" s="933"/>
      <c r="V284" s="933"/>
      <c r="W284" s="933"/>
      <c r="X284" s="945"/>
      <c r="Y284" s="933"/>
      <c r="Z284" s="933"/>
      <c r="AA284" s="933"/>
      <c r="AB284" s="933"/>
      <c r="AC284" s="933"/>
      <c r="AD284" s="933"/>
      <c r="AE284" s="933"/>
      <c r="AF284" s="933"/>
      <c r="AG284" s="933"/>
    </row>
    <row r="285" spans="1:33" ht="12.75">
      <c r="A285" s="933"/>
      <c r="B285" s="933"/>
      <c r="C285" s="933"/>
      <c r="D285" s="933"/>
      <c r="E285" s="933"/>
      <c r="F285" s="933"/>
      <c r="G285" s="933"/>
      <c r="H285" s="933"/>
      <c r="I285" s="933"/>
      <c r="J285" s="933"/>
      <c r="K285" s="933"/>
      <c r="L285" s="933"/>
      <c r="M285" s="933"/>
      <c r="N285" s="933"/>
      <c r="O285" s="933"/>
      <c r="P285" s="933"/>
      <c r="Q285" s="933"/>
      <c r="R285" s="933"/>
      <c r="S285" s="933"/>
      <c r="T285" s="933"/>
      <c r="V285" s="933"/>
      <c r="W285" s="933"/>
      <c r="X285" s="945"/>
      <c r="Y285" s="933"/>
      <c r="Z285" s="933"/>
      <c r="AA285" s="933"/>
      <c r="AB285" s="933"/>
      <c r="AC285" s="933"/>
      <c r="AD285" s="933"/>
      <c r="AE285" s="933"/>
      <c r="AF285" s="933"/>
      <c r="AG285" s="933"/>
    </row>
    <row r="286" spans="1:33" ht="12.75">
      <c r="A286" s="933"/>
      <c r="B286" s="933"/>
      <c r="C286" s="933"/>
      <c r="D286" s="933"/>
      <c r="E286" s="933"/>
      <c r="F286" s="933"/>
      <c r="G286" s="933"/>
      <c r="H286" s="933"/>
      <c r="I286" s="933"/>
      <c r="J286" s="933"/>
      <c r="K286" s="933"/>
      <c r="L286" s="933"/>
      <c r="M286" s="933"/>
      <c r="N286" s="933"/>
      <c r="O286" s="933"/>
      <c r="P286" s="933"/>
      <c r="Q286" s="933"/>
      <c r="R286" s="933"/>
      <c r="S286" s="933"/>
      <c r="T286" s="933"/>
      <c r="V286" s="933"/>
      <c r="W286" s="933"/>
      <c r="X286" s="945"/>
      <c r="Y286" s="933"/>
      <c r="Z286" s="933"/>
      <c r="AA286" s="933"/>
      <c r="AB286" s="933"/>
      <c r="AC286" s="933"/>
      <c r="AD286" s="933"/>
      <c r="AE286" s="933"/>
      <c r="AF286" s="933"/>
      <c r="AG286" s="933"/>
    </row>
    <row r="287" spans="1:33" ht="12.75">
      <c r="A287" s="933"/>
      <c r="B287" s="933"/>
      <c r="C287" s="933"/>
      <c r="D287" s="933"/>
      <c r="E287" s="933"/>
      <c r="F287" s="933"/>
      <c r="G287" s="933"/>
      <c r="H287" s="933"/>
      <c r="I287" s="933"/>
      <c r="J287" s="933"/>
      <c r="K287" s="933"/>
      <c r="L287" s="933"/>
      <c r="M287" s="933"/>
      <c r="N287" s="933"/>
      <c r="O287" s="933"/>
      <c r="P287" s="933"/>
      <c r="Q287" s="933"/>
      <c r="R287" s="933"/>
      <c r="S287" s="933"/>
      <c r="T287" s="933"/>
      <c r="V287" s="933"/>
      <c r="W287" s="933"/>
      <c r="X287" s="945"/>
      <c r="Y287" s="933"/>
      <c r="Z287" s="933"/>
      <c r="AA287" s="933"/>
      <c r="AB287" s="933"/>
      <c r="AC287" s="933"/>
      <c r="AD287" s="933"/>
      <c r="AE287" s="933"/>
      <c r="AF287" s="933"/>
      <c r="AG287" s="933"/>
    </row>
    <row r="288" spans="1:33" ht="12.75">
      <c r="A288" s="933"/>
      <c r="B288" s="933"/>
      <c r="C288" s="933"/>
      <c r="D288" s="933"/>
      <c r="E288" s="933"/>
      <c r="F288" s="933"/>
      <c r="G288" s="933"/>
      <c r="H288" s="933"/>
      <c r="I288" s="933"/>
      <c r="J288" s="933"/>
      <c r="K288" s="933"/>
      <c r="L288" s="933"/>
      <c r="M288" s="933"/>
      <c r="N288" s="933"/>
      <c r="O288" s="933"/>
      <c r="P288" s="933"/>
      <c r="Q288" s="933"/>
      <c r="R288" s="933"/>
      <c r="S288" s="933"/>
      <c r="T288" s="933"/>
      <c r="V288" s="933"/>
      <c r="W288" s="933"/>
      <c r="X288" s="945"/>
      <c r="Y288" s="933"/>
      <c r="Z288" s="933"/>
      <c r="AA288" s="933"/>
      <c r="AB288" s="933"/>
      <c r="AC288" s="933"/>
      <c r="AD288" s="933"/>
      <c r="AE288" s="933"/>
      <c r="AF288" s="933"/>
      <c r="AG288" s="933"/>
    </row>
    <row r="289" spans="1:33" ht="12.75">
      <c r="A289" s="933"/>
      <c r="B289" s="933"/>
      <c r="C289" s="933"/>
      <c r="D289" s="933"/>
      <c r="E289" s="933"/>
      <c r="F289" s="933"/>
      <c r="G289" s="933"/>
      <c r="H289" s="933"/>
      <c r="I289" s="933"/>
      <c r="J289" s="933"/>
      <c r="K289" s="933"/>
      <c r="L289" s="933"/>
      <c r="M289" s="933"/>
      <c r="N289" s="933"/>
      <c r="O289" s="933"/>
      <c r="P289" s="933"/>
      <c r="Q289" s="933"/>
      <c r="R289" s="933"/>
      <c r="S289" s="933"/>
      <c r="T289" s="933"/>
      <c r="V289" s="933"/>
      <c r="W289" s="933"/>
      <c r="X289" s="945"/>
      <c r="Y289" s="933"/>
      <c r="Z289" s="933"/>
      <c r="AA289" s="933"/>
      <c r="AB289" s="933"/>
      <c r="AC289" s="933"/>
      <c r="AD289" s="933"/>
      <c r="AE289" s="933"/>
      <c r="AF289" s="933"/>
      <c r="AG289" s="933"/>
    </row>
    <row r="290" spans="1:33" ht="12.75">
      <c r="A290" s="933"/>
      <c r="B290" s="933"/>
      <c r="C290" s="933"/>
      <c r="D290" s="933"/>
      <c r="E290" s="933"/>
      <c r="F290" s="933"/>
      <c r="G290" s="933"/>
      <c r="H290" s="933"/>
      <c r="I290" s="933"/>
      <c r="J290" s="933"/>
      <c r="K290" s="933"/>
      <c r="L290" s="933"/>
      <c r="M290" s="933"/>
      <c r="N290" s="933"/>
      <c r="O290" s="933"/>
      <c r="P290" s="933"/>
      <c r="Q290" s="933"/>
      <c r="R290" s="933"/>
      <c r="S290" s="933"/>
      <c r="T290" s="933"/>
      <c r="V290" s="933"/>
      <c r="W290" s="933"/>
      <c r="X290" s="945"/>
      <c r="Y290" s="933"/>
      <c r="Z290" s="933"/>
      <c r="AA290" s="933"/>
      <c r="AB290" s="933"/>
      <c r="AC290" s="933"/>
      <c r="AD290" s="933"/>
      <c r="AE290" s="933"/>
      <c r="AF290" s="933"/>
      <c r="AG290" s="933"/>
    </row>
    <row r="291" spans="1:33" ht="12.75">
      <c r="A291" s="933"/>
      <c r="B291" s="933"/>
      <c r="C291" s="933"/>
      <c r="D291" s="933"/>
      <c r="E291" s="933"/>
      <c r="F291" s="933"/>
      <c r="G291" s="933"/>
      <c r="H291" s="933"/>
      <c r="I291" s="933"/>
      <c r="J291" s="933"/>
      <c r="K291" s="933"/>
      <c r="L291" s="933"/>
      <c r="M291" s="933"/>
      <c r="N291" s="933"/>
      <c r="O291" s="933"/>
      <c r="P291" s="933"/>
      <c r="Q291" s="933"/>
      <c r="R291" s="933"/>
      <c r="S291" s="933"/>
      <c r="T291" s="933"/>
      <c r="V291" s="933"/>
      <c r="W291" s="933"/>
      <c r="X291" s="945"/>
      <c r="Y291" s="933"/>
      <c r="Z291" s="933"/>
      <c r="AA291" s="933"/>
      <c r="AB291" s="933"/>
      <c r="AC291" s="933"/>
      <c r="AD291" s="933"/>
      <c r="AE291" s="933"/>
      <c r="AF291" s="933"/>
      <c r="AG291" s="933"/>
    </row>
    <row r="292" spans="1:33" ht="12.75">
      <c r="A292" s="933"/>
      <c r="B292" s="933"/>
      <c r="C292" s="933"/>
      <c r="D292" s="933"/>
      <c r="E292" s="933"/>
      <c r="F292" s="933"/>
      <c r="G292" s="933"/>
      <c r="H292" s="933"/>
      <c r="I292" s="933"/>
      <c r="J292" s="933"/>
      <c r="K292" s="933"/>
      <c r="L292" s="933"/>
      <c r="M292" s="933"/>
      <c r="N292" s="933"/>
      <c r="O292" s="933"/>
      <c r="P292" s="933"/>
      <c r="Q292" s="933"/>
      <c r="R292" s="933"/>
      <c r="S292" s="933"/>
      <c r="T292" s="933"/>
      <c r="V292" s="933"/>
      <c r="W292" s="933"/>
      <c r="X292" s="945"/>
      <c r="Y292" s="933"/>
      <c r="Z292" s="933"/>
      <c r="AA292" s="933"/>
      <c r="AB292" s="933"/>
      <c r="AC292" s="933"/>
      <c r="AD292" s="933"/>
      <c r="AE292" s="933"/>
      <c r="AF292" s="933"/>
      <c r="AG292" s="933"/>
    </row>
    <row r="293" spans="1:33" ht="12.75">
      <c r="A293" s="933"/>
      <c r="B293" s="933"/>
      <c r="C293" s="933"/>
      <c r="D293" s="933"/>
      <c r="E293" s="933"/>
      <c r="F293" s="933"/>
      <c r="G293" s="933"/>
      <c r="H293" s="933"/>
      <c r="I293" s="933"/>
      <c r="J293" s="933"/>
      <c r="K293" s="933"/>
      <c r="L293" s="933"/>
      <c r="M293" s="933"/>
      <c r="N293" s="933"/>
      <c r="O293" s="933"/>
      <c r="P293" s="933"/>
      <c r="Q293" s="933"/>
      <c r="R293" s="933"/>
      <c r="S293" s="933"/>
      <c r="T293" s="933"/>
      <c r="V293" s="933"/>
      <c r="W293" s="933"/>
      <c r="X293" s="945"/>
      <c r="Y293" s="933"/>
      <c r="Z293" s="933"/>
      <c r="AA293" s="933"/>
      <c r="AB293" s="933"/>
      <c r="AC293" s="933"/>
      <c r="AD293" s="933"/>
      <c r="AE293" s="933"/>
      <c r="AF293" s="933"/>
      <c r="AG293" s="933"/>
    </row>
    <row r="294" spans="1:33" ht="12.75">
      <c r="A294" s="933"/>
      <c r="B294" s="933"/>
      <c r="C294" s="933"/>
      <c r="D294" s="933"/>
      <c r="E294" s="933"/>
      <c r="F294" s="933"/>
      <c r="G294" s="933"/>
      <c r="H294" s="933"/>
      <c r="I294" s="933"/>
      <c r="J294" s="933"/>
      <c r="K294" s="933"/>
      <c r="L294" s="933"/>
      <c r="M294" s="933"/>
      <c r="N294" s="933"/>
      <c r="O294" s="933"/>
      <c r="P294" s="933"/>
      <c r="Q294" s="933"/>
      <c r="R294" s="933"/>
      <c r="S294" s="933"/>
      <c r="T294" s="933"/>
      <c r="V294" s="933"/>
      <c r="W294" s="933"/>
      <c r="X294" s="945"/>
      <c r="Y294" s="933"/>
      <c r="Z294" s="933"/>
      <c r="AA294" s="933"/>
      <c r="AB294" s="933"/>
      <c r="AC294" s="933"/>
      <c r="AD294" s="933"/>
      <c r="AE294" s="933"/>
      <c r="AF294" s="933"/>
      <c r="AG294" s="933"/>
    </row>
    <row r="295" spans="1:33" ht="12.75">
      <c r="A295" s="933"/>
      <c r="B295" s="933"/>
      <c r="C295" s="933"/>
      <c r="D295" s="933"/>
      <c r="E295" s="933"/>
      <c r="F295" s="933"/>
      <c r="G295" s="933"/>
      <c r="H295" s="933"/>
      <c r="I295" s="933"/>
      <c r="J295" s="933"/>
      <c r="K295" s="933"/>
      <c r="L295" s="933"/>
      <c r="M295" s="933"/>
      <c r="N295" s="933"/>
      <c r="O295" s="933"/>
      <c r="P295" s="933"/>
      <c r="Q295" s="933"/>
      <c r="R295" s="933"/>
      <c r="S295" s="933"/>
      <c r="T295" s="933"/>
      <c r="V295" s="933"/>
      <c r="W295" s="933"/>
      <c r="X295" s="945"/>
      <c r="Y295" s="933"/>
      <c r="Z295" s="933"/>
      <c r="AA295" s="933"/>
      <c r="AB295" s="933"/>
      <c r="AC295" s="933"/>
      <c r="AD295" s="933"/>
      <c r="AE295" s="933"/>
      <c r="AF295" s="933"/>
      <c r="AG295" s="933"/>
    </row>
    <row r="296" spans="1:33" ht="12.75">
      <c r="A296" s="933"/>
      <c r="B296" s="933"/>
      <c r="C296" s="933"/>
      <c r="D296" s="933"/>
      <c r="E296" s="933"/>
      <c r="F296" s="933"/>
      <c r="G296" s="933"/>
      <c r="H296" s="933"/>
      <c r="I296" s="933"/>
      <c r="J296" s="933"/>
      <c r="K296" s="933"/>
      <c r="L296" s="933"/>
      <c r="M296" s="933"/>
      <c r="N296" s="933"/>
      <c r="O296" s="933"/>
      <c r="P296" s="933"/>
      <c r="Q296" s="933"/>
      <c r="R296" s="933"/>
      <c r="S296" s="933"/>
      <c r="T296" s="933"/>
      <c r="V296" s="933"/>
      <c r="W296" s="933"/>
      <c r="X296" s="945"/>
      <c r="Y296" s="933"/>
      <c r="Z296" s="933"/>
      <c r="AA296" s="933"/>
      <c r="AB296" s="933"/>
      <c r="AC296" s="933"/>
      <c r="AD296" s="933"/>
      <c r="AE296" s="933"/>
      <c r="AF296" s="933"/>
      <c r="AG296" s="933"/>
    </row>
    <row r="297" spans="1:33" ht="12.75">
      <c r="A297" s="933"/>
      <c r="B297" s="933"/>
      <c r="C297" s="933"/>
      <c r="D297" s="933"/>
      <c r="E297" s="933"/>
      <c r="F297" s="933"/>
      <c r="G297" s="933"/>
      <c r="H297" s="933"/>
      <c r="I297" s="933"/>
      <c r="J297" s="933"/>
      <c r="K297" s="933"/>
      <c r="L297" s="933"/>
      <c r="M297" s="933"/>
      <c r="N297" s="933"/>
      <c r="O297" s="933"/>
      <c r="P297" s="933"/>
      <c r="Q297" s="933"/>
      <c r="R297" s="933"/>
      <c r="S297" s="933"/>
      <c r="T297" s="933"/>
      <c r="V297" s="933"/>
      <c r="W297" s="933"/>
      <c r="X297" s="945"/>
      <c r="Y297" s="933"/>
      <c r="Z297" s="933"/>
      <c r="AA297" s="933"/>
      <c r="AB297" s="933"/>
      <c r="AC297" s="933"/>
      <c r="AD297" s="933"/>
      <c r="AE297" s="933"/>
      <c r="AF297" s="933"/>
      <c r="AG297" s="933"/>
    </row>
    <row r="298" spans="1:33" ht="12.75">
      <c r="A298" s="933"/>
      <c r="B298" s="933"/>
      <c r="C298" s="933"/>
      <c r="D298" s="933"/>
      <c r="E298" s="933"/>
      <c r="F298" s="933"/>
      <c r="G298" s="933"/>
      <c r="H298" s="933"/>
      <c r="I298" s="933"/>
      <c r="J298" s="933"/>
      <c r="K298" s="933"/>
      <c r="L298" s="933"/>
      <c r="M298" s="933"/>
      <c r="N298" s="933"/>
      <c r="O298" s="933"/>
      <c r="P298" s="933"/>
      <c r="Q298" s="933"/>
      <c r="R298" s="933"/>
      <c r="S298" s="933"/>
      <c r="T298" s="933"/>
      <c r="V298" s="933"/>
      <c r="W298" s="933"/>
      <c r="X298" s="945"/>
      <c r="Y298" s="933"/>
      <c r="Z298" s="933"/>
      <c r="AA298" s="933"/>
      <c r="AB298" s="933"/>
      <c r="AC298" s="933"/>
      <c r="AD298" s="933"/>
      <c r="AE298" s="933"/>
      <c r="AF298" s="933"/>
      <c r="AG298" s="933"/>
    </row>
    <row r="299" spans="1:33" ht="12.75">
      <c r="A299" s="933"/>
      <c r="B299" s="933"/>
      <c r="C299" s="933"/>
      <c r="D299" s="933"/>
      <c r="E299" s="933"/>
      <c r="F299" s="933"/>
      <c r="G299" s="933"/>
      <c r="H299" s="933"/>
      <c r="I299" s="933"/>
      <c r="J299" s="933"/>
      <c r="K299" s="933"/>
      <c r="L299" s="933"/>
      <c r="M299" s="933"/>
      <c r="N299" s="933"/>
      <c r="O299" s="933"/>
      <c r="P299" s="933"/>
      <c r="Q299" s="933"/>
      <c r="R299" s="933"/>
      <c r="S299" s="933"/>
      <c r="T299" s="933"/>
      <c r="V299" s="933"/>
      <c r="W299" s="933"/>
      <c r="X299" s="945"/>
      <c r="Y299" s="933"/>
      <c r="Z299" s="933"/>
      <c r="AA299" s="933"/>
      <c r="AB299" s="933"/>
      <c r="AC299" s="933"/>
      <c r="AD299" s="933"/>
      <c r="AE299" s="933"/>
      <c r="AF299" s="933"/>
      <c r="AG299" s="933"/>
    </row>
    <row r="300" spans="1:33" ht="12.75">
      <c r="A300" s="933"/>
      <c r="B300" s="933"/>
      <c r="C300" s="933"/>
      <c r="D300" s="933"/>
      <c r="E300" s="933"/>
      <c r="F300" s="933"/>
      <c r="G300" s="933"/>
      <c r="H300" s="933"/>
      <c r="I300" s="933"/>
      <c r="J300" s="933"/>
      <c r="K300" s="933"/>
      <c r="L300" s="933"/>
      <c r="M300" s="933"/>
      <c r="N300" s="933"/>
      <c r="O300" s="933"/>
      <c r="P300" s="933"/>
      <c r="Q300" s="933"/>
      <c r="R300" s="933"/>
      <c r="S300" s="933"/>
      <c r="T300" s="933"/>
      <c r="V300" s="933"/>
      <c r="W300" s="933"/>
      <c r="X300" s="945"/>
      <c r="Y300" s="933"/>
      <c r="Z300" s="933"/>
      <c r="AA300" s="933"/>
      <c r="AB300" s="933"/>
      <c r="AC300" s="933"/>
      <c r="AD300" s="933"/>
      <c r="AE300" s="933"/>
      <c r="AF300" s="933"/>
      <c r="AG300" s="933"/>
    </row>
    <row r="301" spans="1:33" ht="12.75">
      <c r="A301" s="933"/>
      <c r="B301" s="933"/>
      <c r="C301" s="933"/>
      <c r="D301" s="933"/>
      <c r="E301" s="933"/>
      <c r="F301" s="933"/>
      <c r="G301" s="933"/>
      <c r="H301" s="933"/>
      <c r="I301" s="933"/>
      <c r="J301" s="933"/>
      <c r="K301" s="933"/>
      <c r="L301" s="933"/>
      <c r="M301" s="933"/>
      <c r="N301" s="933"/>
      <c r="O301" s="933"/>
      <c r="P301" s="933"/>
      <c r="Q301" s="933"/>
      <c r="R301" s="933"/>
      <c r="S301" s="933"/>
      <c r="T301" s="933"/>
      <c r="V301" s="933"/>
      <c r="W301" s="933"/>
      <c r="X301" s="945"/>
      <c r="Y301" s="933"/>
      <c r="Z301" s="933"/>
      <c r="AA301" s="933"/>
      <c r="AB301" s="933"/>
      <c r="AC301" s="933"/>
      <c r="AD301" s="933"/>
      <c r="AE301" s="933"/>
      <c r="AF301" s="933"/>
      <c r="AG301" s="933"/>
    </row>
    <row r="302" spans="1:33" ht="12.75">
      <c r="A302" s="933"/>
      <c r="B302" s="933"/>
      <c r="C302" s="933"/>
      <c r="D302" s="933"/>
      <c r="E302" s="933"/>
      <c r="F302" s="933"/>
      <c r="G302" s="933"/>
      <c r="H302" s="933"/>
      <c r="I302" s="933"/>
      <c r="J302" s="933"/>
      <c r="K302" s="933"/>
      <c r="L302" s="933"/>
      <c r="M302" s="933"/>
      <c r="N302" s="933"/>
      <c r="O302" s="933"/>
      <c r="P302" s="933"/>
      <c r="Q302" s="933"/>
      <c r="R302" s="933"/>
      <c r="S302" s="933"/>
      <c r="T302" s="933"/>
      <c r="V302" s="933"/>
      <c r="W302" s="933"/>
      <c r="X302" s="945"/>
      <c r="Y302" s="933"/>
      <c r="Z302" s="933"/>
      <c r="AA302" s="933"/>
      <c r="AB302" s="933"/>
      <c r="AC302" s="933"/>
      <c r="AD302" s="933"/>
      <c r="AE302" s="933"/>
      <c r="AF302" s="933"/>
      <c r="AG302" s="933"/>
    </row>
    <row r="303" spans="1:33" ht="12.75">
      <c r="A303" s="933"/>
      <c r="B303" s="933"/>
      <c r="C303" s="933"/>
      <c r="D303" s="933"/>
      <c r="E303" s="933"/>
      <c r="F303" s="933"/>
      <c r="G303" s="933"/>
      <c r="H303" s="933"/>
      <c r="I303" s="933"/>
      <c r="J303" s="933"/>
      <c r="K303" s="933"/>
      <c r="L303" s="933"/>
      <c r="M303" s="933"/>
      <c r="N303" s="933"/>
      <c r="O303" s="933"/>
      <c r="P303" s="933"/>
      <c r="Q303" s="933"/>
      <c r="R303" s="933"/>
      <c r="S303" s="933"/>
      <c r="T303" s="933"/>
      <c r="V303" s="933"/>
      <c r="W303" s="933"/>
      <c r="X303" s="945"/>
      <c r="Y303" s="933"/>
      <c r="Z303" s="933"/>
      <c r="AA303" s="933"/>
      <c r="AB303" s="933"/>
      <c r="AC303" s="933"/>
      <c r="AD303" s="933"/>
      <c r="AE303" s="933"/>
      <c r="AF303" s="933"/>
      <c r="AG303" s="933"/>
    </row>
    <row r="304" spans="1:33" ht="12.75">
      <c r="A304" s="933"/>
      <c r="B304" s="933"/>
      <c r="C304" s="933"/>
      <c r="D304" s="933"/>
      <c r="E304" s="933"/>
      <c r="F304" s="933"/>
      <c r="G304" s="933"/>
      <c r="H304" s="933"/>
      <c r="I304" s="933"/>
      <c r="J304" s="933"/>
      <c r="K304" s="933"/>
      <c r="L304" s="933"/>
      <c r="M304" s="933"/>
      <c r="N304" s="933"/>
      <c r="O304" s="933"/>
      <c r="P304" s="933"/>
      <c r="Q304" s="933"/>
      <c r="R304" s="933"/>
      <c r="S304" s="933"/>
      <c r="T304" s="933"/>
      <c r="V304" s="933"/>
      <c r="W304" s="933"/>
      <c r="X304" s="945"/>
      <c r="Y304" s="933"/>
      <c r="Z304" s="933"/>
      <c r="AA304" s="933"/>
      <c r="AB304" s="933"/>
      <c r="AC304" s="933"/>
      <c r="AD304" s="933"/>
      <c r="AE304" s="933"/>
      <c r="AF304" s="933"/>
      <c r="AG304" s="933"/>
    </row>
    <row r="305" spans="1:33" ht="12.75">
      <c r="A305" s="933"/>
      <c r="B305" s="933"/>
      <c r="C305" s="933"/>
      <c r="D305" s="933"/>
      <c r="E305" s="933"/>
      <c r="F305" s="933"/>
      <c r="G305" s="933"/>
      <c r="H305" s="933"/>
      <c r="I305" s="933"/>
      <c r="J305" s="933"/>
      <c r="K305" s="933"/>
      <c r="L305" s="933"/>
      <c r="M305" s="933"/>
      <c r="N305" s="933"/>
      <c r="O305" s="933"/>
      <c r="P305" s="933"/>
      <c r="Q305" s="933"/>
      <c r="R305" s="933"/>
      <c r="S305" s="933"/>
      <c r="T305" s="933"/>
      <c r="V305" s="933"/>
      <c r="W305" s="933"/>
      <c r="X305" s="945"/>
      <c r="Y305" s="933"/>
      <c r="Z305" s="933"/>
      <c r="AA305" s="933"/>
      <c r="AB305" s="933"/>
      <c r="AC305" s="933"/>
      <c r="AD305" s="933"/>
      <c r="AE305" s="933"/>
      <c r="AF305" s="933"/>
      <c r="AG305" s="933"/>
    </row>
    <row r="306" spans="1:33" ht="12.75">
      <c r="A306" s="933"/>
      <c r="B306" s="933"/>
      <c r="C306" s="933"/>
      <c r="D306" s="933"/>
      <c r="E306" s="933"/>
      <c r="F306" s="933"/>
      <c r="G306" s="933"/>
      <c r="H306" s="933"/>
      <c r="I306" s="933"/>
      <c r="J306" s="933"/>
      <c r="K306" s="933"/>
      <c r="L306" s="933"/>
      <c r="M306" s="933"/>
      <c r="N306" s="933"/>
      <c r="O306" s="933"/>
      <c r="P306" s="933"/>
      <c r="Q306" s="933"/>
      <c r="R306" s="933"/>
      <c r="S306" s="933"/>
      <c r="T306" s="933"/>
      <c r="V306" s="933"/>
      <c r="W306" s="933"/>
      <c r="X306" s="945"/>
      <c r="Y306" s="933"/>
      <c r="Z306" s="933"/>
      <c r="AA306" s="933"/>
      <c r="AB306" s="933"/>
      <c r="AC306" s="933"/>
      <c r="AD306" s="933"/>
      <c r="AE306" s="933"/>
      <c r="AF306" s="933"/>
      <c r="AG306" s="933"/>
    </row>
    <row r="307" spans="1:33" ht="12.75">
      <c r="A307" s="933"/>
      <c r="B307" s="933"/>
      <c r="C307" s="933"/>
      <c r="D307" s="933"/>
      <c r="E307" s="933"/>
      <c r="F307" s="933"/>
      <c r="G307" s="933"/>
      <c r="H307" s="933"/>
      <c r="I307" s="933"/>
      <c r="J307" s="933"/>
      <c r="K307" s="933"/>
      <c r="L307" s="933"/>
      <c r="M307" s="933"/>
      <c r="N307" s="933"/>
      <c r="O307" s="933"/>
      <c r="P307" s="933"/>
      <c r="Q307" s="933"/>
      <c r="R307" s="933"/>
      <c r="S307" s="933"/>
      <c r="T307" s="933"/>
      <c r="V307" s="933"/>
      <c r="W307" s="933"/>
      <c r="X307" s="945"/>
      <c r="Y307" s="933"/>
      <c r="Z307" s="933"/>
      <c r="AA307" s="933"/>
      <c r="AB307" s="933"/>
      <c r="AC307" s="933"/>
      <c r="AD307" s="933"/>
      <c r="AE307" s="933"/>
      <c r="AF307" s="933"/>
      <c r="AG307" s="933"/>
    </row>
    <row r="308" spans="1:33" ht="12.75">
      <c r="A308" s="933"/>
      <c r="B308" s="933"/>
      <c r="C308" s="933"/>
      <c r="D308" s="933"/>
      <c r="E308" s="933"/>
      <c r="F308" s="933"/>
      <c r="G308" s="933"/>
      <c r="H308" s="933"/>
      <c r="I308" s="933"/>
      <c r="J308" s="933"/>
      <c r="K308" s="933"/>
      <c r="L308" s="933"/>
      <c r="M308" s="933"/>
      <c r="N308" s="933"/>
      <c r="O308" s="933"/>
      <c r="P308" s="933"/>
      <c r="Q308" s="933"/>
      <c r="R308" s="933"/>
      <c r="S308" s="933"/>
      <c r="T308" s="933"/>
      <c r="V308" s="933"/>
      <c r="W308" s="933"/>
      <c r="X308" s="945"/>
      <c r="Y308" s="933"/>
      <c r="Z308" s="933"/>
      <c r="AA308" s="933"/>
      <c r="AB308" s="933"/>
      <c r="AC308" s="933"/>
      <c r="AD308" s="933"/>
      <c r="AE308" s="933"/>
      <c r="AF308" s="933"/>
      <c r="AG308" s="933"/>
    </row>
    <row r="309" spans="1:33" ht="12.75">
      <c r="A309" s="933"/>
      <c r="B309" s="933"/>
      <c r="C309" s="933"/>
      <c r="D309" s="933"/>
      <c r="E309" s="933"/>
      <c r="F309" s="933"/>
      <c r="G309" s="933"/>
      <c r="H309" s="933"/>
      <c r="I309" s="933"/>
      <c r="J309" s="933"/>
      <c r="K309" s="933"/>
      <c r="L309" s="933"/>
      <c r="M309" s="933"/>
      <c r="N309" s="933"/>
      <c r="O309" s="933"/>
      <c r="P309" s="933"/>
      <c r="Q309" s="933"/>
      <c r="R309" s="933"/>
      <c r="S309" s="933"/>
      <c r="T309" s="933"/>
      <c r="V309" s="933"/>
      <c r="W309" s="933"/>
      <c r="X309" s="945"/>
      <c r="Y309" s="933"/>
      <c r="Z309" s="933"/>
      <c r="AA309" s="933"/>
      <c r="AB309" s="933"/>
      <c r="AC309" s="933"/>
      <c r="AD309" s="933"/>
      <c r="AE309" s="933"/>
      <c r="AF309" s="933"/>
      <c r="AG309" s="933"/>
    </row>
    <row r="310" spans="1:33" ht="12.75">
      <c r="A310" s="933"/>
      <c r="B310" s="933"/>
      <c r="C310" s="933"/>
      <c r="D310" s="933"/>
      <c r="E310" s="933"/>
      <c r="F310" s="933"/>
      <c r="G310" s="933"/>
      <c r="H310" s="933"/>
      <c r="I310" s="933"/>
      <c r="J310" s="933"/>
      <c r="K310" s="933"/>
      <c r="L310" s="933"/>
      <c r="M310" s="933"/>
      <c r="N310" s="933"/>
      <c r="O310" s="933"/>
      <c r="P310" s="933"/>
      <c r="Q310" s="933"/>
      <c r="R310" s="933"/>
      <c r="S310" s="933"/>
      <c r="T310" s="933"/>
      <c r="V310" s="933"/>
      <c r="W310" s="933"/>
      <c r="X310" s="945"/>
      <c r="Y310" s="933"/>
      <c r="Z310" s="933"/>
      <c r="AA310" s="933"/>
      <c r="AB310" s="933"/>
      <c r="AC310" s="933"/>
      <c r="AD310" s="933"/>
      <c r="AE310" s="933"/>
      <c r="AF310" s="933"/>
      <c r="AG310" s="933"/>
    </row>
    <row r="311" spans="1:33" ht="12.75">
      <c r="A311" s="933"/>
      <c r="B311" s="933"/>
      <c r="C311" s="933"/>
      <c r="D311" s="933"/>
      <c r="E311" s="933"/>
      <c r="F311" s="933"/>
      <c r="G311" s="933"/>
      <c r="H311" s="933"/>
      <c r="I311" s="933"/>
      <c r="J311" s="933"/>
      <c r="K311" s="933"/>
      <c r="L311" s="933"/>
      <c r="M311" s="933"/>
      <c r="N311" s="933"/>
      <c r="O311" s="933"/>
      <c r="P311" s="933"/>
      <c r="Q311" s="933"/>
      <c r="R311" s="933"/>
      <c r="S311" s="933"/>
      <c r="T311" s="933"/>
      <c r="V311" s="933"/>
      <c r="W311" s="933"/>
      <c r="X311" s="945"/>
      <c r="Y311" s="933"/>
      <c r="Z311" s="933"/>
      <c r="AA311" s="933"/>
      <c r="AB311" s="933"/>
      <c r="AC311" s="933"/>
      <c r="AD311" s="933"/>
      <c r="AE311" s="933"/>
      <c r="AF311" s="933"/>
      <c r="AG311" s="933"/>
    </row>
    <row r="312" spans="1:33" ht="12.75">
      <c r="A312" s="933"/>
      <c r="B312" s="933"/>
      <c r="C312" s="933"/>
      <c r="D312" s="933"/>
      <c r="E312" s="933"/>
      <c r="F312" s="933"/>
      <c r="G312" s="933"/>
      <c r="H312" s="933"/>
      <c r="I312" s="933"/>
      <c r="J312" s="933"/>
      <c r="K312" s="933"/>
      <c r="L312" s="933"/>
      <c r="M312" s="933"/>
      <c r="N312" s="933"/>
      <c r="O312" s="933"/>
      <c r="P312" s="933"/>
      <c r="Q312" s="933"/>
      <c r="R312" s="933"/>
      <c r="S312" s="933"/>
      <c r="T312" s="933"/>
      <c r="V312" s="933"/>
      <c r="W312" s="933"/>
      <c r="X312" s="945"/>
      <c r="Y312" s="933"/>
      <c r="Z312" s="933"/>
      <c r="AA312" s="933"/>
      <c r="AB312" s="933"/>
      <c r="AC312" s="933"/>
      <c r="AD312" s="933"/>
      <c r="AE312" s="933"/>
      <c r="AF312" s="933"/>
      <c r="AG312" s="933"/>
    </row>
    <row r="313" spans="1:33" ht="12.75">
      <c r="A313" s="933"/>
      <c r="B313" s="933"/>
      <c r="C313" s="933"/>
      <c r="D313" s="933"/>
      <c r="E313" s="933"/>
      <c r="F313" s="933"/>
      <c r="G313" s="933"/>
      <c r="H313" s="933"/>
      <c r="I313" s="933"/>
      <c r="J313" s="933"/>
      <c r="K313" s="933"/>
      <c r="L313" s="933"/>
      <c r="M313" s="933"/>
      <c r="N313" s="933"/>
      <c r="O313" s="933"/>
      <c r="P313" s="933"/>
      <c r="Q313" s="933"/>
      <c r="R313" s="933"/>
      <c r="S313" s="933"/>
      <c r="T313" s="933"/>
      <c r="V313" s="933"/>
      <c r="W313" s="933"/>
      <c r="X313" s="945"/>
      <c r="Y313" s="933"/>
      <c r="Z313" s="933"/>
      <c r="AA313" s="933"/>
      <c r="AB313" s="933"/>
      <c r="AC313" s="933"/>
      <c r="AD313" s="933"/>
      <c r="AE313" s="933"/>
      <c r="AF313" s="933"/>
      <c r="AG313" s="933"/>
    </row>
    <row r="314" spans="1:33" ht="12.75">
      <c r="A314" s="933"/>
      <c r="B314" s="933"/>
      <c r="C314" s="933"/>
      <c r="D314" s="933"/>
      <c r="E314" s="933"/>
      <c r="F314" s="933"/>
      <c r="G314" s="933"/>
      <c r="H314" s="933"/>
      <c r="I314" s="933"/>
      <c r="J314" s="933"/>
      <c r="K314" s="933"/>
      <c r="L314" s="933"/>
      <c r="M314" s="933"/>
      <c r="N314" s="933"/>
      <c r="O314" s="933"/>
      <c r="P314" s="933"/>
      <c r="Q314" s="933"/>
      <c r="R314" s="933"/>
      <c r="S314" s="933"/>
      <c r="T314" s="933"/>
      <c r="V314" s="933"/>
      <c r="W314" s="933"/>
      <c r="X314" s="945"/>
      <c r="Y314" s="933"/>
      <c r="Z314" s="933"/>
      <c r="AA314" s="933"/>
      <c r="AB314" s="933"/>
      <c r="AC314" s="933"/>
      <c r="AD314" s="933"/>
      <c r="AE314" s="933"/>
      <c r="AF314" s="933"/>
      <c r="AG314" s="933"/>
    </row>
    <row r="315" spans="1:33" ht="12.75">
      <c r="A315" s="933"/>
      <c r="B315" s="933"/>
      <c r="C315" s="933"/>
      <c r="D315" s="933"/>
      <c r="E315" s="933"/>
      <c r="F315" s="933"/>
      <c r="G315" s="933"/>
      <c r="H315" s="933"/>
      <c r="I315" s="933"/>
      <c r="J315" s="933"/>
      <c r="K315" s="933"/>
      <c r="L315" s="933"/>
      <c r="M315" s="933"/>
      <c r="N315" s="933"/>
      <c r="O315" s="933"/>
      <c r="P315" s="933"/>
      <c r="Q315" s="933"/>
      <c r="R315" s="933"/>
      <c r="S315" s="933"/>
      <c r="T315" s="933"/>
      <c r="V315" s="933"/>
      <c r="W315" s="933"/>
      <c r="X315" s="945"/>
      <c r="Y315" s="933"/>
      <c r="Z315" s="933"/>
      <c r="AA315" s="933"/>
      <c r="AB315" s="933"/>
      <c r="AC315" s="933"/>
      <c r="AD315" s="933"/>
      <c r="AE315" s="933"/>
      <c r="AF315" s="933"/>
      <c r="AG315" s="933"/>
    </row>
    <row r="316" spans="1:33" ht="12.75">
      <c r="A316" s="933"/>
      <c r="B316" s="933"/>
      <c r="C316" s="933"/>
      <c r="D316" s="933"/>
      <c r="E316" s="933"/>
      <c r="F316" s="933"/>
      <c r="G316" s="933"/>
      <c r="H316" s="933"/>
      <c r="I316" s="933"/>
      <c r="J316" s="933"/>
      <c r="K316" s="933"/>
      <c r="L316" s="933"/>
      <c r="M316" s="933"/>
      <c r="N316" s="933"/>
      <c r="O316" s="933"/>
      <c r="P316" s="933"/>
      <c r="Q316" s="933"/>
      <c r="R316" s="933"/>
      <c r="S316" s="933"/>
      <c r="T316" s="933"/>
      <c r="V316" s="933"/>
      <c r="W316" s="933"/>
      <c r="X316" s="945"/>
      <c r="Y316" s="933"/>
      <c r="Z316" s="933"/>
      <c r="AA316" s="933"/>
      <c r="AB316" s="933"/>
      <c r="AC316" s="933"/>
      <c r="AD316" s="933"/>
      <c r="AE316" s="933"/>
      <c r="AF316" s="933"/>
      <c r="AG316" s="933"/>
    </row>
    <row r="317" spans="1:33" ht="12.75">
      <c r="A317" s="933"/>
      <c r="B317" s="933"/>
      <c r="C317" s="933"/>
      <c r="D317" s="933"/>
      <c r="E317" s="933"/>
      <c r="F317" s="933"/>
      <c r="G317" s="933"/>
      <c r="H317" s="933"/>
      <c r="I317" s="933"/>
      <c r="J317" s="933"/>
      <c r="K317" s="933"/>
      <c r="L317" s="933"/>
      <c r="M317" s="933"/>
      <c r="N317" s="933"/>
      <c r="O317" s="933"/>
      <c r="P317" s="933"/>
      <c r="Q317" s="933"/>
      <c r="R317" s="933"/>
      <c r="S317" s="933"/>
      <c r="T317" s="933"/>
      <c r="V317" s="933"/>
      <c r="W317" s="933"/>
      <c r="X317" s="945"/>
      <c r="Y317" s="933"/>
      <c r="Z317" s="933"/>
      <c r="AA317" s="933"/>
      <c r="AB317" s="933"/>
      <c r="AC317" s="933"/>
      <c r="AD317" s="933"/>
      <c r="AE317" s="933"/>
      <c r="AF317" s="933"/>
      <c r="AG317" s="933"/>
    </row>
    <row r="318" spans="1:33" ht="12.75">
      <c r="A318" s="933"/>
      <c r="B318" s="933"/>
      <c r="C318" s="933"/>
      <c r="D318" s="933"/>
      <c r="E318" s="933"/>
      <c r="F318" s="933"/>
      <c r="G318" s="933"/>
      <c r="H318" s="933"/>
      <c r="I318" s="933"/>
      <c r="J318" s="933"/>
      <c r="K318" s="933"/>
      <c r="L318" s="933"/>
      <c r="M318" s="933"/>
      <c r="N318" s="933"/>
      <c r="O318" s="933"/>
      <c r="P318" s="933"/>
      <c r="Q318" s="933"/>
      <c r="R318" s="933"/>
      <c r="S318" s="933"/>
      <c r="T318" s="933"/>
      <c r="V318" s="933"/>
      <c r="W318" s="933"/>
      <c r="X318" s="945"/>
      <c r="Y318" s="933"/>
      <c r="Z318" s="933"/>
      <c r="AA318" s="933"/>
      <c r="AB318" s="933"/>
      <c r="AC318" s="933"/>
      <c r="AD318" s="933"/>
      <c r="AE318" s="933"/>
      <c r="AF318" s="933"/>
      <c r="AG318" s="933"/>
    </row>
    <row r="319" spans="1:33" ht="12.75">
      <c r="A319" s="933"/>
      <c r="B319" s="933"/>
      <c r="C319" s="933"/>
      <c r="D319" s="933"/>
      <c r="E319" s="933"/>
      <c r="F319" s="933"/>
      <c r="G319" s="933"/>
      <c r="H319" s="933"/>
      <c r="I319" s="933"/>
      <c r="J319" s="933"/>
      <c r="K319" s="933"/>
      <c r="L319" s="933"/>
      <c r="M319" s="933"/>
      <c r="N319" s="933"/>
      <c r="O319" s="933"/>
      <c r="P319" s="933"/>
      <c r="Q319" s="933"/>
      <c r="R319" s="933"/>
      <c r="S319" s="933"/>
      <c r="T319" s="933"/>
      <c r="V319" s="933"/>
      <c r="W319" s="933"/>
      <c r="X319" s="945"/>
      <c r="Y319" s="933"/>
      <c r="Z319" s="933"/>
      <c r="AA319" s="933"/>
      <c r="AB319" s="933"/>
      <c r="AC319" s="933"/>
      <c r="AD319" s="933"/>
      <c r="AE319" s="933"/>
      <c r="AF319" s="933"/>
      <c r="AG319" s="933"/>
    </row>
    <row r="320" spans="1:33" ht="12.75">
      <c r="A320" s="933"/>
      <c r="B320" s="933"/>
      <c r="C320" s="933"/>
      <c r="D320" s="933"/>
      <c r="E320" s="933"/>
      <c r="F320" s="933"/>
      <c r="G320" s="933"/>
      <c r="H320" s="933"/>
      <c r="I320" s="933"/>
      <c r="J320" s="933"/>
      <c r="K320" s="933"/>
      <c r="L320" s="933"/>
      <c r="M320" s="933"/>
      <c r="N320" s="933"/>
      <c r="O320" s="933"/>
      <c r="P320" s="933"/>
      <c r="Q320" s="933"/>
      <c r="R320" s="933"/>
      <c r="S320" s="933"/>
      <c r="T320" s="933"/>
      <c r="V320" s="933"/>
      <c r="W320" s="933"/>
      <c r="X320" s="945"/>
      <c r="Y320" s="933"/>
      <c r="Z320" s="933"/>
      <c r="AA320" s="933"/>
      <c r="AB320" s="933"/>
      <c r="AC320" s="933"/>
      <c r="AD320" s="933"/>
      <c r="AE320" s="933"/>
      <c r="AF320" s="933"/>
      <c r="AG320" s="933"/>
    </row>
    <row r="321" spans="1:33" ht="12.75">
      <c r="A321" s="933"/>
      <c r="B321" s="933"/>
      <c r="C321" s="933"/>
      <c r="D321" s="933"/>
      <c r="E321" s="933"/>
      <c r="F321" s="933"/>
      <c r="G321" s="933"/>
      <c r="H321" s="933"/>
      <c r="I321" s="933"/>
      <c r="J321" s="933"/>
      <c r="K321" s="933"/>
      <c r="L321" s="933"/>
      <c r="M321" s="933"/>
      <c r="N321" s="933"/>
      <c r="O321" s="933"/>
      <c r="P321" s="933"/>
      <c r="Q321" s="933"/>
      <c r="R321" s="933"/>
      <c r="S321" s="933"/>
      <c r="T321" s="933"/>
      <c r="V321" s="933"/>
      <c r="W321" s="933"/>
      <c r="X321" s="945"/>
      <c r="Y321" s="933"/>
      <c r="Z321" s="933"/>
      <c r="AA321" s="933"/>
      <c r="AB321" s="933"/>
      <c r="AC321" s="933"/>
      <c r="AD321" s="933"/>
      <c r="AE321" s="933"/>
      <c r="AF321" s="933"/>
      <c r="AG321" s="933"/>
    </row>
    <row r="322" spans="1:33" ht="12.75">
      <c r="A322" s="933"/>
      <c r="B322" s="933"/>
      <c r="C322" s="933"/>
      <c r="D322" s="933"/>
      <c r="E322" s="933"/>
      <c r="F322" s="933"/>
      <c r="G322" s="933"/>
      <c r="H322" s="933"/>
      <c r="I322" s="933"/>
      <c r="J322" s="933"/>
      <c r="K322" s="933"/>
      <c r="L322" s="933"/>
      <c r="M322" s="933"/>
      <c r="N322" s="933"/>
      <c r="O322" s="933"/>
      <c r="P322" s="933"/>
      <c r="Q322" s="933"/>
      <c r="R322" s="933"/>
      <c r="S322" s="933"/>
      <c r="T322" s="933"/>
      <c r="V322" s="933"/>
      <c r="W322" s="933"/>
      <c r="X322" s="945"/>
      <c r="Y322" s="933"/>
      <c r="Z322" s="933"/>
      <c r="AA322" s="933"/>
      <c r="AB322" s="933"/>
      <c r="AC322" s="933"/>
      <c r="AD322" s="933"/>
      <c r="AE322" s="933"/>
      <c r="AF322" s="933"/>
      <c r="AG322" s="933"/>
    </row>
    <row r="323" spans="1:33" ht="12.75">
      <c r="A323" s="933"/>
      <c r="B323" s="933"/>
      <c r="C323" s="933"/>
      <c r="D323" s="933"/>
      <c r="E323" s="933"/>
      <c r="F323" s="933"/>
      <c r="G323" s="933"/>
      <c r="H323" s="933"/>
      <c r="I323" s="933"/>
      <c r="J323" s="933"/>
      <c r="K323" s="933"/>
      <c r="L323" s="933"/>
      <c r="M323" s="933"/>
      <c r="N323" s="933"/>
      <c r="O323" s="933"/>
      <c r="P323" s="933"/>
      <c r="Q323" s="933"/>
      <c r="R323" s="933"/>
      <c r="S323" s="933"/>
      <c r="T323" s="933"/>
      <c r="V323" s="933"/>
      <c r="W323" s="933"/>
      <c r="X323" s="945"/>
      <c r="Y323" s="933"/>
      <c r="Z323" s="933"/>
      <c r="AA323" s="933"/>
      <c r="AB323" s="933"/>
      <c r="AC323" s="933"/>
      <c r="AD323" s="933"/>
      <c r="AE323" s="933"/>
      <c r="AF323" s="933"/>
      <c r="AG323" s="933"/>
    </row>
    <row r="324" spans="1:33" ht="12.75">
      <c r="A324" s="933"/>
      <c r="B324" s="933"/>
      <c r="C324" s="933"/>
      <c r="D324" s="933"/>
      <c r="E324" s="933"/>
      <c r="F324" s="933"/>
      <c r="G324" s="933"/>
      <c r="H324" s="933"/>
      <c r="I324" s="933"/>
      <c r="J324" s="933"/>
      <c r="K324" s="933"/>
      <c r="L324" s="933"/>
      <c r="M324" s="933"/>
      <c r="N324" s="933"/>
      <c r="O324" s="933"/>
      <c r="P324" s="933"/>
      <c r="Q324" s="933"/>
      <c r="R324" s="933"/>
      <c r="S324" s="933"/>
      <c r="T324" s="933"/>
      <c r="V324" s="933"/>
      <c r="W324" s="933"/>
      <c r="X324" s="945"/>
      <c r="Y324" s="933"/>
      <c r="Z324" s="933"/>
      <c r="AA324" s="933"/>
      <c r="AB324" s="933"/>
      <c r="AC324" s="933"/>
      <c r="AD324" s="933"/>
      <c r="AE324" s="933"/>
      <c r="AF324" s="933"/>
      <c r="AG324" s="933"/>
    </row>
    <row r="325" spans="1:33" ht="12.75">
      <c r="A325" s="933"/>
      <c r="B325" s="933"/>
      <c r="C325" s="933"/>
      <c r="D325" s="933"/>
      <c r="E325" s="933"/>
      <c r="F325" s="933"/>
      <c r="G325" s="933"/>
      <c r="H325" s="933"/>
      <c r="I325" s="933"/>
      <c r="J325" s="933"/>
      <c r="K325" s="933"/>
      <c r="L325" s="933"/>
      <c r="M325" s="933"/>
      <c r="N325" s="933"/>
      <c r="O325" s="933"/>
      <c r="P325" s="933"/>
      <c r="Q325" s="933"/>
      <c r="R325" s="933"/>
      <c r="S325" s="933"/>
      <c r="T325" s="933"/>
      <c r="V325" s="933"/>
      <c r="W325" s="933"/>
      <c r="X325" s="945"/>
      <c r="Y325" s="933"/>
      <c r="Z325" s="933"/>
      <c r="AA325" s="933"/>
      <c r="AB325" s="933"/>
      <c r="AC325" s="933"/>
      <c r="AD325" s="933"/>
      <c r="AE325" s="933"/>
      <c r="AF325" s="933"/>
      <c r="AG325" s="933"/>
    </row>
    <row r="326" spans="1:33" ht="12.75">
      <c r="A326" s="933"/>
      <c r="B326" s="933"/>
      <c r="C326" s="933"/>
      <c r="D326" s="933"/>
      <c r="E326" s="933"/>
      <c r="F326" s="933"/>
      <c r="G326" s="933"/>
      <c r="H326" s="933"/>
      <c r="I326" s="933"/>
      <c r="J326" s="933"/>
      <c r="K326" s="933"/>
      <c r="L326" s="933"/>
      <c r="M326" s="933"/>
      <c r="N326" s="933"/>
      <c r="O326" s="933"/>
      <c r="P326" s="933"/>
      <c r="Q326" s="933"/>
      <c r="R326" s="933"/>
      <c r="S326" s="933"/>
      <c r="T326" s="933"/>
      <c r="V326" s="933"/>
      <c r="W326" s="933"/>
      <c r="X326" s="945"/>
      <c r="Y326" s="933"/>
      <c r="Z326" s="933"/>
      <c r="AA326" s="933"/>
      <c r="AB326" s="933"/>
      <c r="AC326" s="933"/>
      <c r="AD326" s="933"/>
      <c r="AE326" s="933"/>
      <c r="AF326" s="933"/>
      <c r="AG326" s="933"/>
    </row>
    <row r="327" spans="1:33" ht="12.75">
      <c r="A327" s="933"/>
      <c r="B327" s="933"/>
      <c r="C327" s="933"/>
      <c r="D327" s="933"/>
      <c r="E327" s="933"/>
      <c r="F327" s="933"/>
      <c r="G327" s="933"/>
      <c r="H327" s="933"/>
      <c r="I327" s="933"/>
      <c r="J327" s="933"/>
      <c r="K327" s="933"/>
      <c r="L327" s="933"/>
      <c r="M327" s="933"/>
      <c r="N327" s="933"/>
      <c r="O327" s="933"/>
      <c r="P327" s="933"/>
      <c r="Q327" s="933"/>
      <c r="R327" s="933"/>
      <c r="S327" s="933"/>
      <c r="T327" s="933"/>
      <c r="V327" s="933"/>
      <c r="W327" s="933"/>
      <c r="X327" s="945"/>
      <c r="Y327" s="933"/>
      <c r="Z327" s="933"/>
      <c r="AA327" s="933"/>
      <c r="AB327" s="933"/>
      <c r="AC327" s="933"/>
      <c r="AD327" s="933"/>
      <c r="AE327" s="933"/>
      <c r="AF327" s="933"/>
      <c r="AG327" s="933"/>
    </row>
    <row r="328" spans="1:33" ht="12.75">
      <c r="A328" s="933"/>
      <c r="B328" s="933"/>
      <c r="C328" s="933"/>
      <c r="D328" s="933"/>
      <c r="E328" s="933"/>
      <c r="F328" s="933"/>
      <c r="G328" s="933"/>
      <c r="H328" s="933"/>
      <c r="I328" s="933"/>
      <c r="J328" s="933"/>
      <c r="K328" s="933"/>
      <c r="L328" s="933"/>
      <c r="M328" s="933"/>
      <c r="N328" s="933"/>
      <c r="O328" s="933"/>
      <c r="P328" s="933"/>
      <c r="Q328" s="933"/>
      <c r="R328" s="933"/>
      <c r="S328" s="933"/>
      <c r="T328" s="933"/>
      <c r="V328" s="933"/>
      <c r="W328" s="933"/>
      <c r="X328" s="945"/>
      <c r="Y328" s="933"/>
      <c r="Z328" s="933"/>
      <c r="AA328" s="933"/>
      <c r="AB328" s="933"/>
      <c r="AC328" s="933"/>
      <c r="AD328" s="933"/>
      <c r="AE328" s="933"/>
      <c r="AF328" s="933"/>
      <c r="AG328" s="933"/>
    </row>
    <row r="329" spans="1:33" ht="12.75">
      <c r="A329" s="933"/>
      <c r="B329" s="933"/>
      <c r="C329" s="933"/>
      <c r="D329" s="933"/>
      <c r="E329" s="933"/>
      <c r="F329" s="933"/>
      <c r="G329" s="933"/>
      <c r="H329" s="933"/>
      <c r="I329" s="933"/>
      <c r="J329" s="933"/>
      <c r="K329" s="933"/>
      <c r="L329" s="933"/>
      <c r="M329" s="933"/>
      <c r="N329" s="933"/>
      <c r="O329" s="933"/>
      <c r="P329" s="933"/>
      <c r="Q329" s="933"/>
      <c r="R329" s="933"/>
      <c r="S329" s="933"/>
      <c r="T329" s="933"/>
      <c r="V329" s="933"/>
      <c r="W329" s="933"/>
      <c r="X329" s="945"/>
      <c r="Y329" s="933"/>
      <c r="Z329" s="933"/>
      <c r="AA329" s="933"/>
      <c r="AB329" s="933"/>
      <c r="AC329" s="933"/>
      <c r="AD329" s="933"/>
      <c r="AE329" s="933"/>
      <c r="AF329" s="933"/>
      <c r="AG329" s="933"/>
    </row>
    <row r="330" spans="1:33" ht="12.75">
      <c r="A330" s="933"/>
      <c r="B330" s="933"/>
      <c r="C330" s="933"/>
      <c r="D330" s="933"/>
      <c r="E330" s="933"/>
      <c r="F330" s="933"/>
      <c r="G330" s="933"/>
      <c r="H330" s="933"/>
      <c r="I330" s="933"/>
      <c r="J330" s="933"/>
      <c r="K330" s="933"/>
      <c r="L330" s="933"/>
      <c r="M330" s="933"/>
      <c r="N330" s="933"/>
      <c r="O330" s="933"/>
      <c r="P330" s="933"/>
      <c r="Q330" s="933"/>
      <c r="R330" s="933"/>
      <c r="S330" s="933"/>
      <c r="T330" s="933"/>
      <c r="V330" s="933"/>
      <c r="W330" s="933"/>
      <c r="X330" s="945"/>
      <c r="Y330" s="933"/>
      <c r="Z330" s="933"/>
      <c r="AA330" s="933"/>
      <c r="AB330" s="933"/>
      <c r="AC330" s="933"/>
      <c r="AD330" s="933"/>
      <c r="AE330" s="933"/>
      <c r="AF330" s="933"/>
      <c r="AG330" s="933"/>
    </row>
    <row r="331" spans="1:33" ht="12.75">
      <c r="A331" s="933"/>
      <c r="B331" s="933"/>
      <c r="C331" s="933"/>
      <c r="D331" s="933"/>
      <c r="E331" s="933"/>
      <c r="F331" s="933"/>
      <c r="G331" s="933"/>
      <c r="H331" s="933"/>
      <c r="I331" s="933"/>
      <c r="J331" s="933"/>
      <c r="K331" s="933"/>
      <c r="L331" s="933"/>
      <c r="M331" s="933"/>
      <c r="N331" s="933"/>
      <c r="O331" s="933"/>
      <c r="P331" s="933"/>
      <c r="Q331" s="933"/>
      <c r="R331" s="933"/>
      <c r="S331" s="933"/>
      <c r="T331" s="933"/>
      <c r="V331" s="933"/>
      <c r="W331" s="933"/>
      <c r="X331" s="945"/>
      <c r="Y331" s="933"/>
      <c r="Z331" s="933"/>
      <c r="AA331" s="933"/>
      <c r="AB331" s="933"/>
      <c r="AC331" s="933"/>
      <c r="AD331" s="933"/>
      <c r="AE331" s="933"/>
      <c r="AF331" s="933"/>
      <c r="AG331" s="933"/>
    </row>
    <row r="332" spans="1:33" ht="12.75">
      <c r="A332" s="933"/>
      <c r="B332" s="933"/>
      <c r="C332" s="933"/>
      <c r="D332" s="933"/>
      <c r="E332" s="933"/>
      <c r="F332" s="933"/>
      <c r="G332" s="933"/>
      <c r="H332" s="933"/>
      <c r="I332" s="933"/>
      <c r="J332" s="933"/>
      <c r="K332" s="933"/>
      <c r="L332" s="933"/>
      <c r="M332" s="933"/>
      <c r="N332" s="933"/>
      <c r="O332" s="933"/>
      <c r="P332" s="933"/>
      <c r="Q332" s="933"/>
      <c r="R332" s="933"/>
      <c r="S332" s="933"/>
      <c r="T332" s="933"/>
      <c r="V332" s="933"/>
      <c r="W332" s="933"/>
      <c r="X332" s="945"/>
      <c r="Y332" s="933"/>
      <c r="Z332" s="933"/>
      <c r="AA332" s="933"/>
      <c r="AB332" s="933"/>
      <c r="AC332" s="933"/>
      <c r="AD332" s="933"/>
      <c r="AE332" s="933"/>
      <c r="AF332" s="933"/>
      <c r="AG332" s="933"/>
    </row>
    <row r="333" spans="1:33" ht="12.75">
      <c r="A333" s="933"/>
      <c r="B333" s="933"/>
      <c r="C333" s="933"/>
      <c r="D333" s="933"/>
      <c r="E333" s="933"/>
      <c r="F333" s="933"/>
      <c r="G333" s="933"/>
      <c r="H333" s="933"/>
      <c r="I333" s="933"/>
      <c r="J333" s="933"/>
      <c r="K333" s="933"/>
      <c r="L333" s="933"/>
      <c r="M333" s="933"/>
      <c r="N333" s="933"/>
      <c r="O333" s="933"/>
      <c r="P333" s="933"/>
      <c r="Q333" s="933"/>
      <c r="R333" s="933"/>
      <c r="S333" s="933"/>
      <c r="T333" s="933"/>
      <c r="V333" s="933"/>
      <c r="W333" s="933"/>
      <c r="X333" s="945"/>
      <c r="Y333" s="933"/>
      <c r="Z333" s="933"/>
      <c r="AA333" s="933"/>
      <c r="AB333" s="933"/>
      <c r="AC333" s="933"/>
      <c r="AD333" s="933"/>
      <c r="AE333" s="933"/>
      <c r="AF333" s="933"/>
      <c r="AG333" s="933"/>
    </row>
    <row r="334" spans="1:33" ht="12.75">
      <c r="A334" s="933"/>
      <c r="B334" s="933"/>
      <c r="C334" s="933"/>
      <c r="D334" s="933"/>
      <c r="E334" s="933"/>
      <c r="F334" s="933"/>
      <c r="G334" s="933"/>
      <c r="H334" s="933"/>
      <c r="I334" s="933"/>
      <c r="J334" s="933"/>
      <c r="K334" s="933"/>
      <c r="L334" s="933"/>
      <c r="M334" s="933"/>
      <c r="N334" s="933"/>
      <c r="O334" s="933"/>
      <c r="P334" s="933"/>
      <c r="Q334" s="933"/>
      <c r="R334" s="933"/>
      <c r="S334" s="933"/>
      <c r="T334" s="933"/>
      <c r="V334" s="933"/>
      <c r="W334" s="933"/>
      <c r="X334" s="945"/>
      <c r="Y334" s="933"/>
      <c r="Z334" s="933"/>
      <c r="AA334" s="933"/>
      <c r="AB334" s="933"/>
      <c r="AC334" s="933"/>
      <c r="AD334" s="933"/>
      <c r="AE334" s="933"/>
      <c r="AF334" s="933"/>
      <c r="AG334" s="933"/>
    </row>
    <row r="335" spans="1:33" ht="12.75">
      <c r="A335" s="933"/>
      <c r="B335" s="933"/>
      <c r="C335" s="933"/>
      <c r="D335" s="933"/>
      <c r="E335" s="933"/>
      <c r="F335" s="933"/>
      <c r="G335" s="933"/>
      <c r="H335" s="933"/>
      <c r="I335" s="933"/>
      <c r="J335" s="933"/>
      <c r="K335" s="933"/>
      <c r="L335" s="933"/>
      <c r="M335" s="933"/>
      <c r="N335" s="933"/>
      <c r="O335" s="933"/>
      <c r="P335" s="933"/>
      <c r="Q335" s="933"/>
      <c r="R335" s="933"/>
      <c r="S335" s="933"/>
      <c r="T335" s="933"/>
      <c r="V335" s="933"/>
      <c r="W335" s="933"/>
      <c r="X335" s="945"/>
      <c r="Y335" s="933"/>
      <c r="Z335" s="933"/>
      <c r="AA335" s="933"/>
      <c r="AB335" s="933"/>
      <c r="AC335" s="933"/>
      <c r="AD335" s="933"/>
      <c r="AE335" s="933"/>
      <c r="AF335" s="933"/>
      <c r="AG335" s="933"/>
    </row>
    <row r="336" spans="1:33" ht="12.75">
      <c r="A336" s="933"/>
      <c r="B336" s="933"/>
      <c r="C336" s="933"/>
      <c r="D336" s="933"/>
      <c r="E336" s="933"/>
      <c r="F336" s="933"/>
      <c r="G336" s="933"/>
      <c r="H336" s="933"/>
      <c r="I336" s="933"/>
      <c r="J336" s="933"/>
      <c r="K336" s="933"/>
      <c r="L336" s="933"/>
      <c r="M336" s="933"/>
      <c r="N336" s="933"/>
      <c r="O336" s="933"/>
      <c r="P336" s="933"/>
      <c r="Q336" s="933"/>
      <c r="R336" s="933"/>
      <c r="S336" s="933"/>
      <c r="T336" s="933"/>
      <c r="V336" s="933"/>
      <c r="W336" s="933"/>
      <c r="X336" s="945"/>
      <c r="Y336" s="933"/>
      <c r="Z336" s="933"/>
      <c r="AA336" s="933"/>
      <c r="AB336" s="933"/>
      <c r="AC336" s="933"/>
      <c r="AD336" s="933"/>
      <c r="AE336" s="933"/>
      <c r="AF336" s="933"/>
      <c r="AG336" s="933"/>
    </row>
    <row r="337" spans="1:33" ht="12.75">
      <c r="A337" s="933"/>
      <c r="B337" s="933"/>
      <c r="C337" s="933"/>
      <c r="D337" s="933"/>
      <c r="E337" s="933"/>
      <c r="F337" s="933"/>
      <c r="G337" s="933"/>
      <c r="H337" s="933"/>
      <c r="I337" s="933"/>
      <c r="J337" s="933"/>
      <c r="K337" s="933"/>
      <c r="L337" s="933"/>
      <c r="M337" s="933"/>
      <c r="N337" s="933"/>
      <c r="O337" s="933"/>
      <c r="P337" s="933"/>
      <c r="Q337" s="933"/>
      <c r="R337" s="933"/>
      <c r="S337" s="933"/>
      <c r="T337" s="933"/>
      <c r="V337" s="933"/>
      <c r="W337" s="933"/>
      <c r="X337" s="945"/>
      <c r="Y337" s="933"/>
      <c r="Z337" s="933"/>
      <c r="AA337" s="933"/>
      <c r="AB337" s="933"/>
      <c r="AC337" s="933"/>
      <c r="AD337" s="933"/>
      <c r="AE337" s="933"/>
      <c r="AF337" s="933"/>
      <c r="AG337" s="933"/>
    </row>
    <row r="338" spans="1:33" ht="12.75">
      <c r="A338" s="933"/>
      <c r="B338" s="933"/>
      <c r="C338" s="933"/>
      <c r="D338" s="933"/>
      <c r="E338" s="933"/>
      <c r="F338" s="933"/>
      <c r="G338" s="933"/>
      <c r="H338" s="933"/>
      <c r="I338" s="933"/>
      <c r="J338" s="933"/>
      <c r="K338" s="933"/>
      <c r="L338" s="933"/>
      <c r="M338" s="933"/>
      <c r="N338" s="933"/>
      <c r="O338" s="933"/>
      <c r="P338" s="933"/>
      <c r="Q338" s="933"/>
      <c r="R338" s="933"/>
      <c r="S338" s="933"/>
      <c r="T338" s="933"/>
      <c r="V338" s="933"/>
      <c r="W338" s="933"/>
      <c r="X338" s="945"/>
      <c r="Y338" s="933"/>
      <c r="Z338" s="933"/>
      <c r="AA338" s="933"/>
      <c r="AB338" s="933"/>
      <c r="AC338" s="933"/>
      <c r="AD338" s="933"/>
      <c r="AE338" s="933"/>
      <c r="AF338" s="933"/>
      <c r="AG338" s="933"/>
    </row>
    <row r="339" spans="1:33" ht="12.75">
      <c r="A339" s="933"/>
      <c r="B339" s="933"/>
      <c r="C339" s="933"/>
      <c r="D339" s="933"/>
      <c r="E339" s="933"/>
      <c r="F339" s="933"/>
      <c r="G339" s="933"/>
      <c r="H339" s="933"/>
      <c r="I339" s="933"/>
      <c r="J339" s="933"/>
      <c r="K339" s="933"/>
      <c r="L339" s="933"/>
      <c r="M339" s="933"/>
      <c r="N339" s="933"/>
      <c r="O339" s="933"/>
      <c r="P339" s="933"/>
      <c r="Q339" s="933"/>
      <c r="R339" s="933"/>
      <c r="S339" s="933"/>
      <c r="T339" s="933"/>
      <c r="V339" s="933"/>
      <c r="W339" s="933"/>
      <c r="X339" s="945"/>
      <c r="Y339" s="933"/>
      <c r="Z339" s="933"/>
      <c r="AA339" s="933"/>
      <c r="AB339" s="933"/>
      <c r="AC339" s="933"/>
      <c r="AD339" s="933"/>
      <c r="AE339" s="933"/>
      <c r="AF339" s="933"/>
      <c r="AG339" s="933"/>
    </row>
    <row r="340" spans="1:33" ht="12.75">
      <c r="A340" s="933"/>
      <c r="B340" s="933"/>
      <c r="C340" s="933"/>
      <c r="D340" s="933"/>
      <c r="E340" s="933"/>
      <c r="F340" s="933"/>
      <c r="G340" s="933"/>
      <c r="H340" s="933"/>
      <c r="I340" s="933"/>
      <c r="J340" s="933"/>
      <c r="K340" s="933"/>
      <c r="L340" s="933"/>
      <c r="M340" s="933"/>
      <c r="N340" s="933"/>
      <c r="O340" s="933"/>
      <c r="P340" s="933"/>
      <c r="Q340" s="933"/>
      <c r="R340" s="933"/>
      <c r="S340" s="933"/>
      <c r="T340" s="933"/>
      <c r="V340" s="933"/>
      <c r="W340" s="933"/>
      <c r="X340" s="945"/>
      <c r="Y340" s="933"/>
      <c r="Z340" s="933"/>
      <c r="AA340" s="933"/>
      <c r="AB340" s="933"/>
      <c r="AC340" s="933"/>
      <c r="AD340" s="933"/>
      <c r="AE340" s="933"/>
      <c r="AF340" s="933"/>
      <c r="AG340" s="933"/>
    </row>
    <row r="341" spans="1:33" ht="12.75">
      <c r="A341" s="933"/>
      <c r="B341" s="933"/>
      <c r="C341" s="933"/>
      <c r="D341" s="933"/>
      <c r="E341" s="933"/>
      <c r="F341" s="933"/>
      <c r="G341" s="933"/>
      <c r="H341" s="933"/>
      <c r="I341" s="933"/>
      <c r="J341" s="933"/>
      <c r="K341" s="933"/>
      <c r="L341" s="933"/>
      <c r="M341" s="933"/>
      <c r="N341" s="933"/>
      <c r="O341" s="933"/>
      <c r="P341" s="933"/>
      <c r="Q341" s="933"/>
      <c r="R341" s="933"/>
      <c r="S341" s="933"/>
      <c r="T341" s="933"/>
      <c r="V341" s="933"/>
      <c r="W341" s="933"/>
      <c r="X341" s="945"/>
      <c r="Y341" s="933"/>
      <c r="Z341" s="933"/>
      <c r="AA341" s="933"/>
      <c r="AB341" s="933"/>
      <c r="AC341" s="933"/>
      <c r="AD341" s="933"/>
      <c r="AE341" s="933"/>
      <c r="AF341" s="933"/>
      <c r="AG341" s="933"/>
    </row>
    <row r="342" spans="1:33" ht="12.75">
      <c r="A342" s="933"/>
      <c r="B342" s="933"/>
      <c r="C342" s="933"/>
      <c r="D342" s="933"/>
      <c r="E342" s="933"/>
      <c r="F342" s="933"/>
      <c r="G342" s="933"/>
      <c r="H342" s="933"/>
      <c r="I342" s="933"/>
      <c r="J342" s="933"/>
      <c r="K342" s="933"/>
      <c r="L342" s="933"/>
      <c r="M342" s="933"/>
      <c r="N342" s="933"/>
      <c r="O342" s="933"/>
      <c r="P342" s="933"/>
      <c r="Q342" s="933"/>
      <c r="R342" s="933"/>
      <c r="S342" s="933"/>
      <c r="T342" s="933"/>
      <c r="V342" s="933"/>
      <c r="W342" s="933"/>
      <c r="X342" s="945"/>
      <c r="Y342" s="933"/>
      <c r="Z342" s="933"/>
      <c r="AA342" s="933"/>
      <c r="AB342" s="933"/>
      <c r="AC342" s="933"/>
      <c r="AD342" s="933"/>
      <c r="AE342" s="933"/>
      <c r="AF342" s="933"/>
      <c r="AG342" s="933"/>
    </row>
    <row r="343" spans="1:33" ht="12.75">
      <c r="A343" s="933"/>
      <c r="B343" s="933"/>
      <c r="C343" s="933"/>
      <c r="D343" s="933"/>
      <c r="E343" s="933"/>
      <c r="F343" s="933"/>
      <c r="G343" s="933"/>
      <c r="H343" s="933"/>
      <c r="I343" s="933"/>
      <c r="J343" s="933"/>
      <c r="K343" s="933"/>
      <c r="L343" s="933"/>
      <c r="M343" s="933"/>
      <c r="N343" s="933"/>
      <c r="O343" s="933"/>
      <c r="P343" s="933"/>
      <c r="Q343" s="933"/>
      <c r="R343" s="933"/>
      <c r="S343" s="933"/>
      <c r="T343" s="933"/>
      <c r="V343" s="933"/>
      <c r="W343" s="933"/>
      <c r="X343" s="945"/>
      <c r="Y343" s="933"/>
      <c r="Z343" s="933"/>
      <c r="AA343" s="933"/>
      <c r="AB343" s="933"/>
      <c r="AC343" s="933"/>
      <c r="AD343" s="933"/>
      <c r="AE343" s="933"/>
      <c r="AF343" s="933"/>
      <c r="AG343" s="933"/>
    </row>
    <row r="344" spans="1:33" ht="12.75">
      <c r="A344" s="933"/>
      <c r="B344" s="933"/>
      <c r="C344" s="933"/>
      <c r="D344" s="933"/>
      <c r="E344" s="933"/>
      <c r="F344" s="933"/>
      <c r="G344" s="933"/>
      <c r="H344" s="933"/>
      <c r="I344" s="933"/>
      <c r="J344" s="933"/>
      <c r="K344" s="933"/>
      <c r="L344" s="933"/>
      <c r="M344" s="933"/>
      <c r="N344" s="933"/>
      <c r="O344" s="933"/>
      <c r="P344" s="933"/>
      <c r="Q344" s="933"/>
      <c r="R344" s="933"/>
      <c r="S344" s="933"/>
      <c r="T344" s="933"/>
      <c r="V344" s="933"/>
      <c r="W344" s="933"/>
      <c r="X344" s="945"/>
      <c r="Y344" s="933"/>
      <c r="Z344" s="933"/>
      <c r="AA344" s="933"/>
      <c r="AB344" s="933"/>
      <c r="AC344" s="933"/>
      <c r="AD344" s="933"/>
      <c r="AE344" s="933"/>
      <c r="AF344" s="933"/>
      <c r="AG344" s="933"/>
    </row>
    <row r="345" spans="1:33" ht="12.75">
      <c r="A345" s="933"/>
      <c r="B345" s="933"/>
      <c r="C345" s="933"/>
      <c r="D345" s="933"/>
      <c r="E345" s="933"/>
      <c r="F345" s="933"/>
      <c r="G345" s="933"/>
      <c r="H345" s="933"/>
      <c r="I345" s="933"/>
      <c r="J345" s="933"/>
      <c r="K345" s="933"/>
      <c r="L345" s="933"/>
      <c r="M345" s="933"/>
      <c r="N345" s="933"/>
      <c r="O345" s="933"/>
      <c r="P345" s="933"/>
      <c r="Q345" s="933"/>
      <c r="R345" s="933"/>
      <c r="S345" s="933"/>
      <c r="T345" s="933"/>
      <c r="V345" s="933"/>
      <c r="W345" s="933"/>
      <c r="X345" s="945"/>
      <c r="Y345" s="933"/>
      <c r="Z345" s="933"/>
      <c r="AA345" s="933"/>
      <c r="AB345" s="933"/>
      <c r="AC345" s="933"/>
      <c r="AD345" s="933"/>
      <c r="AE345" s="933"/>
      <c r="AF345" s="933"/>
      <c r="AG345" s="933"/>
    </row>
    <row r="346" spans="1:33" ht="12.75">
      <c r="A346" s="933"/>
      <c r="B346" s="933"/>
      <c r="C346" s="933"/>
      <c r="D346" s="933"/>
      <c r="E346" s="933"/>
      <c r="F346" s="933"/>
      <c r="G346" s="933"/>
      <c r="H346" s="933"/>
      <c r="I346" s="933"/>
      <c r="J346" s="933"/>
      <c r="K346" s="933"/>
      <c r="L346" s="933"/>
      <c r="M346" s="933"/>
      <c r="N346" s="933"/>
      <c r="O346" s="933"/>
      <c r="P346" s="933"/>
      <c r="Q346" s="933"/>
      <c r="R346" s="933"/>
      <c r="S346" s="933"/>
      <c r="T346" s="933"/>
      <c r="V346" s="933"/>
      <c r="W346" s="933"/>
      <c r="X346" s="945"/>
      <c r="Y346" s="933"/>
      <c r="Z346" s="933"/>
      <c r="AA346" s="933"/>
      <c r="AB346" s="933"/>
      <c r="AC346" s="933"/>
      <c r="AD346" s="933"/>
      <c r="AE346" s="933"/>
      <c r="AF346" s="933"/>
      <c r="AG346" s="933"/>
    </row>
    <row r="347" spans="1:33" ht="12.75">
      <c r="A347" s="933"/>
      <c r="B347" s="933"/>
      <c r="C347" s="933"/>
      <c r="D347" s="933"/>
      <c r="E347" s="933"/>
      <c r="F347" s="933"/>
      <c r="G347" s="933"/>
      <c r="H347" s="933"/>
      <c r="I347" s="933"/>
      <c r="J347" s="933"/>
      <c r="K347" s="933"/>
      <c r="L347" s="933"/>
      <c r="M347" s="933"/>
      <c r="N347" s="933"/>
      <c r="O347" s="933"/>
      <c r="P347" s="933"/>
      <c r="Q347" s="933"/>
      <c r="R347" s="933"/>
      <c r="S347" s="933"/>
      <c r="T347" s="933"/>
      <c r="V347" s="933"/>
      <c r="W347" s="933"/>
      <c r="X347" s="945"/>
      <c r="Y347" s="933"/>
      <c r="Z347" s="933"/>
      <c r="AA347" s="933"/>
      <c r="AB347" s="933"/>
      <c r="AC347" s="933"/>
      <c r="AD347" s="933"/>
      <c r="AE347" s="933"/>
      <c r="AF347" s="933"/>
      <c r="AG347" s="933"/>
    </row>
    <row r="348" spans="1:33" ht="12.75">
      <c r="A348" s="933"/>
      <c r="B348" s="933"/>
      <c r="C348" s="933"/>
      <c r="D348" s="933"/>
      <c r="E348" s="933"/>
      <c r="F348" s="933"/>
      <c r="G348" s="933"/>
      <c r="H348" s="933"/>
      <c r="I348" s="933"/>
      <c r="J348" s="933"/>
      <c r="K348" s="933"/>
      <c r="L348" s="933"/>
      <c r="M348" s="933"/>
      <c r="N348" s="933"/>
      <c r="O348" s="933"/>
      <c r="P348" s="933"/>
      <c r="Q348" s="933"/>
      <c r="R348" s="933"/>
      <c r="S348" s="933"/>
      <c r="T348" s="933"/>
      <c r="V348" s="933"/>
      <c r="W348" s="933"/>
      <c r="X348" s="945"/>
      <c r="Y348" s="933"/>
      <c r="Z348" s="933"/>
      <c r="AA348" s="933"/>
      <c r="AB348" s="933"/>
      <c r="AC348" s="933"/>
      <c r="AD348" s="933"/>
      <c r="AE348" s="933"/>
      <c r="AF348" s="933"/>
      <c r="AG348" s="933"/>
    </row>
    <row r="349" spans="1:33" ht="12.75">
      <c r="A349" s="933"/>
      <c r="B349" s="933"/>
      <c r="C349" s="933"/>
      <c r="D349" s="933"/>
      <c r="E349" s="933"/>
      <c r="F349" s="933"/>
      <c r="G349" s="933"/>
      <c r="H349" s="933"/>
      <c r="I349" s="933"/>
      <c r="J349" s="933"/>
      <c r="K349" s="933"/>
      <c r="L349" s="933"/>
      <c r="M349" s="933"/>
      <c r="N349" s="933"/>
      <c r="O349" s="933"/>
      <c r="P349" s="933"/>
      <c r="Q349" s="933"/>
      <c r="R349" s="933"/>
      <c r="S349" s="933"/>
      <c r="T349" s="933"/>
      <c r="V349" s="933"/>
      <c r="W349" s="933"/>
      <c r="X349" s="945"/>
      <c r="Y349" s="933"/>
      <c r="Z349" s="933"/>
      <c r="AA349" s="933"/>
      <c r="AB349" s="933"/>
      <c r="AC349" s="933"/>
      <c r="AD349" s="933"/>
      <c r="AE349" s="933"/>
      <c r="AF349" s="933"/>
      <c r="AG349" s="933"/>
    </row>
    <row r="350" spans="1:33" ht="12.75">
      <c r="A350" s="933"/>
      <c r="B350" s="933"/>
      <c r="C350" s="933"/>
      <c r="D350" s="933"/>
      <c r="E350" s="933"/>
      <c r="F350" s="933"/>
      <c r="G350" s="933"/>
      <c r="H350" s="933"/>
      <c r="I350" s="933"/>
      <c r="J350" s="933"/>
      <c r="K350" s="933"/>
      <c r="L350" s="933"/>
      <c r="M350" s="933"/>
      <c r="N350" s="933"/>
      <c r="O350" s="933"/>
      <c r="P350" s="933"/>
      <c r="Q350" s="933"/>
      <c r="R350" s="933"/>
      <c r="S350" s="933"/>
      <c r="T350" s="933"/>
      <c r="V350" s="933"/>
      <c r="W350" s="933"/>
      <c r="X350" s="945"/>
      <c r="Y350" s="933"/>
      <c r="Z350" s="933"/>
      <c r="AA350" s="933"/>
      <c r="AB350" s="933"/>
      <c r="AC350" s="933"/>
      <c r="AD350" s="933"/>
      <c r="AE350" s="933"/>
      <c r="AF350" s="933"/>
      <c r="AG350" s="933"/>
    </row>
    <row r="351" spans="1:33" ht="12.75">
      <c r="A351" s="933"/>
      <c r="B351" s="933"/>
      <c r="C351" s="933"/>
      <c r="D351" s="933"/>
      <c r="E351" s="933"/>
      <c r="F351" s="933"/>
      <c r="G351" s="933"/>
      <c r="H351" s="933"/>
      <c r="I351" s="933"/>
      <c r="J351" s="933"/>
      <c r="K351" s="933"/>
      <c r="L351" s="933"/>
      <c r="M351" s="933"/>
      <c r="N351" s="933"/>
      <c r="O351" s="933"/>
      <c r="P351" s="933"/>
      <c r="Q351" s="933"/>
      <c r="R351" s="933"/>
      <c r="S351" s="933"/>
      <c r="T351" s="933"/>
      <c r="V351" s="933"/>
      <c r="W351" s="933"/>
      <c r="X351" s="945"/>
      <c r="Y351" s="933"/>
      <c r="Z351" s="933"/>
      <c r="AA351" s="933"/>
      <c r="AB351" s="933"/>
      <c r="AC351" s="933"/>
      <c r="AD351" s="933"/>
      <c r="AE351" s="933"/>
      <c r="AF351" s="933"/>
      <c r="AG351" s="933"/>
    </row>
    <row r="352" spans="1:33" ht="12.75">
      <c r="A352" s="933"/>
      <c r="B352" s="933"/>
      <c r="C352" s="933"/>
      <c r="D352" s="933"/>
      <c r="E352" s="933"/>
      <c r="F352" s="933"/>
      <c r="G352" s="933"/>
      <c r="H352" s="933"/>
      <c r="I352" s="933"/>
      <c r="J352" s="933"/>
      <c r="K352" s="933"/>
      <c r="L352" s="933"/>
      <c r="M352" s="933"/>
      <c r="N352" s="933"/>
      <c r="O352" s="933"/>
      <c r="P352" s="933"/>
      <c r="Q352" s="933"/>
      <c r="R352" s="933"/>
      <c r="S352" s="933"/>
      <c r="T352" s="933"/>
      <c r="V352" s="933"/>
      <c r="W352" s="933"/>
      <c r="X352" s="945"/>
      <c r="Y352" s="933"/>
      <c r="Z352" s="933"/>
      <c r="AA352" s="933"/>
      <c r="AB352" s="933"/>
      <c r="AC352" s="933"/>
      <c r="AD352" s="933"/>
      <c r="AE352" s="933"/>
      <c r="AF352" s="933"/>
      <c r="AG352" s="933"/>
    </row>
    <row r="353" spans="1:33" ht="12.75">
      <c r="A353" s="933"/>
      <c r="B353" s="933"/>
      <c r="C353" s="933"/>
      <c r="D353" s="933"/>
      <c r="E353" s="933"/>
      <c r="F353" s="933"/>
      <c r="G353" s="933"/>
      <c r="H353" s="933"/>
      <c r="I353" s="933"/>
      <c r="J353" s="933"/>
      <c r="K353" s="933"/>
      <c r="L353" s="933"/>
      <c r="M353" s="933"/>
      <c r="N353" s="933"/>
      <c r="O353" s="933"/>
      <c r="P353" s="933"/>
      <c r="Q353" s="933"/>
      <c r="R353" s="933"/>
      <c r="S353" s="933"/>
      <c r="T353" s="933"/>
      <c r="V353" s="933"/>
      <c r="W353" s="933"/>
      <c r="X353" s="945"/>
      <c r="Y353" s="933"/>
      <c r="Z353" s="933"/>
      <c r="AA353" s="933"/>
      <c r="AB353" s="933"/>
      <c r="AC353" s="933"/>
      <c r="AD353" s="933"/>
      <c r="AE353" s="933"/>
      <c r="AF353" s="933"/>
      <c r="AG353" s="933"/>
    </row>
    <row r="354" spans="1:33" ht="12.75">
      <c r="A354" s="933"/>
      <c r="B354" s="933"/>
      <c r="C354" s="933"/>
      <c r="D354" s="933"/>
      <c r="E354" s="933"/>
      <c r="F354" s="933"/>
      <c r="G354" s="933"/>
      <c r="H354" s="933"/>
      <c r="I354" s="933"/>
      <c r="J354" s="933"/>
      <c r="K354" s="933"/>
      <c r="L354" s="933"/>
      <c r="M354" s="933"/>
      <c r="N354" s="933"/>
      <c r="O354" s="933"/>
      <c r="P354" s="933"/>
      <c r="Q354" s="933"/>
      <c r="R354" s="933"/>
      <c r="S354" s="933"/>
      <c r="T354" s="933"/>
      <c r="V354" s="933"/>
      <c r="W354" s="933"/>
      <c r="X354" s="945"/>
      <c r="Y354" s="933"/>
      <c r="Z354" s="933"/>
      <c r="AA354" s="933"/>
      <c r="AB354" s="933"/>
      <c r="AC354" s="933"/>
      <c r="AD354" s="933"/>
      <c r="AE354" s="933"/>
      <c r="AF354" s="933"/>
      <c r="AG354" s="933"/>
    </row>
    <row r="355" spans="1:33" ht="12.75">
      <c r="A355" s="933"/>
      <c r="B355" s="933"/>
      <c r="C355" s="933"/>
      <c r="D355" s="933"/>
      <c r="E355" s="933"/>
      <c r="F355" s="933"/>
      <c r="G355" s="933"/>
      <c r="H355" s="933"/>
      <c r="I355" s="933"/>
      <c r="J355" s="933"/>
      <c r="K355" s="933"/>
      <c r="L355" s="933"/>
      <c r="M355" s="933"/>
      <c r="N355" s="933"/>
      <c r="O355" s="933"/>
      <c r="P355" s="933"/>
      <c r="Q355" s="933"/>
      <c r="R355" s="933"/>
      <c r="S355" s="933"/>
      <c r="T355" s="933"/>
      <c r="V355" s="933"/>
      <c r="W355" s="933"/>
      <c r="X355" s="945"/>
      <c r="Y355" s="933"/>
      <c r="Z355" s="933"/>
      <c r="AA355" s="933"/>
      <c r="AB355" s="933"/>
      <c r="AC355" s="933"/>
      <c r="AD355" s="933"/>
      <c r="AE355" s="933"/>
      <c r="AF355" s="933"/>
      <c r="AG355" s="933"/>
    </row>
    <row r="356" spans="1:33" ht="12.75">
      <c r="A356" s="933"/>
      <c r="B356" s="933"/>
      <c r="C356" s="933"/>
      <c r="D356" s="933"/>
      <c r="E356" s="933"/>
      <c r="F356" s="933"/>
      <c r="G356" s="933"/>
      <c r="H356" s="933"/>
      <c r="I356" s="933"/>
      <c r="J356" s="933"/>
      <c r="K356" s="933"/>
      <c r="L356" s="933"/>
      <c r="M356" s="933"/>
      <c r="N356" s="933"/>
      <c r="O356" s="933"/>
      <c r="P356" s="933"/>
      <c r="Q356" s="933"/>
      <c r="R356" s="933"/>
      <c r="S356" s="933"/>
      <c r="T356" s="933"/>
      <c r="V356" s="933"/>
      <c r="W356" s="933"/>
      <c r="X356" s="945"/>
      <c r="Y356" s="933"/>
      <c r="Z356" s="933"/>
      <c r="AA356" s="933"/>
      <c r="AB356" s="933"/>
      <c r="AC356" s="933"/>
      <c r="AD356" s="933"/>
      <c r="AE356" s="933"/>
      <c r="AF356" s="933"/>
      <c r="AG356" s="933"/>
    </row>
    <row r="357" spans="1:33" ht="12.75">
      <c r="A357" s="933"/>
      <c r="B357" s="933"/>
      <c r="C357" s="933"/>
      <c r="D357" s="933"/>
      <c r="E357" s="933"/>
      <c r="F357" s="933"/>
      <c r="G357" s="933"/>
      <c r="H357" s="933"/>
      <c r="I357" s="933"/>
      <c r="J357" s="933"/>
      <c r="K357" s="933"/>
      <c r="L357" s="933"/>
      <c r="M357" s="933"/>
      <c r="N357" s="933"/>
      <c r="O357" s="933"/>
      <c r="P357" s="933"/>
      <c r="Q357" s="933"/>
      <c r="R357" s="933"/>
      <c r="S357" s="933"/>
      <c r="T357" s="933"/>
      <c r="V357" s="933"/>
      <c r="W357" s="933"/>
      <c r="X357" s="945"/>
      <c r="Y357" s="933"/>
      <c r="Z357" s="933"/>
      <c r="AA357" s="933"/>
      <c r="AB357" s="933"/>
      <c r="AC357" s="933"/>
      <c r="AD357" s="933"/>
      <c r="AE357" s="933"/>
      <c r="AF357" s="933"/>
      <c r="AG357" s="933"/>
    </row>
    <row r="358" spans="1:33" ht="12.75">
      <c r="A358" s="933"/>
      <c r="B358" s="933"/>
      <c r="C358" s="933"/>
      <c r="D358" s="933"/>
      <c r="E358" s="933"/>
      <c r="F358" s="933"/>
      <c r="G358" s="933"/>
      <c r="H358" s="933"/>
      <c r="I358" s="933"/>
      <c r="J358" s="933"/>
      <c r="K358" s="933"/>
      <c r="L358" s="933"/>
      <c r="M358" s="933"/>
      <c r="N358" s="933"/>
      <c r="O358" s="933"/>
      <c r="P358" s="933"/>
      <c r="Q358" s="933"/>
      <c r="R358" s="933"/>
      <c r="S358" s="933"/>
      <c r="T358" s="933"/>
      <c r="V358" s="933"/>
      <c r="W358" s="933"/>
      <c r="X358" s="945"/>
      <c r="Y358" s="933"/>
      <c r="Z358" s="933"/>
      <c r="AA358" s="933"/>
      <c r="AB358" s="933"/>
      <c r="AC358" s="933"/>
      <c r="AD358" s="933"/>
      <c r="AE358" s="933"/>
      <c r="AF358" s="933"/>
      <c r="AG358" s="933"/>
    </row>
    <row r="359" spans="1:33" ht="12.75">
      <c r="A359" s="933"/>
      <c r="B359" s="933"/>
      <c r="C359" s="933"/>
      <c r="D359" s="933"/>
      <c r="E359" s="933"/>
      <c r="F359" s="933"/>
      <c r="G359" s="933"/>
      <c r="H359" s="933"/>
      <c r="I359" s="933"/>
      <c r="J359" s="933"/>
      <c r="K359" s="933"/>
      <c r="L359" s="933"/>
      <c r="M359" s="933"/>
      <c r="N359" s="933"/>
      <c r="O359" s="933"/>
      <c r="P359" s="933"/>
      <c r="Q359" s="933"/>
      <c r="R359" s="933"/>
      <c r="S359" s="933"/>
      <c r="T359" s="933"/>
      <c r="V359" s="933"/>
      <c r="W359" s="933"/>
      <c r="X359" s="945"/>
      <c r="Y359" s="933"/>
      <c r="Z359" s="933"/>
      <c r="AA359" s="933"/>
      <c r="AB359" s="933"/>
      <c r="AC359" s="933"/>
      <c r="AD359" s="933"/>
      <c r="AE359" s="933"/>
      <c r="AF359" s="933"/>
      <c r="AG359" s="933"/>
    </row>
    <row r="360" spans="1:33" ht="12.75">
      <c r="A360" s="933"/>
      <c r="B360" s="933"/>
      <c r="C360" s="933"/>
      <c r="D360" s="933"/>
      <c r="E360" s="933"/>
      <c r="F360" s="933"/>
      <c r="G360" s="933"/>
      <c r="H360" s="933"/>
      <c r="I360" s="933"/>
      <c r="J360" s="933"/>
      <c r="K360" s="933"/>
      <c r="L360" s="933"/>
      <c r="M360" s="933"/>
      <c r="N360" s="933"/>
      <c r="O360" s="933"/>
      <c r="P360" s="933"/>
      <c r="Q360" s="933"/>
      <c r="R360" s="933"/>
      <c r="S360" s="933"/>
      <c r="T360" s="933"/>
      <c r="V360" s="933"/>
      <c r="W360" s="933"/>
      <c r="X360" s="945"/>
      <c r="Y360" s="933"/>
      <c r="Z360" s="933"/>
      <c r="AA360" s="933"/>
      <c r="AB360" s="933"/>
      <c r="AC360" s="933"/>
      <c r="AD360" s="933"/>
      <c r="AE360" s="933"/>
      <c r="AF360" s="933"/>
      <c r="AG360" s="933"/>
    </row>
    <row r="361" spans="1:33" ht="12.75">
      <c r="A361" s="933"/>
      <c r="B361" s="933"/>
      <c r="C361" s="933"/>
      <c r="D361" s="933"/>
      <c r="E361" s="933"/>
      <c r="F361" s="933"/>
      <c r="G361" s="933"/>
      <c r="H361" s="933"/>
      <c r="I361" s="933"/>
      <c r="J361" s="933"/>
      <c r="K361" s="933"/>
      <c r="L361" s="933"/>
      <c r="M361" s="933"/>
      <c r="N361" s="933"/>
      <c r="O361" s="933"/>
      <c r="P361" s="933"/>
      <c r="Q361" s="933"/>
      <c r="R361" s="933"/>
      <c r="S361" s="933"/>
      <c r="T361" s="933"/>
      <c r="V361" s="933"/>
      <c r="W361" s="933"/>
      <c r="X361" s="945"/>
      <c r="Y361" s="933"/>
      <c r="Z361" s="933"/>
      <c r="AA361" s="933"/>
      <c r="AB361" s="933"/>
      <c r="AC361" s="933"/>
      <c r="AD361" s="933"/>
      <c r="AE361" s="933"/>
      <c r="AF361" s="933"/>
      <c r="AG361" s="933"/>
    </row>
    <row r="362" spans="1:33" ht="12.75">
      <c r="A362" s="933"/>
      <c r="B362" s="933"/>
      <c r="C362" s="933"/>
      <c r="D362" s="933"/>
      <c r="E362" s="933"/>
      <c r="F362" s="933"/>
      <c r="G362" s="933"/>
      <c r="H362" s="933"/>
      <c r="I362" s="933"/>
      <c r="J362" s="933"/>
      <c r="K362" s="933"/>
      <c r="L362" s="933"/>
      <c r="M362" s="933"/>
      <c r="N362" s="933"/>
      <c r="O362" s="933"/>
      <c r="P362" s="933"/>
      <c r="Q362" s="933"/>
      <c r="R362" s="933"/>
      <c r="S362" s="933"/>
      <c r="T362" s="933"/>
      <c r="V362" s="933"/>
      <c r="W362" s="933"/>
      <c r="X362" s="945"/>
      <c r="Y362" s="933"/>
      <c r="Z362" s="933"/>
      <c r="AA362" s="933"/>
      <c r="AB362" s="933"/>
      <c r="AC362" s="933"/>
      <c r="AD362" s="933"/>
      <c r="AE362" s="933"/>
      <c r="AF362" s="933"/>
      <c r="AG362" s="933"/>
    </row>
    <row r="363" spans="1:33" ht="12.75">
      <c r="A363" s="933"/>
      <c r="B363" s="933"/>
      <c r="C363" s="933"/>
      <c r="D363" s="933"/>
      <c r="E363" s="933"/>
      <c r="F363" s="933"/>
      <c r="G363" s="933"/>
      <c r="H363" s="933"/>
      <c r="I363" s="933"/>
      <c r="J363" s="933"/>
      <c r="K363" s="933"/>
      <c r="L363" s="933"/>
      <c r="M363" s="933"/>
      <c r="N363" s="933"/>
      <c r="O363" s="933"/>
      <c r="P363" s="933"/>
      <c r="Q363" s="933"/>
      <c r="R363" s="933"/>
      <c r="S363" s="933"/>
      <c r="T363" s="933"/>
      <c r="V363" s="933"/>
      <c r="W363" s="933"/>
      <c r="X363" s="945"/>
      <c r="Y363" s="933"/>
      <c r="Z363" s="933"/>
      <c r="AA363" s="933"/>
      <c r="AB363" s="933"/>
      <c r="AC363" s="933"/>
      <c r="AD363" s="933"/>
      <c r="AE363" s="933"/>
      <c r="AF363" s="933"/>
      <c r="AG363" s="933"/>
    </row>
    <row r="364" spans="1:33" ht="12.75">
      <c r="A364" s="933"/>
      <c r="B364" s="933"/>
      <c r="C364" s="933"/>
      <c r="D364" s="933"/>
      <c r="E364" s="933"/>
      <c r="F364" s="933"/>
      <c r="G364" s="933"/>
      <c r="H364" s="933"/>
      <c r="I364" s="933"/>
      <c r="J364" s="933"/>
      <c r="K364" s="933"/>
      <c r="L364" s="933"/>
      <c r="M364" s="933"/>
      <c r="N364" s="933"/>
      <c r="O364" s="933"/>
      <c r="P364" s="933"/>
      <c r="Q364" s="933"/>
      <c r="R364" s="933"/>
      <c r="S364" s="933"/>
      <c r="T364" s="933"/>
      <c r="V364" s="933"/>
      <c r="W364" s="933"/>
      <c r="X364" s="945"/>
      <c r="Y364" s="933"/>
      <c r="Z364" s="933"/>
      <c r="AA364" s="933"/>
      <c r="AB364" s="933"/>
      <c r="AC364" s="933"/>
      <c r="AD364" s="933"/>
      <c r="AE364" s="933"/>
      <c r="AF364" s="933"/>
      <c r="AG364" s="933"/>
    </row>
    <row r="365" spans="1:33" ht="12.75">
      <c r="A365" s="933"/>
      <c r="B365" s="933"/>
      <c r="C365" s="933"/>
      <c r="D365" s="933"/>
      <c r="E365" s="933"/>
      <c r="F365" s="933"/>
      <c r="G365" s="933"/>
      <c r="H365" s="933"/>
      <c r="I365" s="933"/>
      <c r="J365" s="933"/>
      <c r="K365" s="933"/>
      <c r="L365" s="933"/>
      <c r="M365" s="933"/>
      <c r="N365" s="933"/>
      <c r="O365" s="933"/>
      <c r="P365" s="933"/>
      <c r="Q365" s="933"/>
      <c r="R365" s="933"/>
      <c r="S365" s="933"/>
      <c r="T365" s="933"/>
      <c r="V365" s="933"/>
      <c r="W365" s="933"/>
      <c r="X365" s="945"/>
      <c r="Y365" s="933"/>
      <c r="Z365" s="933"/>
      <c r="AA365" s="933"/>
      <c r="AB365" s="933"/>
      <c r="AC365" s="933"/>
      <c r="AD365" s="933"/>
      <c r="AE365" s="933"/>
      <c r="AF365" s="933"/>
      <c r="AG365" s="933"/>
    </row>
    <row r="366" spans="1:33" ht="12.75">
      <c r="A366" s="933"/>
      <c r="B366" s="933"/>
      <c r="C366" s="933"/>
      <c r="D366" s="933"/>
      <c r="E366" s="933"/>
      <c r="F366" s="933"/>
      <c r="G366" s="933"/>
      <c r="H366" s="933"/>
      <c r="I366" s="933"/>
      <c r="J366" s="933"/>
      <c r="K366" s="933"/>
      <c r="L366" s="933"/>
      <c r="M366" s="933"/>
      <c r="N366" s="933"/>
      <c r="O366" s="933"/>
      <c r="P366" s="933"/>
      <c r="Q366" s="933"/>
      <c r="R366" s="933"/>
      <c r="S366" s="933"/>
      <c r="T366" s="933"/>
      <c r="V366" s="933"/>
      <c r="W366" s="933"/>
      <c r="X366" s="945"/>
      <c r="Y366" s="933"/>
      <c r="Z366" s="933"/>
      <c r="AA366" s="933"/>
      <c r="AB366" s="933"/>
      <c r="AC366" s="933"/>
      <c r="AD366" s="933"/>
      <c r="AE366" s="933"/>
      <c r="AF366" s="933"/>
      <c r="AG366" s="933"/>
    </row>
    <row r="367" spans="1:33" ht="12.75">
      <c r="A367" s="933"/>
      <c r="B367" s="933"/>
      <c r="C367" s="933"/>
      <c r="D367" s="933"/>
      <c r="E367" s="933"/>
      <c r="F367" s="933"/>
      <c r="G367" s="933"/>
      <c r="H367" s="933"/>
      <c r="I367" s="933"/>
      <c r="J367" s="933"/>
      <c r="K367" s="933"/>
      <c r="L367" s="933"/>
      <c r="M367" s="933"/>
      <c r="N367" s="933"/>
      <c r="O367" s="933"/>
      <c r="P367" s="933"/>
      <c r="Q367" s="933"/>
      <c r="R367" s="933"/>
      <c r="S367" s="933"/>
      <c r="T367" s="933"/>
      <c r="V367" s="933"/>
      <c r="W367" s="933"/>
      <c r="X367" s="945"/>
      <c r="Y367" s="933"/>
      <c r="Z367" s="933"/>
      <c r="AA367" s="933"/>
      <c r="AB367" s="933"/>
      <c r="AC367" s="933"/>
      <c r="AD367" s="933"/>
      <c r="AE367" s="933"/>
      <c r="AF367" s="933"/>
      <c r="AG367" s="933"/>
    </row>
    <row r="368" spans="1:33" ht="12.75">
      <c r="A368" s="933"/>
      <c r="B368" s="933"/>
      <c r="C368" s="933"/>
      <c r="D368" s="933"/>
      <c r="E368" s="933"/>
      <c r="F368" s="933"/>
      <c r="G368" s="933"/>
      <c r="H368" s="933"/>
      <c r="I368" s="933"/>
      <c r="J368" s="933"/>
      <c r="K368" s="933"/>
      <c r="L368" s="933"/>
      <c r="M368" s="933"/>
      <c r="N368" s="933"/>
      <c r="O368" s="933"/>
      <c r="P368" s="933"/>
      <c r="Q368" s="933"/>
      <c r="R368" s="933"/>
      <c r="S368" s="933"/>
      <c r="T368" s="933"/>
      <c r="V368" s="933"/>
      <c r="W368" s="933"/>
      <c r="X368" s="945"/>
      <c r="Y368" s="933"/>
      <c r="Z368" s="933"/>
      <c r="AA368" s="933"/>
      <c r="AB368" s="933"/>
      <c r="AC368" s="933"/>
      <c r="AD368" s="933"/>
      <c r="AE368" s="933"/>
      <c r="AF368" s="933"/>
      <c r="AG368" s="933"/>
    </row>
    <row r="369" spans="1:33" ht="12.75">
      <c r="A369" s="933"/>
      <c r="B369" s="933"/>
      <c r="C369" s="933"/>
      <c r="D369" s="933"/>
      <c r="E369" s="933"/>
      <c r="F369" s="933"/>
      <c r="G369" s="933"/>
      <c r="H369" s="933"/>
      <c r="I369" s="933"/>
      <c r="J369" s="933"/>
      <c r="K369" s="933"/>
      <c r="L369" s="933"/>
      <c r="M369" s="933"/>
      <c r="N369" s="933"/>
      <c r="O369" s="933"/>
      <c r="P369" s="933"/>
      <c r="Q369" s="933"/>
      <c r="R369" s="933"/>
      <c r="S369" s="933"/>
      <c r="T369" s="933"/>
      <c r="V369" s="933"/>
      <c r="W369" s="933"/>
      <c r="X369" s="945"/>
      <c r="Y369" s="933"/>
      <c r="Z369" s="933"/>
      <c r="AA369" s="933"/>
      <c r="AB369" s="933"/>
      <c r="AC369" s="933"/>
      <c r="AD369" s="933"/>
      <c r="AE369" s="933"/>
      <c r="AF369" s="933"/>
      <c r="AG369" s="933"/>
    </row>
    <row r="370" spans="1:33" ht="12.75">
      <c r="A370" s="933"/>
      <c r="B370" s="933"/>
      <c r="C370" s="933"/>
      <c r="D370" s="933"/>
      <c r="E370" s="933"/>
      <c r="F370" s="933"/>
      <c r="G370" s="933"/>
      <c r="H370" s="933"/>
      <c r="I370" s="933"/>
      <c r="J370" s="933"/>
      <c r="K370" s="933"/>
      <c r="L370" s="933"/>
      <c r="M370" s="933"/>
      <c r="N370" s="933"/>
      <c r="O370" s="933"/>
      <c r="P370" s="933"/>
      <c r="Q370" s="933"/>
      <c r="R370" s="933"/>
      <c r="S370" s="933"/>
      <c r="T370" s="933"/>
      <c r="V370" s="933"/>
      <c r="W370" s="933"/>
      <c r="X370" s="945"/>
      <c r="Y370" s="933"/>
      <c r="Z370" s="933"/>
      <c r="AA370" s="933"/>
      <c r="AB370" s="933"/>
      <c r="AC370" s="933"/>
      <c r="AD370" s="933"/>
      <c r="AE370" s="933"/>
      <c r="AF370" s="933"/>
      <c r="AG370" s="933"/>
    </row>
    <row r="371" spans="1:33" ht="12.75">
      <c r="A371" s="933"/>
      <c r="B371" s="933"/>
      <c r="C371" s="933"/>
      <c r="D371" s="933"/>
      <c r="E371" s="933"/>
      <c r="F371" s="933"/>
      <c r="G371" s="933"/>
      <c r="H371" s="933"/>
      <c r="I371" s="933"/>
      <c r="J371" s="933"/>
      <c r="K371" s="933"/>
      <c r="L371" s="933"/>
      <c r="M371" s="933"/>
      <c r="N371" s="933"/>
      <c r="O371" s="933"/>
      <c r="P371" s="933"/>
      <c r="Q371" s="933"/>
      <c r="R371" s="933"/>
      <c r="S371" s="933"/>
      <c r="T371" s="933"/>
      <c r="V371" s="933"/>
      <c r="W371" s="933"/>
      <c r="X371" s="945"/>
      <c r="Y371" s="933"/>
      <c r="Z371" s="933"/>
      <c r="AA371" s="933"/>
      <c r="AB371" s="933"/>
      <c r="AC371" s="933"/>
      <c r="AD371" s="933"/>
      <c r="AE371" s="933"/>
      <c r="AF371" s="933"/>
      <c r="AG371" s="933"/>
    </row>
    <row r="372" spans="1:33" ht="12.75">
      <c r="A372" s="933"/>
      <c r="B372" s="933"/>
      <c r="C372" s="933"/>
      <c r="D372" s="933"/>
      <c r="E372" s="933"/>
      <c r="F372" s="933"/>
      <c r="G372" s="933"/>
      <c r="H372" s="933"/>
      <c r="I372" s="933"/>
      <c r="J372" s="933"/>
      <c r="K372" s="933"/>
      <c r="L372" s="933"/>
      <c r="M372" s="933"/>
      <c r="N372" s="933"/>
      <c r="O372" s="933"/>
      <c r="P372" s="933"/>
      <c r="Q372" s="933"/>
      <c r="R372" s="933"/>
      <c r="S372" s="933"/>
      <c r="T372" s="933"/>
      <c r="V372" s="933"/>
      <c r="W372" s="933"/>
      <c r="X372" s="945"/>
      <c r="Y372" s="933"/>
      <c r="Z372" s="933"/>
      <c r="AA372" s="933"/>
      <c r="AB372" s="933"/>
      <c r="AC372" s="933"/>
      <c r="AD372" s="933"/>
      <c r="AE372" s="933"/>
      <c r="AF372" s="933"/>
      <c r="AG372" s="933"/>
    </row>
    <row r="373" spans="1:33" ht="12.75">
      <c r="A373" s="933"/>
      <c r="B373" s="933"/>
      <c r="C373" s="933"/>
      <c r="D373" s="933"/>
      <c r="E373" s="933"/>
      <c r="F373" s="933"/>
      <c r="G373" s="933"/>
      <c r="H373" s="933"/>
      <c r="I373" s="933"/>
      <c r="J373" s="933"/>
      <c r="K373" s="933"/>
      <c r="L373" s="933"/>
      <c r="M373" s="933"/>
      <c r="N373" s="933"/>
      <c r="O373" s="933"/>
      <c r="P373" s="933"/>
      <c r="Q373" s="933"/>
      <c r="R373" s="933"/>
      <c r="S373" s="933"/>
      <c r="T373" s="933"/>
      <c r="V373" s="933"/>
      <c r="W373" s="933"/>
      <c r="X373" s="945"/>
      <c r="Y373" s="933"/>
      <c r="Z373" s="933"/>
      <c r="AA373" s="933"/>
      <c r="AB373" s="933"/>
      <c r="AC373" s="933"/>
      <c r="AD373" s="933"/>
      <c r="AE373" s="933"/>
      <c r="AF373" s="933"/>
      <c r="AG373" s="933"/>
    </row>
    <row r="374" spans="1:33" ht="12.75">
      <c r="A374" s="933"/>
      <c r="B374" s="933"/>
      <c r="C374" s="933"/>
      <c r="D374" s="933"/>
      <c r="E374" s="933"/>
      <c r="F374" s="933"/>
      <c r="G374" s="933"/>
      <c r="H374" s="933"/>
      <c r="I374" s="933"/>
      <c r="J374" s="933"/>
      <c r="K374" s="933"/>
      <c r="L374" s="933"/>
      <c r="M374" s="933"/>
      <c r="N374" s="933"/>
      <c r="O374" s="933"/>
      <c r="P374" s="933"/>
      <c r="Q374" s="933"/>
      <c r="R374" s="933"/>
      <c r="S374" s="933"/>
      <c r="T374" s="933"/>
      <c r="V374" s="933"/>
      <c r="W374" s="933"/>
      <c r="X374" s="945"/>
      <c r="Y374" s="933"/>
      <c r="Z374" s="933"/>
      <c r="AA374" s="933"/>
      <c r="AB374" s="933"/>
      <c r="AC374" s="933"/>
      <c r="AD374" s="933"/>
      <c r="AE374" s="933"/>
      <c r="AF374" s="933"/>
      <c r="AG374" s="933"/>
    </row>
    <row r="375" spans="1:33" ht="12.75">
      <c r="A375" s="933"/>
      <c r="B375" s="933"/>
      <c r="C375" s="933"/>
      <c r="D375" s="933"/>
      <c r="E375" s="933"/>
      <c r="F375" s="933"/>
      <c r="G375" s="933"/>
      <c r="H375" s="933"/>
      <c r="I375" s="933"/>
      <c r="J375" s="933"/>
      <c r="K375" s="933"/>
      <c r="L375" s="933"/>
      <c r="M375" s="933"/>
      <c r="N375" s="933"/>
      <c r="O375" s="933"/>
      <c r="P375" s="933"/>
      <c r="Q375" s="933"/>
      <c r="R375" s="933"/>
      <c r="S375" s="933"/>
      <c r="T375" s="933"/>
      <c r="V375" s="933"/>
      <c r="W375" s="933"/>
      <c r="X375" s="945"/>
      <c r="Y375" s="933"/>
      <c r="Z375" s="933"/>
      <c r="AA375" s="933"/>
      <c r="AB375" s="933"/>
      <c r="AC375" s="933"/>
      <c r="AD375" s="933"/>
      <c r="AE375" s="933"/>
      <c r="AF375" s="933"/>
      <c r="AG375" s="933"/>
    </row>
    <row r="376" spans="1:33" ht="12.75">
      <c r="A376" s="933"/>
      <c r="B376" s="933"/>
      <c r="C376" s="933"/>
      <c r="D376" s="933"/>
      <c r="E376" s="933"/>
      <c r="F376" s="933"/>
      <c r="G376" s="933"/>
      <c r="H376" s="933"/>
      <c r="I376" s="933"/>
      <c r="J376" s="933"/>
      <c r="K376" s="933"/>
      <c r="L376" s="933"/>
      <c r="M376" s="933"/>
      <c r="N376" s="933"/>
      <c r="O376" s="933"/>
      <c r="P376" s="933"/>
      <c r="Q376" s="933"/>
      <c r="R376" s="933"/>
      <c r="S376" s="933"/>
      <c r="T376" s="933"/>
      <c r="V376" s="933"/>
      <c r="W376" s="933"/>
      <c r="X376" s="945"/>
      <c r="Y376" s="933"/>
      <c r="Z376" s="933"/>
      <c r="AA376" s="933"/>
      <c r="AB376" s="933"/>
      <c r="AC376" s="933"/>
      <c r="AD376" s="933"/>
      <c r="AE376" s="933"/>
      <c r="AF376" s="933"/>
      <c r="AG376" s="933"/>
    </row>
    <row r="377" spans="1:33" ht="12.75">
      <c r="A377" s="933"/>
      <c r="B377" s="933"/>
      <c r="C377" s="933"/>
      <c r="D377" s="933"/>
      <c r="E377" s="933"/>
      <c r="F377" s="933"/>
      <c r="G377" s="933"/>
      <c r="H377" s="933"/>
      <c r="I377" s="933"/>
      <c r="J377" s="933"/>
      <c r="K377" s="933"/>
      <c r="L377" s="933"/>
      <c r="M377" s="933"/>
      <c r="N377" s="933"/>
      <c r="O377" s="933"/>
      <c r="P377" s="933"/>
      <c r="Q377" s="933"/>
      <c r="R377" s="933"/>
      <c r="S377" s="933"/>
      <c r="T377" s="933"/>
      <c r="V377" s="933"/>
      <c r="W377" s="933"/>
      <c r="X377" s="945"/>
      <c r="Y377" s="933"/>
      <c r="Z377" s="933"/>
      <c r="AA377" s="933"/>
      <c r="AB377" s="933"/>
      <c r="AC377" s="933"/>
      <c r="AD377" s="933"/>
      <c r="AE377" s="933"/>
      <c r="AF377" s="933"/>
      <c r="AG377" s="933"/>
    </row>
    <row r="378" spans="1:33" ht="12.75">
      <c r="A378" s="933"/>
      <c r="B378" s="933"/>
      <c r="C378" s="933"/>
      <c r="D378" s="933"/>
      <c r="E378" s="933"/>
      <c r="F378" s="933"/>
      <c r="G378" s="933"/>
      <c r="H378" s="933"/>
      <c r="I378" s="933"/>
      <c r="J378" s="933"/>
      <c r="K378" s="933"/>
      <c r="L378" s="933"/>
      <c r="M378" s="933"/>
      <c r="N378" s="933"/>
      <c r="O378" s="933"/>
      <c r="P378" s="933"/>
      <c r="Q378" s="933"/>
      <c r="R378" s="933"/>
      <c r="S378" s="933"/>
      <c r="T378" s="933"/>
      <c r="V378" s="933"/>
      <c r="W378" s="933"/>
      <c r="X378" s="945"/>
      <c r="Y378" s="933"/>
      <c r="Z378" s="933"/>
      <c r="AA378" s="933"/>
      <c r="AB378" s="933"/>
      <c r="AC378" s="933"/>
      <c r="AD378" s="933"/>
      <c r="AE378" s="933"/>
      <c r="AF378" s="933"/>
      <c r="AG378" s="933"/>
    </row>
    <row r="379" spans="1:33" ht="12.75">
      <c r="A379" s="933"/>
      <c r="B379" s="933"/>
      <c r="C379" s="933"/>
      <c r="D379" s="933"/>
      <c r="E379" s="933"/>
      <c r="F379" s="933"/>
      <c r="G379" s="933"/>
      <c r="H379" s="933"/>
      <c r="I379" s="933"/>
      <c r="J379" s="933"/>
      <c r="K379" s="933"/>
      <c r="L379" s="933"/>
      <c r="M379" s="933"/>
      <c r="N379" s="933"/>
      <c r="O379" s="933"/>
      <c r="P379" s="933"/>
      <c r="Q379" s="933"/>
      <c r="R379" s="933"/>
      <c r="S379" s="933"/>
      <c r="T379" s="933"/>
      <c r="V379" s="933"/>
      <c r="W379" s="933"/>
      <c r="X379" s="945"/>
      <c r="Y379" s="933"/>
      <c r="Z379" s="933"/>
      <c r="AA379" s="933"/>
      <c r="AB379" s="933"/>
      <c r="AC379" s="933"/>
      <c r="AD379" s="933"/>
      <c r="AE379" s="933"/>
      <c r="AF379" s="933"/>
      <c r="AG379" s="933"/>
    </row>
    <row r="380" spans="1:33" ht="12.75">
      <c r="A380" s="933"/>
      <c r="B380" s="933"/>
      <c r="C380" s="933"/>
      <c r="D380" s="933"/>
      <c r="E380" s="933"/>
      <c r="F380" s="933"/>
      <c r="G380" s="933"/>
      <c r="H380" s="933"/>
      <c r="I380" s="933"/>
      <c r="J380" s="933"/>
      <c r="K380" s="933"/>
      <c r="L380" s="933"/>
      <c r="M380" s="933"/>
      <c r="N380" s="933"/>
      <c r="O380" s="933"/>
      <c r="P380" s="933"/>
      <c r="Q380" s="933"/>
      <c r="R380" s="933"/>
      <c r="S380" s="933"/>
      <c r="T380" s="933"/>
      <c r="V380" s="933"/>
      <c r="W380" s="933"/>
      <c r="X380" s="945"/>
      <c r="Y380" s="933"/>
      <c r="Z380" s="933"/>
      <c r="AA380" s="933"/>
      <c r="AB380" s="933"/>
      <c r="AC380" s="933"/>
      <c r="AD380" s="933"/>
      <c r="AE380" s="933"/>
      <c r="AF380" s="933"/>
      <c r="AG380" s="933"/>
    </row>
    <row r="381" spans="1:33" ht="12.75">
      <c r="A381" s="933"/>
      <c r="B381" s="933"/>
      <c r="C381" s="933"/>
      <c r="D381" s="933"/>
      <c r="E381" s="933"/>
      <c r="F381" s="933"/>
      <c r="G381" s="933"/>
      <c r="H381" s="933"/>
      <c r="I381" s="933"/>
      <c r="J381" s="933"/>
      <c r="K381" s="933"/>
      <c r="L381" s="933"/>
      <c r="M381" s="933"/>
      <c r="N381" s="933"/>
      <c r="O381" s="933"/>
      <c r="P381" s="933"/>
      <c r="Q381" s="933"/>
      <c r="R381" s="933"/>
      <c r="S381" s="933"/>
      <c r="T381" s="933"/>
      <c r="V381" s="933"/>
      <c r="W381" s="933"/>
      <c r="X381" s="945"/>
      <c r="Y381" s="933"/>
      <c r="Z381" s="933"/>
      <c r="AA381" s="933"/>
      <c r="AB381" s="933"/>
      <c r="AC381" s="933"/>
      <c r="AD381" s="933"/>
      <c r="AE381" s="933"/>
      <c r="AF381" s="933"/>
      <c r="AG381" s="933"/>
    </row>
    <row r="382" spans="1:33" ht="12.75">
      <c r="A382" s="933"/>
      <c r="B382" s="933"/>
      <c r="C382" s="933"/>
      <c r="D382" s="933"/>
      <c r="E382" s="933"/>
      <c r="F382" s="933"/>
      <c r="G382" s="933"/>
      <c r="H382" s="933"/>
      <c r="I382" s="933"/>
      <c r="J382" s="933"/>
      <c r="K382" s="933"/>
      <c r="L382" s="933"/>
      <c r="M382" s="933"/>
      <c r="N382" s="933"/>
      <c r="O382" s="933"/>
      <c r="P382" s="933"/>
      <c r="Q382" s="933"/>
      <c r="R382" s="933"/>
      <c r="S382" s="933"/>
      <c r="T382" s="933"/>
      <c r="V382" s="933"/>
      <c r="W382" s="933"/>
      <c r="X382" s="945"/>
      <c r="Y382" s="933"/>
      <c r="Z382" s="933"/>
      <c r="AA382" s="933"/>
      <c r="AB382" s="933"/>
      <c r="AC382" s="933"/>
      <c r="AD382" s="933"/>
      <c r="AE382" s="933"/>
      <c r="AF382" s="933"/>
      <c r="AG382" s="933"/>
    </row>
    <row r="383" spans="1:33" ht="12.75">
      <c r="A383" s="933"/>
      <c r="B383" s="933"/>
      <c r="C383" s="933"/>
      <c r="D383" s="933"/>
      <c r="E383" s="933"/>
      <c r="F383" s="933"/>
      <c r="G383" s="933"/>
      <c r="H383" s="933"/>
      <c r="I383" s="933"/>
      <c r="J383" s="933"/>
      <c r="K383" s="933"/>
      <c r="L383" s="933"/>
      <c r="M383" s="933"/>
      <c r="N383" s="933"/>
      <c r="O383" s="933"/>
      <c r="P383" s="933"/>
      <c r="Q383" s="933"/>
      <c r="R383" s="933"/>
      <c r="S383" s="933"/>
      <c r="T383" s="933"/>
      <c r="V383" s="933"/>
      <c r="W383" s="933"/>
      <c r="X383" s="945"/>
      <c r="Y383" s="933"/>
      <c r="Z383" s="933"/>
      <c r="AA383" s="933"/>
      <c r="AB383" s="933"/>
      <c r="AC383" s="933"/>
      <c r="AD383" s="933"/>
      <c r="AE383" s="933"/>
      <c r="AF383" s="933"/>
      <c r="AG383" s="933"/>
    </row>
    <row r="384" spans="1:33" ht="12.75">
      <c r="A384" s="933"/>
      <c r="B384" s="933"/>
      <c r="C384" s="933"/>
      <c r="D384" s="933"/>
      <c r="E384" s="933"/>
      <c r="F384" s="933"/>
      <c r="G384" s="933"/>
      <c r="H384" s="933"/>
      <c r="I384" s="933"/>
      <c r="J384" s="933"/>
      <c r="K384" s="933"/>
      <c r="L384" s="933"/>
      <c r="M384" s="933"/>
      <c r="N384" s="933"/>
      <c r="O384" s="933"/>
      <c r="P384" s="933"/>
      <c r="Q384" s="933"/>
      <c r="R384" s="933"/>
      <c r="S384" s="933"/>
      <c r="T384" s="933"/>
      <c r="V384" s="933"/>
      <c r="W384" s="933"/>
      <c r="X384" s="945"/>
      <c r="Y384" s="933"/>
      <c r="Z384" s="933"/>
      <c r="AA384" s="933"/>
      <c r="AB384" s="933"/>
      <c r="AC384" s="933"/>
      <c r="AD384" s="933"/>
      <c r="AE384" s="933"/>
      <c r="AF384" s="933"/>
      <c r="AG384" s="933"/>
    </row>
    <row r="385" spans="1:33" ht="12.75">
      <c r="A385" s="933"/>
      <c r="B385" s="933"/>
      <c r="C385" s="933"/>
      <c r="D385" s="933"/>
      <c r="E385" s="933"/>
      <c r="F385" s="933"/>
      <c r="G385" s="933"/>
      <c r="H385" s="933"/>
      <c r="I385" s="933"/>
      <c r="J385" s="933"/>
      <c r="K385" s="933"/>
      <c r="L385" s="933"/>
      <c r="M385" s="933"/>
      <c r="N385" s="933"/>
      <c r="O385" s="933"/>
      <c r="P385" s="933"/>
      <c r="Q385" s="933"/>
      <c r="R385" s="933"/>
      <c r="S385" s="933"/>
      <c r="T385" s="933"/>
      <c r="V385" s="933"/>
      <c r="W385" s="933"/>
      <c r="X385" s="945"/>
      <c r="Y385" s="933"/>
      <c r="Z385" s="933"/>
      <c r="AA385" s="933"/>
      <c r="AB385" s="933"/>
      <c r="AC385" s="933"/>
      <c r="AD385" s="933"/>
      <c r="AE385" s="933"/>
      <c r="AF385" s="933"/>
      <c r="AG385" s="933"/>
    </row>
    <row r="386" spans="1:33" ht="12.75">
      <c r="A386" s="933"/>
      <c r="B386" s="933"/>
      <c r="C386" s="933"/>
      <c r="D386" s="933"/>
      <c r="E386" s="933"/>
      <c r="F386" s="933"/>
      <c r="G386" s="933"/>
      <c r="H386" s="933"/>
      <c r="I386" s="933"/>
      <c r="J386" s="933"/>
      <c r="K386" s="933"/>
      <c r="L386" s="933"/>
      <c r="M386" s="933"/>
      <c r="N386" s="933"/>
      <c r="O386" s="933"/>
      <c r="P386" s="933"/>
      <c r="Q386" s="933"/>
      <c r="R386" s="933"/>
      <c r="S386" s="933"/>
      <c r="T386" s="933"/>
      <c r="V386" s="933"/>
      <c r="W386" s="933"/>
      <c r="X386" s="945"/>
      <c r="Y386" s="933"/>
      <c r="Z386" s="933"/>
      <c r="AA386" s="933"/>
      <c r="AB386" s="933"/>
      <c r="AC386" s="933"/>
      <c r="AD386" s="933"/>
      <c r="AE386" s="933"/>
      <c r="AF386" s="933"/>
      <c r="AG386" s="933"/>
    </row>
    <row r="387" spans="1:33" ht="12.75">
      <c r="A387" s="933"/>
      <c r="B387" s="933"/>
      <c r="C387" s="933"/>
      <c r="D387" s="933"/>
      <c r="E387" s="933"/>
      <c r="F387" s="933"/>
      <c r="G387" s="933"/>
      <c r="H387" s="933"/>
      <c r="I387" s="933"/>
      <c r="J387" s="933"/>
      <c r="K387" s="933"/>
      <c r="L387" s="933"/>
      <c r="M387" s="933"/>
      <c r="N387" s="933"/>
      <c r="O387" s="933"/>
      <c r="P387" s="933"/>
      <c r="Q387" s="933"/>
      <c r="R387" s="933"/>
      <c r="S387" s="933"/>
      <c r="T387" s="933"/>
      <c r="V387" s="933"/>
      <c r="W387" s="933"/>
      <c r="X387" s="945"/>
      <c r="Y387" s="933"/>
      <c r="Z387" s="933"/>
      <c r="AA387" s="933"/>
      <c r="AB387" s="933"/>
      <c r="AC387" s="933"/>
      <c r="AD387" s="933"/>
      <c r="AE387" s="933"/>
      <c r="AF387" s="933"/>
      <c r="AG387" s="933"/>
    </row>
    <row r="388" spans="1:33" ht="12.75">
      <c r="A388" s="933"/>
      <c r="B388" s="933"/>
      <c r="C388" s="933"/>
      <c r="D388" s="933"/>
      <c r="E388" s="933"/>
      <c r="F388" s="933"/>
      <c r="G388" s="933"/>
      <c r="H388" s="933"/>
      <c r="I388" s="933"/>
      <c r="J388" s="933"/>
      <c r="K388" s="933"/>
      <c r="L388" s="933"/>
      <c r="M388" s="933"/>
      <c r="N388" s="933"/>
      <c r="O388" s="933"/>
      <c r="P388" s="933"/>
      <c r="Q388" s="933"/>
      <c r="R388" s="933"/>
      <c r="S388" s="933"/>
      <c r="T388" s="933"/>
      <c r="V388" s="933"/>
      <c r="W388" s="933"/>
      <c r="X388" s="945"/>
      <c r="Y388" s="933"/>
      <c r="Z388" s="933"/>
      <c r="AA388" s="933"/>
      <c r="AB388" s="933"/>
      <c r="AC388" s="933"/>
      <c r="AD388" s="933"/>
      <c r="AE388" s="933"/>
      <c r="AF388" s="933"/>
      <c r="AG388" s="933"/>
    </row>
    <row r="389" spans="1:33" ht="12.75">
      <c r="A389" s="933"/>
      <c r="B389" s="933"/>
      <c r="C389" s="933"/>
      <c r="D389" s="933"/>
      <c r="E389" s="933"/>
      <c r="F389" s="933"/>
      <c r="G389" s="933"/>
      <c r="H389" s="933"/>
      <c r="I389" s="933"/>
      <c r="J389" s="933"/>
      <c r="K389" s="933"/>
      <c r="L389" s="933"/>
      <c r="M389" s="933"/>
      <c r="N389" s="933"/>
      <c r="O389" s="933"/>
      <c r="P389" s="933"/>
      <c r="Q389" s="933"/>
      <c r="R389" s="933"/>
      <c r="S389" s="933"/>
      <c r="T389" s="933"/>
      <c r="V389" s="933"/>
      <c r="W389" s="933"/>
      <c r="X389" s="945"/>
      <c r="Y389" s="933"/>
      <c r="Z389" s="933"/>
      <c r="AA389" s="933"/>
      <c r="AB389" s="933"/>
      <c r="AC389" s="933"/>
      <c r="AD389" s="933"/>
      <c r="AE389" s="933"/>
      <c r="AF389" s="933"/>
      <c r="AG389" s="933"/>
    </row>
    <row r="390" spans="1:33" ht="12.75">
      <c r="A390" s="933"/>
      <c r="B390" s="933"/>
      <c r="C390" s="933"/>
      <c r="D390" s="933"/>
      <c r="E390" s="933"/>
      <c r="F390" s="933"/>
      <c r="G390" s="933"/>
      <c r="H390" s="933"/>
      <c r="I390" s="933"/>
      <c r="J390" s="933"/>
      <c r="K390" s="933"/>
      <c r="L390" s="933"/>
      <c r="M390" s="933"/>
      <c r="N390" s="933"/>
      <c r="O390" s="933"/>
      <c r="P390" s="933"/>
      <c r="Q390" s="933"/>
      <c r="R390" s="933"/>
      <c r="S390" s="933"/>
      <c r="T390" s="933"/>
      <c r="V390" s="933"/>
      <c r="W390" s="933"/>
      <c r="X390" s="945"/>
      <c r="Y390" s="933"/>
      <c r="Z390" s="933"/>
      <c r="AA390" s="933"/>
      <c r="AB390" s="933"/>
      <c r="AC390" s="933"/>
      <c r="AD390" s="933"/>
      <c r="AE390" s="933"/>
      <c r="AF390" s="933"/>
      <c r="AG390" s="933"/>
    </row>
    <row r="391" spans="1:33" ht="12.75">
      <c r="A391" s="933"/>
      <c r="B391" s="933"/>
      <c r="C391" s="933"/>
      <c r="D391" s="933"/>
      <c r="E391" s="933"/>
      <c r="F391" s="933"/>
      <c r="G391" s="933"/>
      <c r="H391" s="933"/>
      <c r="I391" s="933"/>
      <c r="J391" s="933"/>
      <c r="K391" s="933"/>
      <c r="L391" s="933"/>
      <c r="M391" s="933"/>
      <c r="N391" s="933"/>
      <c r="O391" s="933"/>
      <c r="P391" s="933"/>
      <c r="Q391" s="933"/>
      <c r="R391" s="933"/>
      <c r="S391" s="933"/>
      <c r="T391" s="933"/>
      <c r="V391" s="933"/>
      <c r="W391" s="933"/>
      <c r="X391" s="945"/>
      <c r="Y391" s="933"/>
      <c r="Z391" s="933"/>
      <c r="AA391" s="933"/>
      <c r="AB391" s="933"/>
      <c r="AC391" s="933"/>
      <c r="AD391" s="933"/>
      <c r="AE391" s="933"/>
      <c r="AF391" s="933"/>
      <c r="AG391" s="933"/>
    </row>
    <row r="392" spans="1:33" ht="12.75">
      <c r="A392" s="933"/>
      <c r="B392" s="933"/>
      <c r="C392" s="933"/>
      <c r="D392" s="933"/>
      <c r="E392" s="933"/>
      <c r="F392" s="933"/>
      <c r="G392" s="933"/>
      <c r="H392" s="933"/>
      <c r="I392" s="933"/>
      <c r="J392" s="933"/>
      <c r="K392" s="933"/>
      <c r="L392" s="933"/>
      <c r="M392" s="933"/>
      <c r="N392" s="933"/>
      <c r="O392" s="933"/>
      <c r="P392" s="933"/>
      <c r="Q392" s="933"/>
      <c r="R392" s="933"/>
      <c r="S392" s="933"/>
      <c r="T392" s="933"/>
      <c r="V392" s="933"/>
      <c r="W392" s="933"/>
      <c r="X392" s="945"/>
      <c r="Y392" s="933"/>
      <c r="Z392" s="933"/>
      <c r="AA392" s="933"/>
      <c r="AB392" s="933"/>
      <c r="AC392" s="933"/>
      <c r="AD392" s="933"/>
      <c r="AE392" s="933"/>
      <c r="AF392" s="933"/>
      <c r="AG392" s="933"/>
    </row>
    <row r="393" spans="1:33" ht="12.75">
      <c r="A393" s="933"/>
      <c r="B393" s="933"/>
      <c r="C393" s="933"/>
      <c r="D393" s="933"/>
      <c r="E393" s="933"/>
      <c r="F393" s="933"/>
      <c r="G393" s="933"/>
      <c r="H393" s="933"/>
      <c r="I393" s="933"/>
      <c r="J393" s="933"/>
      <c r="K393" s="933"/>
      <c r="L393" s="933"/>
      <c r="M393" s="933"/>
      <c r="N393" s="933"/>
      <c r="O393" s="933"/>
      <c r="P393" s="933"/>
      <c r="Q393" s="933"/>
      <c r="R393" s="933"/>
      <c r="S393" s="933"/>
      <c r="T393" s="933"/>
      <c r="V393" s="933"/>
      <c r="W393" s="933"/>
      <c r="X393" s="945"/>
      <c r="Y393" s="933"/>
      <c r="Z393" s="933"/>
      <c r="AA393" s="933"/>
      <c r="AB393" s="933"/>
      <c r="AC393" s="933"/>
      <c r="AD393" s="933"/>
      <c r="AE393" s="933"/>
      <c r="AF393" s="933"/>
      <c r="AG393" s="933"/>
    </row>
    <row r="394" spans="1:33" ht="12.75">
      <c r="A394" s="933"/>
      <c r="B394" s="933"/>
      <c r="C394" s="933"/>
      <c r="D394" s="933"/>
      <c r="E394" s="933"/>
      <c r="F394" s="933"/>
      <c r="G394" s="933"/>
      <c r="H394" s="933"/>
      <c r="I394" s="933"/>
      <c r="J394" s="933"/>
      <c r="K394" s="933"/>
      <c r="L394" s="933"/>
      <c r="M394" s="933"/>
      <c r="N394" s="933"/>
      <c r="O394" s="933"/>
      <c r="P394" s="933"/>
      <c r="Q394" s="933"/>
      <c r="R394" s="933"/>
      <c r="S394" s="933"/>
      <c r="T394" s="933"/>
      <c r="V394" s="933"/>
      <c r="W394" s="933"/>
      <c r="X394" s="945"/>
      <c r="Y394" s="933"/>
      <c r="Z394" s="933"/>
      <c r="AA394" s="933"/>
      <c r="AB394" s="933"/>
      <c r="AC394" s="933"/>
      <c r="AD394" s="933"/>
      <c r="AE394" s="933"/>
      <c r="AF394" s="933"/>
      <c r="AG394" s="933"/>
    </row>
    <row r="395" spans="1:33" ht="12.75">
      <c r="A395" s="933"/>
      <c r="B395" s="933"/>
      <c r="C395" s="933"/>
      <c r="D395" s="933"/>
      <c r="E395" s="933"/>
      <c r="F395" s="933"/>
      <c r="G395" s="933"/>
      <c r="H395" s="933"/>
      <c r="I395" s="933"/>
      <c r="J395" s="933"/>
      <c r="K395" s="933"/>
      <c r="L395" s="933"/>
      <c r="M395" s="933"/>
      <c r="N395" s="933"/>
      <c r="O395" s="933"/>
      <c r="P395" s="933"/>
      <c r="Q395" s="933"/>
      <c r="R395" s="933"/>
      <c r="S395" s="933"/>
      <c r="T395" s="933"/>
      <c r="V395" s="933"/>
      <c r="W395" s="933"/>
      <c r="X395" s="945"/>
      <c r="Y395" s="933"/>
      <c r="Z395" s="933"/>
      <c r="AA395" s="933"/>
      <c r="AB395" s="933"/>
      <c r="AC395" s="933"/>
      <c r="AD395" s="933"/>
      <c r="AE395" s="933"/>
      <c r="AF395" s="933"/>
      <c r="AG395" s="933"/>
    </row>
    <row r="396" spans="1:33" ht="12.75">
      <c r="A396" s="933"/>
      <c r="B396" s="933"/>
      <c r="C396" s="933"/>
      <c r="D396" s="933"/>
      <c r="E396" s="933"/>
      <c r="F396" s="933"/>
      <c r="G396" s="933"/>
      <c r="H396" s="933"/>
      <c r="I396" s="933"/>
      <c r="J396" s="933"/>
      <c r="K396" s="933"/>
      <c r="L396" s="933"/>
      <c r="M396" s="933"/>
      <c r="N396" s="933"/>
      <c r="O396" s="933"/>
      <c r="P396" s="933"/>
      <c r="Q396" s="933"/>
      <c r="R396" s="933"/>
      <c r="S396" s="933"/>
      <c r="T396" s="933"/>
      <c r="V396" s="933"/>
      <c r="W396" s="933"/>
      <c r="X396" s="945"/>
      <c r="Y396" s="933"/>
      <c r="Z396" s="933"/>
      <c r="AA396" s="933"/>
      <c r="AB396" s="933"/>
      <c r="AC396" s="933"/>
      <c r="AD396" s="933"/>
      <c r="AE396" s="933"/>
      <c r="AF396" s="933"/>
      <c r="AG396" s="933"/>
    </row>
    <row r="397" spans="1:33" ht="12.75">
      <c r="A397" s="933"/>
      <c r="B397" s="933"/>
      <c r="C397" s="933"/>
      <c r="D397" s="933"/>
      <c r="E397" s="933"/>
      <c r="F397" s="933"/>
      <c r="G397" s="933"/>
      <c r="H397" s="933"/>
      <c r="I397" s="933"/>
      <c r="J397" s="933"/>
      <c r="K397" s="933"/>
      <c r="L397" s="933"/>
      <c r="M397" s="933"/>
      <c r="N397" s="933"/>
      <c r="O397" s="933"/>
      <c r="P397" s="933"/>
      <c r="Q397" s="933"/>
      <c r="R397" s="933"/>
      <c r="S397" s="933"/>
      <c r="T397" s="933"/>
      <c r="V397" s="933"/>
      <c r="W397" s="933"/>
      <c r="X397" s="945"/>
      <c r="Y397" s="933"/>
      <c r="Z397" s="933"/>
      <c r="AA397" s="933"/>
      <c r="AB397" s="933"/>
      <c r="AC397" s="933"/>
      <c r="AD397" s="933"/>
      <c r="AE397" s="933"/>
      <c r="AF397" s="933"/>
      <c r="AG397" s="933"/>
    </row>
    <row r="398" spans="1:33" ht="12.75">
      <c r="A398" s="933"/>
      <c r="B398" s="933"/>
      <c r="C398" s="933"/>
      <c r="D398" s="933"/>
      <c r="E398" s="933"/>
      <c r="F398" s="933"/>
      <c r="G398" s="933"/>
      <c r="H398" s="933"/>
      <c r="I398" s="933"/>
      <c r="J398" s="933"/>
      <c r="K398" s="933"/>
      <c r="L398" s="933"/>
      <c r="M398" s="933"/>
      <c r="N398" s="933"/>
      <c r="O398" s="933"/>
      <c r="P398" s="933"/>
      <c r="Q398" s="933"/>
      <c r="R398" s="933"/>
      <c r="S398" s="933"/>
      <c r="T398" s="933"/>
      <c r="V398" s="933"/>
      <c r="W398" s="933"/>
      <c r="X398" s="945"/>
      <c r="Y398" s="933"/>
      <c r="Z398" s="933"/>
      <c r="AA398" s="933"/>
      <c r="AB398" s="933"/>
      <c r="AC398" s="933"/>
      <c r="AD398" s="933"/>
      <c r="AE398" s="933"/>
      <c r="AF398" s="933"/>
      <c r="AG398" s="933"/>
    </row>
    <row r="399" spans="1:33" ht="12.75">
      <c r="A399" s="933"/>
      <c r="B399" s="933"/>
      <c r="C399" s="933"/>
      <c r="D399" s="933"/>
      <c r="E399" s="933"/>
      <c r="F399" s="933"/>
      <c r="G399" s="933"/>
      <c r="H399" s="933"/>
      <c r="I399" s="933"/>
      <c r="J399" s="933"/>
      <c r="K399" s="933"/>
      <c r="L399" s="933"/>
      <c r="M399" s="933"/>
      <c r="N399" s="933"/>
      <c r="O399" s="933"/>
      <c r="P399" s="933"/>
      <c r="Q399" s="933"/>
      <c r="R399" s="933"/>
      <c r="S399" s="933"/>
      <c r="T399" s="933"/>
      <c r="V399" s="933"/>
      <c r="W399" s="933"/>
      <c r="X399" s="945"/>
      <c r="Y399" s="933"/>
      <c r="Z399" s="933"/>
      <c r="AA399" s="933"/>
      <c r="AB399" s="933"/>
      <c r="AC399" s="933"/>
      <c r="AD399" s="933"/>
      <c r="AE399" s="933"/>
      <c r="AF399" s="933"/>
      <c r="AG399" s="933"/>
    </row>
    <row r="400" spans="1:33" ht="12.75">
      <c r="A400" s="933"/>
      <c r="B400" s="933"/>
      <c r="C400" s="933"/>
      <c r="D400" s="933"/>
      <c r="E400" s="933"/>
      <c r="F400" s="933"/>
      <c r="G400" s="933"/>
      <c r="H400" s="933"/>
      <c r="I400" s="933"/>
      <c r="J400" s="933"/>
      <c r="K400" s="933"/>
      <c r="L400" s="933"/>
      <c r="M400" s="933"/>
      <c r="N400" s="933"/>
      <c r="O400" s="933"/>
      <c r="P400" s="933"/>
      <c r="Q400" s="933"/>
      <c r="R400" s="933"/>
      <c r="S400" s="933"/>
      <c r="T400" s="933"/>
      <c r="V400" s="933"/>
      <c r="W400" s="933"/>
      <c r="X400" s="945"/>
      <c r="Y400" s="933"/>
      <c r="Z400" s="933"/>
      <c r="AA400" s="933"/>
      <c r="AB400" s="933"/>
      <c r="AC400" s="933"/>
      <c r="AD400" s="933"/>
      <c r="AE400" s="933"/>
      <c r="AF400" s="933"/>
      <c r="AG400" s="933"/>
    </row>
    <row r="401" spans="1:33" ht="12.75">
      <c r="A401" s="933"/>
      <c r="B401" s="933"/>
      <c r="C401" s="933"/>
      <c r="D401" s="933"/>
      <c r="E401" s="933"/>
      <c r="F401" s="933"/>
      <c r="G401" s="933"/>
      <c r="H401" s="933"/>
      <c r="I401" s="933"/>
      <c r="J401" s="933"/>
      <c r="K401" s="933"/>
      <c r="L401" s="933"/>
      <c r="M401" s="933"/>
      <c r="N401" s="933"/>
      <c r="O401" s="933"/>
      <c r="P401" s="933"/>
      <c r="Q401" s="933"/>
      <c r="R401" s="933"/>
      <c r="S401" s="933"/>
      <c r="T401" s="933"/>
      <c r="V401" s="933"/>
      <c r="W401" s="933"/>
      <c r="X401" s="945"/>
      <c r="Y401" s="933"/>
      <c r="Z401" s="933"/>
      <c r="AA401" s="933"/>
      <c r="AB401" s="933"/>
      <c r="AC401" s="933"/>
      <c r="AD401" s="933"/>
      <c r="AE401" s="933"/>
      <c r="AF401" s="933"/>
      <c r="AG401" s="933"/>
    </row>
    <row r="402" spans="1:33" ht="12.75">
      <c r="A402" s="933"/>
      <c r="B402" s="933"/>
      <c r="C402" s="933"/>
      <c r="D402" s="933"/>
      <c r="E402" s="933"/>
      <c r="F402" s="933"/>
      <c r="G402" s="933"/>
      <c r="H402" s="933"/>
      <c r="I402" s="933"/>
      <c r="J402" s="933"/>
      <c r="K402" s="933"/>
      <c r="L402" s="933"/>
      <c r="M402" s="933"/>
      <c r="N402" s="933"/>
      <c r="O402" s="933"/>
      <c r="P402" s="933"/>
      <c r="Q402" s="933"/>
      <c r="R402" s="933"/>
      <c r="S402" s="933"/>
      <c r="T402" s="933"/>
      <c r="V402" s="933"/>
      <c r="W402" s="933"/>
      <c r="X402" s="945"/>
      <c r="Y402" s="933"/>
      <c r="Z402" s="933"/>
      <c r="AA402" s="933"/>
      <c r="AB402" s="933"/>
      <c r="AC402" s="933"/>
      <c r="AD402" s="933"/>
      <c r="AE402" s="933"/>
      <c r="AF402" s="933"/>
      <c r="AG402" s="933"/>
    </row>
    <row r="403" spans="1:33" ht="12.75">
      <c r="A403" s="933"/>
      <c r="B403" s="933"/>
      <c r="C403" s="933"/>
      <c r="D403" s="933"/>
      <c r="E403" s="933"/>
      <c r="F403" s="933"/>
      <c r="G403" s="933"/>
      <c r="H403" s="933"/>
      <c r="I403" s="933"/>
      <c r="J403" s="933"/>
      <c r="K403" s="933"/>
      <c r="L403" s="933"/>
      <c r="M403" s="933"/>
      <c r="N403" s="933"/>
      <c r="O403" s="933"/>
      <c r="P403" s="933"/>
      <c r="Q403" s="933"/>
      <c r="R403" s="933"/>
      <c r="S403" s="933"/>
      <c r="T403" s="933"/>
      <c r="V403" s="933"/>
      <c r="W403" s="933"/>
      <c r="X403" s="945"/>
      <c r="Y403" s="933"/>
      <c r="Z403" s="933"/>
      <c r="AA403" s="933"/>
      <c r="AB403" s="933"/>
      <c r="AC403" s="933"/>
      <c r="AD403" s="933"/>
      <c r="AE403" s="933"/>
      <c r="AF403" s="933"/>
      <c r="AG403" s="933"/>
    </row>
    <row r="404" spans="1:33" ht="12.75">
      <c r="A404" s="933"/>
      <c r="B404" s="933"/>
      <c r="C404" s="933"/>
      <c r="D404" s="933"/>
      <c r="E404" s="933"/>
      <c r="F404" s="933"/>
      <c r="G404" s="933"/>
      <c r="H404" s="933"/>
      <c r="I404" s="933"/>
      <c r="J404" s="933"/>
      <c r="K404" s="933"/>
      <c r="L404" s="933"/>
      <c r="M404" s="933"/>
      <c r="N404" s="933"/>
      <c r="O404" s="933"/>
      <c r="P404" s="933"/>
      <c r="Q404" s="933"/>
      <c r="R404" s="933"/>
      <c r="S404" s="933"/>
      <c r="T404" s="933"/>
      <c r="V404" s="933"/>
      <c r="W404" s="933"/>
      <c r="X404" s="945"/>
      <c r="Y404" s="933"/>
      <c r="Z404" s="933"/>
      <c r="AA404" s="933"/>
      <c r="AB404" s="933"/>
      <c r="AC404" s="933"/>
      <c r="AD404" s="933"/>
      <c r="AE404" s="933"/>
      <c r="AF404" s="933"/>
      <c r="AG404" s="933"/>
    </row>
    <row r="405" spans="1:33" ht="12.75">
      <c r="A405" s="933"/>
      <c r="B405" s="933"/>
      <c r="C405" s="933"/>
      <c r="D405" s="933"/>
      <c r="E405" s="933"/>
      <c r="F405" s="933"/>
      <c r="G405" s="933"/>
      <c r="H405" s="933"/>
      <c r="I405" s="933"/>
      <c r="J405" s="933"/>
      <c r="K405" s="933"/>
      <c r="L405" s="933"/>
      <c r="M405" s="933"/>
      <c r="N405" s="933"/>
      <c r="O405" s="933"/>
      <c r="P405" s="933"/>
      <c r="Q405" s="933"/>
      <c r="R405" s="933"/>
      <c r="S405" s="933"/>
      <c r="T405" s="933"/>
      <c r="V405" s="933"/>
      <c r="W405" s="933"/>
      <c r="X405" s="945"/>
      <c r="Y405" s="933"/>
      <c r="Z405" s="933"/>
      <c r="AA405" s="933"/>
      <c r="AB405" s="933"/>
      <c r="AC405" s="933"/>
      <c r="AD405" s="933"/>
      <c r="AE405" s="933"/>
      <c r="AF405" s="933"/>
      <c r="AG405" s="933"/>
    </row>
    <row r="406" spans="1:33" ht="12.75">
      <c r="A406" s="933"/>
      <c r="B406" s="933"/>
      <c r="C406" s="933"/>
      <c r="D406" s="933"/>
      <c r="E406" s="933"/>
      <c r="F406" s="933"/>
      <c r="G406" s="933"/>
      <c r="H406" s="933"/>
      <c r="I406" s="933"/>
      <c r="J406" s="933"/>
      <c r="K406" s="933"/>
      <c r="L406" s="933"/>
      <c r="M406" s="933"/>
      <c r="N406" s="933"/>
      <c r="O406" s="933"/>
      <c r="P406" s="933"/>
      <c r="Q406" s="933"/>
      <c r="R406" s="933"/>
      <c r="S406" s="933"/>
      <c r="T406" s="933"/>
      <c r="V406" s="933"/>
      <c r="W406" s="933"/>
      <c r="X406" s="945"/>
      <c r="Y406" s="933"/>
      <c r="Z406" s="933"/>
      <c r="AA406" s="933"/>
      <c r="AB406" s="933"/>
      <c r="AC406" s="933"/>
      <c r="AD406" s="933"/>
      <c r="AE406" s="933"/>
      <c r="AF406" s="933"/>
      <c r="AG406" s="933"/>
    </row>
    <row r="407" spans="1:33" ht="12.75">
      <c r="A407" s="933"/>
      <c r="B407" s="933"/>
      <c r="C407" s="933"/>
      <c r="D407" s="933"/>
      <c r="E407" s="933"/>
      <c r="F407" s="933"/>
      <c r="G407" s="933"/>
      <c r="H407" s="933"/>
      <c r="I407" s="933"/>
      <c r="J407" s="933"/>
      <c r="K407" s="933"/>
      <c r="L407" s="933"/>
      <c r="M407" s="933"/>
      <c r="N407" s="933"/>
      <c r="O407" s="933"/>
      <c r="P407" s="933"/>
      <c r="Q407" s="933"/>
      <c r="R407" s="933"/>
      <c r="S407" s="933"/>
      <c r="T407" s="933"/>
      <c r="V407" s="933"/>
      <c r="W407" s="933"/>
      <c r="X407" s="945"/>
      <c r="Y407" s="933"/>
      <c r="Z407" s="933"/>
      <c r="AA407" s="933"/>
      <c r="AB407" s="933"/>
      <c r="AC407" s="933"/>
      <c r="AD407" s="933"/>
      <c r="AE407" s="933"/>
      <c r="AF407" s="933"/>
      <c r="AG407" s="933"/>
    </row>
    <row r="408" spans="1:33" ht="12.75">
      <c r="A408" s="933"/>
      <c r="B408" s="933"/>
      <c r="C408" s="933"/>
      <c r="D408" s="933"/>
      <c r="E408" s="933"/>
      <c r="F408" s="933"/>
      <c r="G408" s="933"/>
      <c r="H408" s="933"/>
      <c r="I408" s="933"/>
      <c r="J408" s="933"/>
      <c r="K408" s="933"/>
      <c r="L408" s="933"/>
      <c r="M408" s="933"/>
      <c r="N408" s="933"/>
      <c r="O408" s="933"/>
      <c r="P408" s="933"/>
      <c r="Q408" s="933"/>
      <c r="R408" s="933"/>
      <c r="S408" s="933"/>
      <c r="T408" s="933"/>
      <c r="V408" s="933"/>
      <c r="W408" s="933"/>
      <c r="X408" s="945"/>
      <c r="Y408" s="933"/>
      <c r="Z408" s="933"/>
      <c r="AA408" s="933"/>
      <c r="AB408" s="933"/>
      <c r="AC408" s="933"/>
      <c r="AD408" s="933"/>
      <c r="AE408" s="933"/>
      <c r="AF408" s="933"/>
      <c r="AG408" s="933"/>
    </row>
    <row r="409" spans="1:33" ht="12.75">
      <c r="A409" s="933"/>
      <c r="B409" s="933"/>
      <c r="C409" s="933"/>
      <c r="D409" s="933"/>
      <c r="E409" s="933"/>
      <c r="F409" s="933"/>
      <c r="G409" s="933"/>
      <c r="H409" s="933"/>
      <c r="I409" s="933"/>
      <c r="J409" s="933"/>
      <c r="K409" s="933"/>
      <c r="L409" s="933"/>
      <c r="M409" s="933"/>
      <c r="N409" s="933"/>
      <c r="O409" s="933"/>
      <c r="P409" s="933"/>
      <c r="Q409" s="933"/>
      <c r="R409" s="933"/>
      <c r="S409" s="933"/>
      <c r="T409" s="933"/>
      <c r="V409" s="933"/>
      <c r="W409" s="933"/>
      <c r="X409" s="945"/>
      <c r="Y409" s="933"/>
      <c r="Z409" s="933"/>
      <c r="AA409" s="933"/>
      <c r="AB409" s="933"/>
      <c r="AC409" s="933"/>
      <c r="AD409" s="933"/>
      <c r="AE409" s="933"/>
      <c r="AF409" s="933"/>
      <c r="AG409" s="933"/>
    </row>
    <row r="410" spans="1:33" ht="12.75">
      <c r="A410" s="933"/>
      <c r="B410" s="933"/>
      <c r="C410" s="933"/>
      <c r="D410" s="933"/>
      <c r="E410" s="933"/>
      <c r="F410" s="933"/>
      <c r="G410" s="933"/>
      <c r="H410" s="933"/>
      <c r="I410" s="933"/>
      <c r="J410" s="933"/>
      <c r="K410" s="933"/>
      <c r="L410" s="933"/>
      <c r="M410" s="933"/>
      <c r="N410" s="933"/>
      <c r="O410" s="933"/>
      <c r="P410" s="933"/>
      <c r="Q410" s="933"/>
      <c r="R410" s="933"/>
      <c r="S410" s="933"/>
      <c r="T410" s="933"/>
      <c r="V410" s="933"/>
      <c r="W410" s="933"/>
      <c r="X410" s="945"/>
      <c r="Y410" s="933"/>
      <c r="Z410" s="933"/>
      <c r="AA410" s="933"/>
      <c r="AB410" s="933"/>
      <c r="AC410" s="933"/>
      <c r="AD410" s="933"/>
      <c r="AE410" s="933"/>
      <c r="AF410" s="933"/>
      <c r="AG410" s="933"/>
    </row>
    <row r="411" spans="1:33" ht="12.75">
      <c r="A411" s="933"/>
      <c r="B411" s="933"/>
      <c r="C411" s="933"/>
      <c r="D411" s="933"/>
      <c r="E411" s="933"/>
      <c r="F411" s="933"/>
      <c r="G411" s="933"/>
      <c r="H411" s="933"/>
      <c r="I411" s="933"/>
      <c r="J411" s="933"/>
      <c r="K411" s="933"/>
      <c r="L411" s="933"/>
      <c r="M411" s="933"/>
      <c r="N411" s="933"/>
      <c r="O411" s="933"/>
      <c r="P411" s="933"/>
      <c r="Q411" s="933"/>
      <c r="R411" s="933"/>
      <c r="S411" s="933"/>
      <c r="T411" s="933"/>
      <c r="V411" s="933"/>
      <c r="W411" s="933"/>
      <c r="X411" s="945"/>
      <c r="Y411" s="933"/>
      <c r="Z411" s="933"/>
      <c r="AA411" s="933"/>
      <c r="AB411" s="933"/>
      <c r="AC411" s="933"/>
      <c r="AD411" s="933"/>
      <c r="AE411" s="933"/>
      <c r="AF411" s="933"/>
      <c r="AG411" s="933"/>
    </row>
    <row r="412" spans="1:33" ht="12.75">
      <c r="A412" s="933"/>
      <c r="B412" s="933"/>
      <c r="C412" s="933"/>
      <c r="D412" s="933"/>
      <c r="E412" s="933"/>
      <c r="F412" s="933"/>
      <c r="G412" s="933"/>
      <c r="H412" s="933"/>
      <c r="I412" s="933"/>
      <c r="J412" s="933"/>
      <c r="K412" s="933"/>
      <c r="L412" s="933"/>
      <c r="M412" s="933"/>
      <c r="N412" s="933"/>
      <c r="O412" s="933"/>
      <c r="P412" s="933"/>
      <c r="Q412" s="933"/>
      <c r="R412" s="933"/>
      <c r="S412" s="933"/>
      <c r="T412" s="933"/>
      <c r="V412" s="933"/>
      <c r="W412" s="933"/>
      <c r="X412" s="945"/>
      <c r="Y412" s="933"/>
      <c r="Z412" s="933"/>
      <c r="AA412" s="933"/>
      <c r="AB412" s="933"/>
      <c r="AC412" s="933"/>
      <c r="AD412" s="933"/>
      <c r="AE412" s="933"/>
      <c r="AF412" s="933"/>
      <c r="AG412" s="933"/>
    </row>
    <row r="413" spans="1:33" ht="12.75">
      <c r="A413" s="933"/>
      <c r="B413" s="933"/>
      <c r="C413" s="933"/>
      <c r="D413" s="933"/>
      <c r="E413" s="933"/>
      <c r="F413" s="933"/>
      <c r="G413" s="933"/>
      <c r="H413" s="933"/>
      <c r="I413" s="933"/>
      <c r="J413" s="933"/>
      <c r="K413" s="933"/>
      <c r="L413" s="933"/>
      <c r="M413" s="933"/>
      <c r="N413" s="933"/>
      <c r="O413" s="933"/>
      <c r="P413" s="933"/>
      <c r="Q413" s="933"/>
      <c r="R413" s="933"/>
      <c r="S413" s="933"/>
      <c r="T413" s="933"/>
      <c r="V413" s="933"/>
      <c r="W413" s="933"/>
      <c r="X413" s="945"/>
      <c r="Y413" s="933"/>
      <c r="Z413" s="933"/>
      <c r="AA413" s="933"/>
      <c r="AB413" s="933"/>
      <c r="AC413" s="933"/>
      <c r="AD413" s="933"/>
      <c r="AE413" s="933"/>
      <c r="AF413" s="933"/>
      <c r="AG413" s="933"/>
    </row>
    <row r="414" spans="1:33" ht="12.75">
      <c r="A414" s="933"/>
      <c r="B414" s="933"/>
      <c r="C414" s="933"/>
      <c r="D414" s="933"/>
      <c r="E414" s="933"/>
      <c r="F414" s="933"/>
      <c r="G414" s="933"/>
      <c r="H414" s="933"/>
      <c r="I414" s="933"/>
      <c r="J414" s="933"/>
      <c r="K414" s="933"/>
      <c r="L414" s="933"/>
      <c r="M414" s="933"/>
      <c r="N414" s="933"/>
      <c r="O414" s="933"/>
      <c r="P414" s="933"/>
      <c r="Q414" s="933"/>
      <c r="R414" s="933"/>
      <c r="S414" s="933"/>
      <c r="T414" s="933"/>
      <c r="V414" s="933"/>
      <c r="W414" s="933"/>
      <c r="X414" s="945"/>
      <c r="Y414" s="933"/>
      <c r="Z414" s="933"/>
      <c r="AA414" s="933"/>
      <c r="AB414" s="933"/>
      <c r="AC414" s="933"/>
      <c r="AD414" s="933"/>
      <c r="AE414" s="933"/>
      <c r="AF414" s="933"/>
      <c r="AG414" s="933"/>
    </row>
    <row r="415" spans="1:33" ht="12.75">
      <c r="A415" s="933"/>
      <c r="B415" s="933"/>
      <c r="C415" s="933"/>
      <c r="D415" s="933"/>
      <c r="E415" s="933"/>
      <c r="F415" s="933"/>
      <c r="G415" s="933"/>
      <c r="H415" s="933"/>
      <c r="I415" s="933"/>
      <c r="J415" s="933"/>
      <c r="K415" s="933"/>
      <c r="L415" s="933"/>
      <c r="M415" s="933"/>
      <c r="N415" s="933"/>
      <c r="O415" s="933"/>
      <c r="P415" s="933"/>
      <c r="Q415" s="933"/>
      <c r="R415" s="933"/>
      <c r="S415" s="933"/>
      <c r="T415" s="933"/>
      <c r="V415" s="933"/>
      <c r="W415" s="933"/>
      <c r="X415" s="945"/>
      <c r="Y415" s="933"/>
      <c r="Z415" s="933"/>
      <c r="AA415" s="933"/>
      <c r="AB415" s="933"/>
      <c r="AC415" s="933"/>
      <c r="AD415" s="933"/>
      <c r="AE415" s="933"/>
      <c r="AF415" s="933"/>
      <c r="AG415" s="933"/>
    </row>
    <row r="416" spans="1:33" ht="12.75">
      <c r="A416" s="933"/>
      <c r="B416" s="933"/>
      <c r="C416" s="933"/>
      <c r="D416" s="933"/>
      <c r="E416" s="933"/>
      <c r="F416" s="933"/>
      <c r="G416" s="933"/>
      <c r="H416" s="933"/>
      <c r="I416" s="933"/>
      <c r="J416" s="933"/>
      <c r="K416" s="933"/>
      <c r="L416" s="933"/>
      <c r="M416" s="933"/>
      <c r="N416" s="933"/>
      <c r="O416" s="933"/>
      <c r="P416" s="933"/>
      <c r="Q416" s="933"/>
      <c r="R416" s="933"/>
      <c r="S416" s="933"/>
      <c r="T416" s="933"/>
      <c r="V416" s="933"/>
      <c r="W416" s="933"/>
      <c r="X416" s="945"/>
      <c r="Y416" s="933"/>
      <c r="Z416" s="933"/>
      <c r="AA416" s="933"/>
      <c r="AB416" s="933"/>
      <c r="AC416" s="933"/>
      <c r="AD416" s="933"/>
      <c r="AE416" s="933"/>
      <c r="AF416" s="933"/>
      <c r="AG416" s="933"/>
    </row>
    <row r="417" spans="1:33" ht="12.75">
      <c r="A417" s="933"/>
      <c r="B417" s="933"/>
      <c r="C417" s="933"/>
      <c r="D417" s="933"/>
      <c r="E417" s="933"/>
      <c r="F417" s="933"/>
      <c r="G417" s="933"/>
      <c r="H417" s="933"/>
      <c r="I417" s="933"/>
      <c r="J417" s="933"/>
      <c r="K417" s="933"/>
      <c r="L417" s="933"/>
      <c r="M417" s="933"/>
      <c r="N417" s="933"/>
      <c r="O417" s="933"/>
      <c r="P417" s="933"/>
      <c r="Q417" s="933"/>
      <c r="R417" s="933"/>
      <c r="S417" s="933"/>
      <c r="T417" s="933"/>
      <c r="V417" s="933"/>
      <c r="W417" s="933"/>
      <c r="X417" s="945"/>
      <c r="Y417" s="933"/>
      <c r="Z417" s="933"/>
      <c r="AA417" s="933"/>
      <c r="AB417" s="933"/>
      <c r="AC417" s="933"/>
      <c r="AD417" s="933"/>
      <c r="AE417" s="933"/>
      <c r="AF417" s="933"/>
      <c r="AG417" s="933"/>
    </row>
    <row r="418" spans="1:33" ht="12.75">
      <c r="A418" s="933"/>
      <c r="B418" s="933"/>
      <c r="C418" s="933"/>
      <c r="D418" s="933"/>
      <c r="E418" s="933"/>
      <c r="F418" s="933"/>
      <c r="G418" s="933"/>
      <c r="H418" s="933"/>
      <c r="I418" s="933"/>
      <c r="J418" s="933"/>
      <c r="K418" s="933"/>
      <c r="L418" s="933"/>
      <c r="M418" s="933"/>
      <c r="N418" s="933"/>
      <c r="O418" s="933"/>
      <c r="P418" s="933"/>
      <c r="Q418" s="933"/>
      <c r="R418" s="933"/>
      <c r="S418" s="933"/>
      <c r="T418" s="933"/>
      <c r="V418" s="933"/>
      <c r="W418" s="933"/>
      <c r="X418" s="945"/>
      <c r="Y418" s="933"/>
      <c r="Z418" s="933"/>
      <c r="AA418" s="933"/>
      <c r="AB418" s="933"/>
      <c r="AC418" s="933"/>
      <c r="AD418" s="933"/>
      <c r="AE418" s="933"/>
      <c r="AF418" s="933"/>
      <c r="AG418" s="933"/>
    </row>
    <row r="419" spans="1:33" ht="12.75">
      <c r="A419" s="933"/>
      <c r="B419" s="933"/>
      <c r="C419" s="933"/>
      <c r="D419" s="933"/>
      <c r="E419" s="933"/>
      <c r="F419" s="933"/>
      <c r="G419" s="933"/>
      <c r="H419" s="933"/>
      <c r="I419" s="933"/>
      <c r="J419" s="933"/>
      <c r="K419" s="933"/>
      <c r="L419" s="933"/>
      <c r="M419" s="933"/>
      <c r="N419" s="933"/>
      <c r="O419" s="933"/>
      <c r="P419" s="933"/>
      <c r="Q419" s="933"/>
      <c r="R419" s="933"/>
      <c r="S419" s="933"/>
      <c r="T419" s="933"/>
      <c r="V419" s="933"/>
      <c r="W419" s="933"/>
      <c r="X419" s="945"/>
      <c r="Y419" s="933"/>
      <c r="Z419" s="933"/>
      <c r="AA419" s="933"/>
      <c r="AB419" s="933"/>
      <c r="AC419" s="933"/>
      <c r="AD419" s="933"/>
      <c r="AE419" s="933"/>
      <c r="AF419" s="933"/>
      <c r="AG419" s="933"/>
    </row>
    <row r="420" spans="1:33" ht="12.75">
      <c r="A420" s="933"/>
      <c r="B420" s="933"/>
      <c r="C420" s="933"/>
      <c r="D420" s="933"/>
      <c r="E420" s="933"/>
      <c r="F420" s="933"/>
      <c r="G420" s="933"/>
      <c r="H420" s="933"/>
      <c r="I420" s="933"/>
      <c r="J420" s="933"/>
      <c r="K420" s="933"/>
      <c r="L420" s="933"/>
      <c r="M420" s="933"/>
      <c r="N420" s="933"/>
      <c r="O420" s="933"/>
      <c r="P420" s="933"/>
      <c r="Q420" s="933"/>
      <c r="R420" s="933"/>
      <c r="S420" s="933"/>
      <c r="T420" s="933"/>
      <c r="V420" s="933"/>
      <c r="W420" s="933"/>
      <c r="X420" s="945"/>
      <c r="Y420" s="933"/>
      <c r="Z420" s="933"/>
      <c r="AA420" s="933"/>
      <c r="AB420" s="933"/>
      <c r="AC420" s="933"/>
      <c r="AD420" s="933"/>
      <c r="AE420" s="933"/>
      <c r="AF420" s="933"/>
      <c r="AG420" s="933"/>
    </row>
    <row r="421" spans="1:33" ht="12.75">
      <c r="A421" s="933"/>
      <c r="B421" s="933"/>
      <c r="C421" s="933"/>
      <c r="D421" s="933"/>
      <c r="E421" s="933"/>
      <c r="F421" s="933"/>
      <c r="G421" s="933"/>
      <c r="H421" s="933"/>
      <c r="I421" s="933"/>
      <c r="J421" s="933"/>
      <c r="K421" s="933"/>
      <c r="L421" s="933"/>
      <c r="M421" s="933"/>
      <c r="N421" s="933"/>
      <c r="O421" s="933"/>
      <c r="P421" s="933"/>
      <c r="Q421" s="933"/>
      <c r="R421" s="933"/>
      <c r="S421" s="933"/>
      <c r="T421" s="933"/>
      <c r="V421" s="933"/>
      <c r="W421" s="933"/>
      <c r="X421" s="945"/>
      <c r="Y421" s="933"/>
      <c r="Z421" s="933"/>
      <c r="AA421" s="933"/>
      <c r="AB421" s="933"/>
      <c r="AC421" s="933"/>
      <c r="AD421" s="933"/>
      <c r="AE421" s="933"/>
      <c r="AF421" s="933"/>
      <c r="AG421" s="933"/>
    </row>
    <row r="422" spans="1:33" ht="12.75">
      <c r="A422" s="933"/>
      <c r="B422" s="933"/>
      <c r="C422" s="933"/>
      <c r="D422" s="933"/>
      <c r="E422" s="933"/>
      <c r="F422" s="933"/>
      <c r="G422" s="933"/>
      <c r="H422" s="933"/>
      <c r="I422" s="933"/>
      <c r="J422" s="933"/>
      <c r="K422" s="933"/>
      <c r="L422" s="933"/>
      <c r="M422" s="933"/>
      <c r="N422" s="933"/>
      <c r="O422" s="933"/>
      <c r="P422" s="933"/>
      <c r="Q422" s="933"/>
      <c r="R422" s="933"/>
      <c r="S422" s="933"/>
      <c r="T422" s="933"/>
      <c r="V422" s="933"/>
      <c r="W422" s="933"/>
      <c r="X422" s="945"/>
      <c r="Y422" s="933"/>
      <c r="Z422" s="933"/>
      <c r="AA422" s="933"/>
      <c r="AB422" s="933"/>
      <c r="AC422" s="933"/>
      <c r="AD422" s="933"/>
      <c r="AE422" s="933"/>
      <c r="AF422" s="933"/>
      <c r="AG422" s="933"/>
    </row>
    <row r="423" spans="1:33" ht="12.75">
      <c r="A423" s="933"/>
      <c r="B423" s="933"/>
      <c r="C423" s="933"/>
      <c r="D423" s="933"/>
      <c r="E423" s="933"/>
      <c r="F423" s="933"/>
      <c r="G423" s="933"/>
      <c r="H423" s="933"/>
      <c r="I423" s="933"/>
      <c r="J423" s="933"/>
      <c r="K423" s="933"/>
      <c r="L423" s="933"/>
      <c r="M423" s="933"/>
      <c r="N423" s="933"/>
      <c r="O423" s="933"/>
      <c r="P423" s="933"/>
      <c r="Q423" s="933"/>
      <c r="R423" s="933"/>
      <c r="S423" s="933"/>
      <c r="T423" s="933"/>
      <c r="V423" s="933"/>
      <c r="W423" s="933"/>
      <c r="X423" s="945"/>
      <c r="Y423" s="933"/>
      <c r="Z423" s="933"/>
      <c r="AA423" s="933"/>
      <c r="AB423" s="933"/>
      <c r="AC423" s="933"/>
      <c r="AD423" s="933"/>
      <c r="AE423" s="933"/>
      <c r="AF423" s="933"/>
      <c r="AG423" s="933"/>
    </row>
    <row r="424" spans="1:33" ht="12.75">
      <c r="A424" s="933"/>
      <c r="B424" s="933"/>
      <c r="C424" s="933"/>
      <c r="D424" s="933"/>
      <c r="E424" s="933"/>
      <c r="F424" s="933"/>
      <c r="G424" s="933"/>
      <c r="H424" s="933"/>
      <c r="I424" s="933"/>
      <c r="J424" s="933"/>
      <c r="K424" s="933"/>
      <c r="L424" s="933"/>
      <c r="M424" s="933"/>
      <c r="N424" s="933"/>
      <c r="O424" s="933"/>
      <c r="P424" s="933"/>
      <c r="Q424" s="933"/>
      <c r="R424" s="933"/>
      <c r="S424" s="933"/>
      <c r="T424" s="933"/>
      <c r="V424" s="933"/>
      <c r="W424" s="933"/>
      <c r="X424" s="945"/>
      <c r="Y424" s="933"/>
      <c r="Z424" s="933"/>
      <c r="AA424" s="933"/>
      <c r="AB424" s="933"/>
      <c r="AC424" s="933"/>
      <c r="AD424" s="933"/>
      <c r="AE424" s="933"/>
      <c r="AF424" s="933"/>
      <c r="AG424" s="933"/>
    </row>
    <row r="425" spans="1:33" ht="12.75">
      <c r="A425" s="933"/>
      <c r="B425" s="933"/>
      <c r="C425" s="933"/>
      <c r="D425" s="933"/>
      <c r="E425" s="933"/>
      <c r="F425" s="933"/>
      <c r="G425" s="933"/>
      <c r="H425" s="933"/>
      <c r="I425" s="933"/>
      <c r="J425" s="933"/>
      <c r="K425" s="933"/>
      <c r="L425" s="933"/>
      <c r="M425" s="933"/>
      <c r="N425" s="933"/>
      <c r="O425" s="933"/>
      <c r="P425" s="933"/>
      <c r="Q425" s="933"/>
      <c r="R425" s="933"/>
      <c r="S425" s="933"/>
      <c r="T425" s="933"/>
      <c r="V425" s="933"/>
      <c r="W425" s="933"/>
      <c r="X425" s="945"/>
      <c r="Y425" s="933"/>
      <c r="Z425" s="933"/>
      <c r="AA425" s="933"/>
      <c r="AB425" s="933"/>
      <c r="AC425" s="933"/>
      <c r="AD425" s="933"/>
      <c r="AE425" s="933"/>
      <c r="AF425" s="933"/>
      <c r="AG425" s="933"/>
    </row>
    <row r="426" spans="1:33" ht="12.75">
      <c r="A426" s="933"/>
      <c r="B426" s="933"/>
      <c r="C426" s="933"/>
      <c r="D426" s="933"/>
      <c r="E426" s="933"/>
      <c r="F426" s="933"/>
      <c r="G426" s="933"/>
      <c r="H426" s="933"/>
      <c r="I426" s="933"/>
      <c r="J426" s="933"/>
      <c r="K426" s="933"/>
      <c r="L426" s="933"/>
      <c r="M426" s="933"/>
      <c r="N426" s="933"/>
      <c r="O426" s="933"/>
      <c r="P426" s="933"/>
      <c r="Q426" s="933"/>
      <c r="R426" s="933"/>
      <c r="S426" s="933"/>
      <c r="T426" s="933"/>
      <c r="V426" s="933"/>
      <c r="W426" s="933"/>
      <c r="X426" s="945"/>
      <c r="Y426" s="933"/>
      <c r="Z426" s="933"/>
      <c r="AA426" s="933"/>
      <c r="AB426" s="933"/>
      <c r="AC426" s="933"/>
      <c r="AD426" s="933"/>
      <c r="AE426" s="933"/>
      <c r="AF426" s="933"/>
      <c r="AG426" s="933"/>
    </row>
    <row r="427" spans="1:33" ht="12.75">
      <c r="A427" s="933"/>
      <c r="B427" s="933"/>
      <c r="C427" s="933"/>
      <c r="D427" s="933"/>
      <c r="E427" s="933"/>
      <c r="F427" s="933"/>
      <c r="G427" s="933"/>
      <c r="H427" s="933"/>
      <c r="I427" s="933"/>
      <c r="J427" s="933"/>
      <c r="K427" s="933"/>
      <c r="L427" s="933"/>
      <c r="M427" s="933"/>
      <c r="N427" s="933"/>
      <c r="O427" s="933"/>
      <c r="P427" s="933"/>
      <c r="Q427" s="933"/>
      <c r="R427" s="933"/>
      <c r="S427" s="933"/>
      <c r="T427" s="933"/>
      <c r="V427" s="933"/>
      <c r="W427" s="933"/>
      <c r="X427" s="945"/>
      <c r="Y427" s="933"/>
      <c r="Z427" s="933"/>
      <c r="AA427" s="933"/>
      <c r="AB427" s="933"/>
      <c r="AC427" s="933"/>
      <c r="AD427" s="933"/>
      <c r="AE427" s="933"/>
      <c r="AF427" s="933"/>
      <c r="AG427" s="933"/>
    </row>
    <row r="428" spans="1:33" ht="12.75">
      <c r="A428" s="933"/>
      <c r="B428" s="933"/>
      <c r="C428" s="933"/>
      <c r="D428" s="933"/>
      <c r="E428" s="933"/>
      <c r="F428" s="933"/>
      <c r="G428" s="933"/>
      <c r="H428" s="933"/>
      <c r="I428" s="933"/>
      <c r="J428" s="933"/>
      <c r="K428" s="933"/>
      <c r="L428" s="933"/>
      <c r="M428" s="933"/>
      <c r="N428" s="933"/>
      <c r="O428" s="933"/>
      <c r="P428" s="933"/>
      <c r="Q428" s="933"/>
      <c r="R428" s="933"/>
      <c r="S428" s="933"/>
      <c r="T428" s="933"/>
      <c r="V428" s="933"/>
      <c r="W428" s="933"/>
      <c r="X428" s="945"/>
      <c r="Y428" s="933"/>
      <c r="Z428" s="933"/>
      <c r="AA428" s="933"/>
      <c r="AB428" s="933"/>
      <c r="AC428" s="933"/>
      <c r="AD428" s="933"/>
      <c r="AE428" s="933"/>
      <c r="AF428" s="933"/>
      <c r="AG428" s="933"/>
    </row>
    <row r="429" spans="1:33" ht="12.75">
      <c r="A429" s="933"/>
      <c r="B429" s="933"/>
      <c r="C429" s="933"/>
      <c r="D429" s="933"/>
      <c r="E429" s="933"/>
      <c r="F429" s="933"/>
      <c r="G429" s="933"/>
      <c r="H429" s="933"/>
      <c r="I429" s="933"/>
      <c r="J429" s="933"/>
      <c r="K429" s="933"/>
      <c r="L429" s="933"/>
      <c r="M429" s="933"/>
      <c r="N429" s="933"/>
      <c r="O429" s="933"/>
      <c r="P429" s="933"/>
      <c r="Q429" s="933"/>
      <c r="R429" s="933"/>
      <c r="S429" s="933"/>
      <c r="T429" s="933"/>
      <c r="V429" s="933"/>
      <c r="W429" s="933"/>
      <c r="X429" s="945"/>
      <c r="Y429" s="933"/>
      <c r="Z429" s="933"/>
      <c r="AA429" s="933"/>
      <c r="AB429" s="933"/>
      <c r="AC429" s="933"/>
      <c r="AD429" s="933"/>
      <c r="AE429" s="933"/>
      <c r="AF429" s="933"/>
      <c r="AG429" s="933"/>
    </row>
    <row r="430" spans="1:33" ht="12.75">
      <c r="A430" s="933"/>
      <c r="B430" s="933"/>
      <c r="C430" s="933"/>
      <c r="D430" s="933"/>
      <c r="E430" s="933"/>
      <c r="F430" s="933"/>
      <c r="G430" s="933"/>
      <c r="H430" s="933"/>
      <c r="I430" s="933"/>
      <c r="J430" s="933"/>
      <c r="K430" s="933"/>
      <c r="L430" s="933"/>
      <c r="M430" s="933"/>
      <c r="N430" s="933"/>
      <c r="O430" s="933"/>
      <c r="P430" s="933"/>
      <c r="Q430" s="933"/>
      <c r="R430" s="933"/>
      <c r="S430" s="933"/>
      <c r="T430" s="933"/>
      <c r="V430" s="933"/>
      <c r="W430" s="933"/>
      <c r="X430" s="945"/>
      <c r="Y430" s="933"/>
      <c r="Z430" s="933"/>
      <c r="AA430" s="933"/>
      <c r="AB430" s="933"/>
      <c r="AC430" s="933"/>
      <c r="AD430" s="933"/>
      <c r="AE430" s="933"/>
      <c r="AF430" s="933"/>
      <c r="AG430" s="933"/>
    </row>
    <row r="431" spans="1:33" ht="12.75">
      <c r="A431" s="933"/>
      <c r="B431" s="933"/>
      <c r="C431" s="933"/>
      <c r="D431" s="933"/>
      <c r="E431" s="933"/>
      <c r="F431" s="933"/>
      <c r="G431" s="933"/>
      <c r="H431" s="933"/>
      <c r="I431" s="933"/>
      <c r="J431" s="933"/>
      <c r="K431" s="933"/>
      <c r="L431" s="933"/>
      <c r="M431" s="933"/>
      <c r="N431" s="933"/>
      <c r="O431" s="933"/>
      <c r="P431" s="933"/>
      <c r="Q431" s="933"/>
      <c r="R431" s="933"/>
      <c r="S431" s="933"/>
      <c r="T431" s="933"/>
      <c r="V431" s="933"/>
      <c r="W431" s="933"/>
      <c r="X431" s="945"/>
      <c r="Y431" s="933"/>
      <c r="Z431" s="933"/>
      <c r="AA431" s="933"/>
      <c r="AB431" s="933"/>
      <c r="AC431" s="933"/>
      <c r="AD431" s="933"/>
      <c r="AE431" s="933"/>
      <c r="AF431" s="933"/>
      <c r="AG431" s="933"/>
    </row>
    <row r="432" spans="1:33" ht="12.75">
      <c r="A432" s="933"/>
      <c r="B432" s="933"/>
      <c r="C432" s="933"/>
      <c r="D432" s="933"/>
      <c r="E432" s="933"/>
      <c r="F432" s="933"/>
      <c r="G432" s="933"/>
      <c r="H432" s="933"/>
      <c r="I432" s="933"/>
      <c r="J432" s="933"/>
      <c r="K432" s="933"/>
      <c r="L432" s="933"/>
      <c r="M432" s="933"/>
      <c r="N432" s="933"/>
      <c r="O432" s="933"/>
      <c r="P432" s="933"/>
      <c r="Q432" s="933"/>
      <c r="R432" s="933"/>
      <c r="S432" s="933"/>
      <c r="T432" s="933"/>
      <c r="V432" s="933"/>
      <c r="W432" s="933"/>
      <c r="X432" s="945"/>
      <c r="Y432" s="933"/>
      <c r="Z432" s="933"/>
      <c r="AA432" s="933"/>
      <c r="AB432" s="933"/>
      <c r="AC432" s="933"/>
      <c r="AD432" s="933"/>
      <c r="AE432" s="933"/>
      <c r="AF432" s="933"/>
      <c r="AG432" s="933"/>
    </row>
    <row r="433" spans="1:33" ht="12.75">
      <c r="A433" s="933"/>
      <c r="B433" s="933"/>
      <c r="C433" s="933"/>
      <c r="D433" s="933"/>
      <c r="E433" s="933"/>
      <c r="F433" s="933"/>
      <c r="G433" s="933"/>
      <c r="H433" s="933"/>
      <c r="I433" s="933"/>
      <c r="J433" s="933"/>
      <c r="K433" s="933"/>
      <c r="L433" s="933"/>
      <c r="M433" s="933"/>
      <c r="N433" s="933"/>
      <c r="O433" s="933"/>
      <c r="P433" s="933"/>
      <c r="Q433" s="933"/>
      <c r="R433" s="933"/>
      <c r="S433" s="933"/>
      <c r="T433" s="933"/>
      <c r="V433" s="933"/>
      <c r="W433" s="933"/>
      <c r="X433" s="945"/>
      <c r="Y433" s="933"/>
      <c r="Z433" s="933"/>
      <c r="AA433" s="933"/>
      <c r="AB433" s="933"/>
      <c r="AC433" s="933"/>
      <c r="AD433" s="933"/>
      <c r="AE433" s="933"/>
      <c r="AF433" s="933"/>
      <c r="AG433" s="933"/>
    </row>
    <row r="434" spans="1:33" ht="12.75">
      <c r="A434" s="933"/>
      <c r="B434" s="933"/>
      <c r="C434" s="933"/>
      <c r="D434" s="933"/>
      <c r="E434" s="933"/>
      <c r="F434" s="933"/>
      <c r="G434" s="933"/>
      <c r="H434" s="933"/>
      <c r="I434" s="933"/>
      <c r="J434" s="933"/>
      <c r="K434" s="933"/>
      <c r="L434" s="933"/>
      <c r="M434" s="933"/>
      <c r="N434" s="933"/>
      <c r="O434" s="933"/>
      <c r="P434" s="933"/>
      <c r="Q434" s="933"/>
      <c r="R434" s="933"/>
      <c r="S434" s="933"/>
      <c r="T434" s="933"/>
      <c r="V434" s="933"/>
      <c r="W434" s="933"/>
      <c r="X434" s="945"/>
      <c r="Y434" s="933"/>
      <c r="Z434" s="933"/>
      <c r="AA434" s="933"/>
      <c r="AB434" s="933"/>
      <c r="AC434" s="933"/>
      <c r="AD434" s="933"/>
      <c r="AE434" s="933"/>
      <c r="AF434" s="933"/>
      <c r="AG434" s="933"/>
    </row>
    <row r="435" spans="1:33" ht="12.75">
      <c r="A435" s="933"/>
      <c r="B435" s="933"/>
      <c r="C435" s="933"/>
      <c r="D435" s="933"/>
      <c r="E435" s="933"/>
      <c r="F435" s="933"/>
      <c r="G435" s="933"/>
      <c r="H435" s="933"/>
      <c r="I435" s="933"/>
      <c r="J435" s="933"/>
      <c r="K435" s="933"/>
      <c r="L435" s="933"/>
      <c r="M435" s="933"/>
      <c r="N435" s="933"/>
      <c r="O435" s="933"/>
      <c r="P435" s="933"/>
      <c r="Q435" s="933"/>
      <c r="R435" s="933"/>
      <c r="S435" s="933"/>
      <c r="T435" s="933"/>
      <c r="V435" s="933"/>
      <c r="W435" s="933"/>
      <c r="X435" s="945"/>
      <c r="Y435" s="933"/>
      <c r="Z435" s="933"/>
      <c r="AA435" s="933"/>
      <c r="AB435" s="933"/>
      <c r="AC435" s="933"/>
      <c r="AD435" s="933"/>
      <c r="AE435" s="933"/>
      <c r="AF435" s="933"/>
      <c r="AG435" s="933"/>
    </row>
    <row r="436" spans="1:33" ht="12.75">
      <c r="A436" s="933"/>
      <c r="B436" s="933"/>
      <c r="C436" s="933"/>
      <c r="D436" s="933"/>
      <c r="E436" s="933"/>
      <c r="F436" s="933"/>
      <c r="G436" s="933"/>
      <c r="H436" s="933"/>
      <c r="I436" s="933"/>
      <c r="J436" s="933"/>
      <c r="K436" s="933"/>
      <c r="L436" s="933"/>
      <c r="M436" s="933"/>
      <c r="N436" s="933"/>
      <c r="O436" s="933"/>
      <c r="P436" s="933"/>
      <c r="Q436" s="933"/>
      <c r="R436" s="933"/>
      <c r="S436" s="933"/>
      <c r="T436" s="933"/>
      <c r="V436" s="933"/>
      <c r="W436" s="933"/>
      <c r="X436" s="945"/>
      <c r="Y436" s="933"/>
      <c r="Z436" s="933"/>
      <c r="AA436" s="933"/>
      <c r="AB436" s="933"/>
      <c r="AC436" s="933"/>
      <c r="AD436" s="933"/>
      <c r="AE436" s="933"/>
      <c r="AF436" s="933"/>
      <c r="AG436" s="933"/>
    </row>
    <row r="437" spans="1:33" ht="12.75">
      <c r="A437" s="933"/>
      <c r="B437" s="933"/>
      <c r="C437" s="933"/>
      <c r="D437" s="933"/>
      <c r="E437" s="933"/>
      <c r="F437" s="933"/>
      <c r="G437" s="933"/>
      <c r="H437" s="933"/>
      <c r="I437" s="933"/>
      <c r="J437" s="933"/>
      <c r="K437" s="933"/>
      <c r="L437" s="933"/>
      <c r="M437" s="933"/>
      <c r="N437" s="933"/>
      <c r="O437" s="933"/>
      <c r="P437" s="933"/>
      <c r="Q437" s="933"/>
      <c r="R437" s="933"/>
      <c r="S437" s="933"/>
      <c r="T437" s="933"/>
      <c r="V437" s="933"/>
      <c r="W437" s="933"/>
      <c r="X437" s="945"/>
      <c r="Y437" s="933"/>
      <c r="Z437" s="933"/>
      <c r="AA437" s="933"/>
      <c r="AB437" s="933"/>
      <c r="AC437" s="933"/>
      <c r="AD437" s="933"/>
      <c r="AE437" s="933"/>
      <c r="AF437" s="933"/>
      <c r="AG437" s="933"/>
    </row>
    <row r="438" spans="1:33" ht="12.75">
      <c r="A438" s="933"/>
      <c r="B438" s="933"/>
      <c r="C438" s="933"/>
      <c r="D438" s="933"/>
      <c r="E438" s="933"/>
      <c r="F438" s="933"/>
      <c r="G438" s="933"/>
      <c r="H438" s="933"/>
      <c r="I438" s="933"/>
      <c r="J438" s="933"/>
      <c r="K438" s="933"/>
      <c r="L438" s="933"/>
      <c r="M438" s="933"/>
      <c r="N438" s="933"/>
      <c r="O438" s="933"/>
      <c r="P438" s="933"/>
      <c r="Q438" s="933"/>
      <c r="R438" s="933"/>
      <c r="S438" s="933"/>
      <c r="T438" s="933"/>
      <c r="V438" s="933"/>
      <c r="W438" s="933"/>
      <c r="X438" s="945"/>
      <c r="Y438" s="933"/>
      <c r="Z438" s="933"/>
      <c r="AA438" s="933"/>
      <c r="AB438" s="933"/>
      <c r="AC438" s="933"/>
      <c r="AD438" s="933"/>
      <c r="AE438" s="933"/>
      <c r="AF438" s="933"/>
      <c r="AG438" s="933"/>
    </row>
    <row r="439" spans="1:33" ht="12.75">
      <c r="A439" s="933"/>
      <c r="B439" s="933"/>
      <c r="C439" s="933"/>
      <c r="D439" s="933"/>
      <c r="E439" s="933"/>
      <c r="F439" s="933"/>
      <c r="G439" s="933"/>
      <c r="H439" s="933"/>
      <c r="I439" s="933"/>
      <c r="J439" s="933"/>
      <c r="K439" s="933"/>
      <c r="L439" s="933"/>
      <c r="M439" s="933"/>
      <c r="N439" s="933"/>
      <c r="O439" s="933"/>
      <c r="P439" s="933"/>
      <c r="Q439" s="933"/>
      <c r="R439" s="933"/>
      <c r="S439" s="933"/>
      <c r="T439" s="933"/>
      <c r="V439" s="933"/>
      <c r="W439" s="933"/>
      <c r="X439" s="945"/>
      <c r="Y439" s="933"/>
      <c r="Z439" s="933"/>
      <c r="AA439" s="933"/>
      <c r="AB439" s="933"/>
      <c r="AC439" s="933"/>
      <c r="AD439" s="933"/>
      <c r="AE439" s="933"/>
      <c r="AF439" s="933"/>
      <c r="AG439" s="933"/>
    </row>
    <row r="440" spans="1:33" ht="12.75">
      <c r="A440" s="933"/>
      <c r="B440" s="933"/>
      <c r="C440" s="933"/>
      <c r="D440" s="933"/>
      <c r="E440" s="933"/>
      <c r="F440" s="933"/>
      <c r="G440" s="933"/>
      <c r="H440" s="933"/>
      <c r="I440" s="933"/>
      <c r="J440" s="933"/>
      <c r="K440" s="933"/>
      <c r="L440" s="933"/>
      <c r="M440" s="933"/>
      <c r="N440" s="933"/>
      <c r="O440" s="933"/>
      <c r="P440" s="933"/>
      <c r="Q440" s="933"/>
      <c r="R440" s="933"/>
      <c r="S440" s="933"/>
      <c r="T440" s="933"/>
      <c r="V440" s="933"/>
      <c r="W440" s="933"/>
      <c r="X440" s="945"/>
      <c r="Y440" s="933"/>
      <c r="Z440" s="933"/>
      <c r="AA440" s="933"/>
      <c r="AB440" s="933"/>
      <c r="AC440" s="933"/>
      <c r="AD440" s="933"/>
      <c r="AE440" s="933"/>
      <c r="AF440" s="933"/>
      <c r="AG440" s="933"/>
    </row>
    <row r="441" spans="1:33" ht="12.75">
      <c r="A441" s="933"/>
      <c r="B441" s="933"/>
      <c r="C441" s="933"/>
      <c r="D441" s="933"/>
      <c r="E441" s="933"/>
      <c r="F441" s="933"/>
      <c r="G441" s="933"/>
      <c r="H441" s="933"/>
      <c r="I441" s="933"/>
      <c r="J441" s="933"/>
      <c r="K441" s="933"/>
      <c r="L441" s="933"/>
      <c r="M441" s="933"/>
      <c r="N441" s="933"/>
      <c r="O441" s="933"/>
      <c r="P441" s="933"/>
      <c r="Q441" s="933"/>
      <c r="R441" s="933"/>
      <c r="S441" s="933"/>
      <c r="T441" s="933"/>
      <c r="V441" s="933"/>
      <c r="W441" s="933"/>
      <c r="X441" s="945"/>
      <c r="Y441" s="933"/>
      <c r="Z441" s="933"/>
      <c r="AA441" s="933"/>
      <c r="AB441" s="933"/>
      <c r="AC441" s="933"/>
      <c r="AD441" s="933"/>
      <c r="AE441" s="933"/>
      <c r="AF441" s="933"/>
      <c r="AG441" s="933"/>
    </row>
    <row r="442" spans="1:33" ht="12.75">
      <c r="A442" s="933"/>
      <c r="B442" s="933"/>
      <c r="C442" s="933"/>
      <c r="D442" s="933"/>
      <c r="E442" s="933"/>
      <c r="F442" s="933"/>
      <c r="G442" s="933"/>
      <c r="H442" s="933"/>
      <c r="I442" s="933"/>
      <c r="J442" s="933"/>
      <c r="K442" s="933"/>
      <c r="L442" s="933"/>
      <c r="M442" s="933"/>
      <c r="N442" s="933"/>
      <c r="O442" s="933"/>
      <c r="P442" s="933"/>
      <c r="Q442" s="933"/>
      <c r="R442" s="933"/>
      <c r="S442" s="933"/>
      <c r="T442" s="933"/>
      <c r="V442" s="933"/>
      <c r="W442" s="933"/>
      <c r="X442" s="945"/>
      <c r="Y442" s="933"/>
      <c r="Z442" s="933"/>
      <c r="AA442" s="933"/>
      <c r="AB442" s="933"/>
      <c r="AC442" s="933"/>
      <c r="AD442" s="933"/>
      <c r="AE442" s="933"/>
      <c r="AF442" s="933"/>
      <c r="AG442" s="933"/>
    </row>
    <row r="443" spans="1:33" ht="12.75">
      <c r="A443" s="933"/>
      <c r="B443" s="933"/>
      <c r="C443" s="933"/>
      <c r="D443" s="933"/>
      <c r="E443" s="933"/>
      <c r="F443" s="933"/>
      <c r="G443" s="933"/>
      <c r="H443" s="933"/>
      <c r="I443" s="933"/>
      <c r="J443" s="933"/>
      <c r="K443" s="933"/>
      <c r="L443" s="933"/>
      <c r="M443" s="933"/>
      <c r="N443" s="933"/>
      <c r="O443" s="933"/>
      <c r="P443" s="933"/>
      <c r="Q443" s="933"/>
      <c r="R443" s="933"/>
      <c r="S443" s="933"/>
      <c r="T443" s="933"/>
      <c r="V443" s="933"/>
      <c r="W443" s="933"/>
      <c r="X443" s="945"/>
      <c r="Y443" s="933"/>
      <c r="Z443" s="933"/>
      <c r="AA443" s="933"/>
      <c r="AB443" s="933"/>
      <c r="AC443" s="933"/>
      <c r="AD443" s="933"/>
      <c r="AE443" s="933"/>
      <c r="AF443" s="933"/>
      <c r="AG443" s="933"/>
    </row>
    <row r="444" spans="1:33" ht="12.75">
      <c r="A444" s="933"/>
      <c r="B444" s="933"/>
      <c r="C444" s="933"/>
      <c r="D444" s="933"/>
      <c r="E444" s="933"/>
      <c r="F444" s="933"/>
      <c r="G444" s="933"/>
      <c r="H444" s="933"/>
      <c r="I444" s="933"/>
      <c r="J444" s="933"/>
      <c r="K444" s="933"/>
      <c r="L444" s="933"/>
      <c r="M444" s="933"/>
      <c r="N444" s="933"/>
      <c r="O444" s="933"/>
      <c r="P444" s="933"/>
      <c r="Q444" s="933"/>
      <c r="R444" s="933"/>
      <c r="S444" s="933"/>
      <c r="T444" s="933"/>
      <c r="V444" s="933"/>
      <c r="W444" s="933"/>
      <c r="X444" s="945"/>
      <c r="Y444" s="933"/>
      <c r="Z444" s="933"/>
      <c r="AA444" s="933"/>
      <c r="AB444" s="933"/>
      <c r="AC444" s="933"/>
      <c r="AD444" s="933"/>
      <c r="AE444" s="933"/>
      <c r="AF444" s="933"/>
      <c r="AG444" s="933"/>
    </row>
    <row r="445" spans="1:33" ht="12.75">
      <c r="A445" s="933"/>
      <c r="B445" s="933"/>
      <c r="C445" s="933"/>
      <c r="D445" s="933"/>
      <c r="E445" s="933"/>
      <c r="F445" s="933"/>
      <c r="G445" s="933"/>
      <c r="H445" s="933"/>
      <c r="I445" s="933"/>
      <c r="J445" s="933"/>
      <c r="K445" s="933"/>
      <c r="L445" s="933"/>
      <c r="M445" s="933"/>
      <c r="N445" s="933"/>
      <c r="O445" s="933"/>
      <c r="P445" s="933"/>
      <c r="Q445" s="933"/>
      <c r="R445" s="933"/>
      <c r="S445" s="933"/>
      <c r="T445" s="933"/>
      <c r="V445" s="933"/>
      <c r="W445" s="933"/>
      <c r="X445" s="945"/>
      <c r="Y445" s="933"/>
      <c r="Z445" s="933"/>
      <c r="AA445" s="933"/>
      <c r="AB445" s="933"/>
      <c r="AC445" s="933"/>
      <c r="AD445" s="933"/>
      <c r="AE445" s="933"/>
      <c r="AF445" s="933"/>
      <c r="AG445" s="933"/>
    </row>
    <row r="446" spans="1:33" ht="12.75">
      <c r="A446" s="933"/>
      <c r="B446" s="933"/>
      <c r="C446" s="933"/>
      <c r="D446" s="933"/>
      <c r="E446" s="933"/>
      <c r="F446" s="933"/>
      <c r="G446" s="933"/>
      <c r="H446" s="933"/>
      <c r="I446" s="933"/>
      <c r="J446" s="933"/>
      <c r="K446" s="933"/>
      <c r="L446" s="933"/>
      <c r="M446" s="933"/>
      <c r="N446" s="933"/>
      <c r="O446" s="933"/>
      <c r="P446" s="933"/>
      <c r="Q446" s="933"/>
      <c r="R446" s="933"/>
      <c r="S446" s="933"/>
      <c r="T446" s="933"/>
      <c r="V446" s="933"/>
      <c r="W446" s="933"/>
      <c r="X446" s="945"/>
      <c r="Y446" s="933"/>
      <c r="Z446" s="933"/>
      <c r="AA446" s="933"/>
      <c r="AB446" s="933"/>
      <c r="AC446" s="933"/>
      <c r="AD446" s="933"/>
      <c r="AE446" s="933"/>
      <c r="AF446" s="933"/>
      <c r="AG446" s="933"/>
    </row>
    <row r="447" spans="1:33" ht="12.75">
      <c r="A447" s="933"/>
      <c r="B447" s="933"/>
      <c r="C447" s="933"/>
      <c r="D447" s="933"/>
      <c r="E447" s="933"/>
      <c r="F447" s="933"/>
      <c r="G447" s="933"/>
      <c r="H447" s="933"/>
      <c r="I447" s="933"/>
      <c r="J447" s="933"/>
      <c r="K447" s="933"/>
      <c r="L447" s="933"/>
      <c r="M447" s="933"/>
      <c r="N447" s="933"/>
      <c r="O447" s="933"/>
      <c r="P447" s="933"/>
      <c r="Q447" s="933"/>
      <c r="R447" s="933"/>
      <c r="S447" s="933"/>
      <c r="T447" s="933"/>
      <c r="V447" s="933"/>
      <c r="W447" s="933"/>
      <c r="X447" s="945"/>
      <c r="Y447" s="933"/>
      <c r="Z447" s="933"/>
      <c r="AA447" s="933"/>
      <c r="AB447" s="933"/>
      <c r="AC447" s="933"/>
      <c r="AD447" s="933"/>
      <c r="AE447" s="933"/>
      <c r="AF447" s="933"/>
      <c r="AG447" s="933"/>
    </row>
    <row r="448" spans="1:33" ht="12.75">
      <c r="A448" s="933"/>
      <c r="B448" s="933"/>
      <c r="C448" s="933"/>
      <c r="D448" s="933"/>
      <c r="E448" s="933"/>
      <c r="F448" s="933"/>
      <c r="G448" s="933"/>
      <c r="H448" s="933"/>
      <c r="I448" s="933"/>
      <c r="J448" s="933"/>
      <c r="K448" s="933"/>
      <c r="L448" s="933"/>
      <c r="M448" s="933"/>
      <c r="N448" s="933"/>
      <c r="O448" s="933"/>
      <c r="P448" s="933"/>
      <c r="Q448" s="933"/>
      <c r="R448" s="933"/>
      <c r="S448" s="933"/>
      <c r="T448" s="933"/>
      <c r="V448" s="933"/>
      <c r="W448" s="933"/>
      <c r="X448" s="945"/>
      <c r="Y448" s="933"/>
      <c r="Z448" s="933"/>
      <c r="AA448" s="933"/>
      <c r="AB448" s="933"/>
      <c r="AC448" s="933"/>
      <c r="AD448" s="933"/>
      <c r="AE448" s="933"/>
      <c r="AF448" s="933"/>
      <c r="AG448" s="933"/>
    </row>
    <row r="449" spans="1:33" ht="12.75">
      <c r="A449" s="933"/>
      <c r="B449" s="933"/>
      <c r="C449" s="933"/>
      <c r="D449" s="933"/>
      <c r="E449" s="933"/>
      <c r="F449" s="933"/>
      <c r="G449" s="933"/>
      <c r="H449" s="933"/>
      <c r="I449" s="933"/>
      <c r="J449" s="933"/>
      <c r="K449" s="933"/>
      <c r="L449" s="933"/>
      <c r="M449" s="933"/>
      <c r="N449" s="933"/>
      <c r="O449" s="933"/>
      <c r="P449" s="933"/>
      <c r="Q449" s="933"/>
      <c r="R449" s="933"/>
      <c r="S449" s="933"/>
      <c r="T449" s="933"/>
      <c r="V449" s="933"/>
      <c r="W449" s="933"/>
      <c r="X449" s="945"/>
      <c r="Y449" s="933"/>
      <c r="Z449" s="933"/>
      <c r="AA449" s="933"/>
      <c r="AB449" s="933"/>
      <c r="AC449" s="933"/>
      <c r="AD449" s="933"/>
      <c r="AE449" s="933"/>
      <c r="AF449" s="933"/>
      <c r="AG449" s="933"/>
    </row>
    <row r="450" spans="1:33" ht="12.75">
      <c r="A450" s="933"/>
      <c r="B450" s="933"/>
      <c r="C450" s="933"/>
      <c r="D450" s="933"/>
      <c r="E450" s="933"/>
      <c r="F450" s="933"/>
      <c r="G450" s="933"/>
      <c r="H450" s="933"/>
      <c r="I450" s="933"/>
      <c r="J450" s="933"/>
      <c r="K450" s="933"/>
      <c r="L450" s="933"/>
      <c r="M450" s="933"/>
      <c r="N450" s="933"/>
      <c r="O450" s="933"/>
      <c r="P450" s="933"/>
      <c r="Q450" s="933"/>
      <c r="R450" s="933"/>
      <c r="S450" s="933"/>
      <c r="T450" s="933"/>
      <c r="V450" s="933"/>
      <c r="W450" s="933"/>
      <c r="X450" s="945"/>
      <c r="Y450" s="933"/>
      <c r="Z450" s="933"/>
      <c r="AA450" s="933"/>
      <c r="AB450" s="933"/>
      <c r="AC450" s="933"/>
      <c r="AD450" s="933"/>
      <c r="AE450" s="933"/>
      <c r="AF450" s="933"/>
      <c r="AG450" s="933"/>
    </row>
    <row r="451" spans="1:33" ht="12.75">
      <c r="A451" s="933"/>
      <c r="B451" s="933"/>
      <c r="C451" s="933"/>
      <c r="D451" s="933"/>
      <c r="E451" s="933"/>
      <c r="F451" s="933"/>
      <c r="G451" s="933"/>
      <c r="H451" s="933"/>
      <c r="I451" s="933"/>
      <c r="J451" s="933"/>
      <c r="K451" s="933"/>
      <c r="L451" s="933"/>
      <c r="M451" s="933"/>
      <c r="N451" s="933"/>
      <c r="O451" s="933"/>
      <c r="P451" s="933"/>
      <c r="Q451" s="933"/>
      <c r="R451" s="933"/>
      <c r="S451" s="933"/>
      <c r="T451" s="933"/>
      <c r="V451" s="933"/>
      <c r="W451" s="933"/>
      <c r="X451" s="945"/>
      <c r="Y451" s="933"/>
      <c r="Z451" s="933"/>
      <c r="AA451" s="933"/>
      <c r="AB451" s="933"/>
      <c r="AC451" s="933"/>
      <c r="AD451" s="933"/>
      <c r="AE451" s="933"/>
      <c r="AF451" s="933"/>
      <c r="AG451" s="933"/>
    </row>
    <row r="452" spans="1:33" ht="12.75">
      <c r="A452" s="933"/>
      <c r="B452" s="933"/>
      <c r="C452" s="933"/>
      <c r="D452" s="933"/>
      <c r="E452" s="933"/>
      <c r="F452" s="933"/>
      <c r="G452" s="933"/>
      <c r="H452" s="933"/>
      <c r="I452" s="933"/>
      <c r="J452" s="933"/>
      <c r="K452" s="933"/>
      <c r="L452" s="933"/>
      <c r="M452" s="933"/>
      <c r="N452" s="933"/>
      <c r="O452" s="933"/>
      <c r="P452" s="933"/>
      <c r="Q452" s="933"/>
      <c r="R452" s="933"/>
      <c r="S452" s="933"/>
      <c r="T452" s="933"/>
      <c r="V452" s="933"/>
      <c r="W452" s="933"/>
      <c r="X452" s="945"/>
      <c r="Y452" s="933"/>
      <c r="Z452" s="933"/>
      <c r="AA452" s="933"/>
      <c r="AB452" s="933"/>
      <c r="AC452" s="933"/>
      <c r="AD452" s="933"/>
      <c r="AE452" s="933"/>
      <c r="AF452" s="933"/>
      <c r="AG452" s="933"/>
    </row>
    <row r="453" spans="1:33" ht="12.75">
      <c r="A453" s="933"/>
      <c r="B453" s="933"/>
      <c r="C453" s="933"/>
      <c r="D453" s="933"/>
      <c r="E453" s="933"/>
      <c r="F453" s="933"/>
      <c r="G453" s="933"/>
      <c r="H453" s="933"/>
      <c r="I453" s="933"/>
      <c r="J453" s="933"/>
      <c r="K453" s="933"/>
      <c r="L453" s="933"/>
      <c r="M453" s="933"/>
      <c r="N453" s="933"/>
      <c r="O453" s="933"/>
      <c r="P453" s="933"/>
      <c r="Q453" s="933"/>
      <c r="R453" s="933"/>
      <c r="S453" s="933"/>
      <c r="T453" s="933"/>
      <c r="V453" s="933"/>
      <c r="W453" s="933"/>
      <c r="X453" s="945"/>
      <c r="Y453" s="933"/>
      <c r="Z453" s="933"/>
      <c r="AA453" s="933"/>
      <c r="AB453" s="933"/>
      <c r="AC453" s="933"/>
      <c r="AD453" s="933"/>
      <c r="AE453" s="933"/>
      <c r="AF453" s="933"/>
      <c r="AG453" s="933"/>
    </row>
    <row r="454" spans="1:33" ht="12.75">
      <c r="A454" s="933"/>
      <c r="B454" s="933"/>
      <c r="C454" s="933"/>
      <c r="D454" s="933"/>
      <c r="E454" s="933"/>
      <c r="F454" s="933"/>
      <c r="G454" s="933"/>
      <c r="H454" s="933"/>
      <c r="I454" s="933"/>
      <c r="J454" s="933"/>
      <c r="K454" s="933"/>
      <c r="L454" s="933"/>
      <c r="M454" s="933"/>
      <c r="N454" s="933"/>
      <c r="O454" s="933"/>
      <c r="P454" s="933"/>
      <c r="Q454" s="933"/>
      <c r="R454" s="933"/>
      <c r="S454" s="933"/>
      <c r="T454" s="933"/>
      <c r="V454" s="933"/>
      <c r="W454" s="933"/>
      <c r="X454" s="945"/>
      <c r="Y454" s="933"/>
      <c r="Z454" s="933"/>
      <c r="AA454" s="933"/>
      <c r="AB454" s="933"/>
      <c r="AC454" s="933"/>
      <c r="AD454" s="933"/>
      <c r="AE454" s="933"/>
      <c r="AF454" s="933"/>
      <c r="AG454" s="933"/>
    </row>
    <row r="455" spans="1:33" ht="12.75">
      <c r="A455" s="933"/>
      <c r="B455" s="933"/>
      <c r="C455" s="933"/>
      <c r="D455" s="933"/>
      <c r="E455" s="933"/>
      <c r="F455" s="933"/>
      <c r="G455" s="933"/>
      <c r="H455" s="933"/>
      <c r="I455" s="933"/>
      <c r="J455" s="933"/>
      <c r="K455" s="933"/>
      <c r="L455" s="933"/>
      <c r="M455" s="933"/>
      <c r="N455" s="933"/>
      <c r="O455" s="933"/>
      <c r="P455" s="933"/>
      <c r="Q455" s="933"/>
      <c r="R455" s="933"/>
      <c r="S455" s="933"/>
      <c r="T455" s="933"/>
      <c r="V455" s="933"/>
      <c r="W455" s="933"/>
      <c r="X455" s="945"/>
      <c r="Y455" s="933"/>
      <c r="Z455" s="933"/>
      <c r="AA455" s="933"/>
      <c r="AB455" s="933"/>
      <c r="AC455" s="933"/>
      <c r="AD455" s="933"/>
      <c r="AE455" s="933"/>
      <c r="AF455" s="933"/>
      <c r="AG455" s="933"/>
    </row>
    <row r="456" spans="1:33" ht="12.75">
      <c r="A456" s="933"/>
      <c r="B456" s="933"/>
      <c r="C456" s="933"/>
      <c r="D456" s="933"/>
      <c r="E456" s="933"/>
      <c r="F456" s="933"/>
      <c r="G456" s="933"/>
      <c r="H456" s="933"/>
      <c r="I456" s="933"/>
      <c r="J456" s="933"/>
      <c r="K456" s="933"/>
      <c r="L456" s="933"/>
      <c r="M456" s="933"/>
      <c r="N456" s="933"/>
      <c r="O456" s="933"/>
      <c r="P456" s="933"/>
      <c r="Q456" s="933"/>
      <c r="R456" s="933"/>
      <c r="S456" s="933"/>
      <c r="T456" s="933"/>
      <c r="V456" s="933"/>
      <c r="W456" s="933"/>
      <c r="X456" s="945"/>
      <c r="Y456" s="933"/>
      <c r="Z456" s="933"/>
      <c r="AA456" s="933"/>
      <c r="AB456" s="933"/>
      <c r="AC456" s="933"/>
      <c r="AD456" s="933"/>
      <c r="AE456" s="933"/>
      <c r="AF456" s="933"/>
      <c r="AG456" s="933"/>
    </row>
    <row r="457" spans="1:33" ht="12.75">
      <c r="A457" s="933"/>
      <c r="B457" s="933"/>
      <c r="C457" s="933"/>
      <c r="D457" s="933"/>
      <c r="E457" s="933"/>
      <c r="F457" s="933"/>
      <c r="G457" s="933"/>
      <c r="H457" s="933"/>
      <c r="I457" s="933"/>
      <c r="J457" s="933"/>
      <c r="K457" s="933"/>
      <c r="L457" s="933"/>
      <c r="M457" s="933"/>
      <c r="N457" s="933"/>
      <c r="O457" s="933"/>
      <c r="P457" s="933"/>
      <c r="Q457" s="933"/>
      <c r="R457" s="933"/>
      <c r="S457" s="933"/>
      <c r="T457" s="933"/>
      <c r="V457" s="933"/>
      <c r="W457" s="933"/>
      <c r="X457" s="945"/>
      <c r="Y457" s="933"/>
      <c r="Z457" s="933"/>
      <c r="AA457" s="933"/>
      <c r="AB457" s="933"/>
      <c r="AC457" s="933"/>
      <c r="AD457" s="933"/>
      <c r="AE457" s="933"/>
      <c r="AF457" s="933"/>
      <c r="AG457" s="933"/>
    </row>
    <row r="458" spans="1:33" ht="12.75">
      <c r="A458" s="933"/>
      <c r="B458" s="933"/>
      <c r="C458" s="933"/>
      <c r="D458" s="933"/>
      <c r="E458" s="933"/>
      <c r="F458" s="933"/>
      <c r="G458" s="933"/>
      <c r="H458" s="933"/>
      <c r="I458" s="933"/>
      <c r="J458" s="933"/>
      <c r="K458" s="933"/>
      <c r="L458" s="933"/>
      <c r="M458" s="933"/>
      <c r="N458" s="933"/>
      <c r="O458" s="933"/>
      <c r="P458" s="933"/>
      <c r="Q458" s="933"/>
      <c r="R458" s="933"/>
      <c r="S458" s="933"/>
      <c r="T458" s="933"/>
      <c r="V458" s="933"/>
      <c r="W458" s="933"/>
      <c r="X458" s="945"/>
      <c r="Y458" s="933"/>
      <c r="Z458" s="933"/>
      <c r="AA458" s="933"/>
      <c r="AB458" s="933"/>
      <c r="AC458" s="933"/>
      <c r="AD458" s="933"/>
      <c r="AE458" s="933"/>
      <c r="AF458" s="933"/>
      <c r="AG458" s="933"/>
    </row>
    <row r="459" spans="1:33" ht="12.75">
      <c r="A459" s="933"/>
      <c r="B459" s="933"/>
      <c r="C459" s="933"/>
      <c r="D459" s="933"/>
      <c r="E459" s="933"/>
      <c r="F459" s="933"/>
      <c r="G459" s="933"/>
      <c r="H459" s="933"/>
      <c r="I459" s="933"/>
      <c r="J459" s="933"/>
      <c r="K459" s="933"/>
      <c r="L459" s="933"/>
      <c r="M459" s="933"/>
      <c r="N459" s="933"/>
      <c r="O459" s="933"/>
      <c r="P459" s="933"/>
      <c r="Q459" s="933"/>
      <c r="R459" s="933"/>
      <c r="S459" s="933"/>
      <c r="T459" s="933"/>
      <c r="V459" s="933"/>
      <c r="W459" s="933"/>
      <c r="X459" s="945"/>
      <c r="Y459" s="933"/>
      <c r="Z459" s="933"/>
      <c r="AA459" s="933"/>
      <c r="AB459" s="933"/>
      <c r="AC459" s="933"/>
      <c r="AD459" s="933"/>
      <c r="AE459" s="933"/>
      <c r="AF459" s="933"/>
      <c r="AG459" s="933"/>
    </row>
    <row r="460" spans="1:33" ht="12.75">
      <c r="A460" s="933"/>
      <c r="B460" s="933"/>
      <c r="C460" s="933"/>
      <c r="D460" s="933"/>
      <c r="E460" s="933"/>
      <c r="F460" s="933"/>
      <c r="G460" s="933"/>
      <c r="H460" s="933"/>
      <c r="I460" s="933"/>
      <c r="J460" s="933"/>
      <c r="K460" s="933"/>
      <c r="L460" s="933"/>
      <c r="M460" s="933"/>
      <c r="N460" s="933"/>
      <c r="O460" s="933"/>
      <c r="P460" s="933"/>
      <c r="Q460" s="933"/>
      <c r="R460" s="933"/>
      <c r="S460" s="933"/>
      <c r="T460" s="933"/>
      <c r="V460" s="933"/>
      <c r="W460" s="933"/>
      <c r="X460" s="945"/>
      <c r="Y460" s="933"/>
      <c r="Z460" s="933"/>
      <c r="AA460" s="933"/>
      <c r="AB460" s="933"/>
      <c r="AC460" s="933"/>
      <c r="AD460" s="933"/>
      <c r="AE460" s="933"/>
      <c r="AF460" s="933"/>
      <c r="AG460" s="933"/>
    </row>
    <row r="461" spans="1:33" ht="12.75">
      <c r="A461" s="933"/>
      <c r="B461" s="933"/>
      <c r="C461" s="933"/>
      <c r="D461" s="933"/>
      <c r="E461" s="933"/>
      <c r="F461" s="933"/>
      <c r="G461" s="933"/>
      <c r="H461" s="933"/>
      <c r="I461" s="933"/>
      <c r="J461" s="933"/>
      <c r="K461" s="933"/>
      <c r="L461" s="933"/>
      <c r="M461" s="933"/>
      <c r="N461" s="933"/>
      <c r="O461" s="933"/>
      <c r="P461" s="933"/>
      <c r="Q461" s="933"/>
      <c r="R461" s="933"/>
      <c r="S461" s="933"/>
      <c r="T461" s="933"/>
      <c r="V461" s="933"/>
      <c r="W461" s="933"/>
      <c r="X461" s="945"/>
      <c r="Y461" s="933"/>
      <c r="Z461" s="933"/>
      <c r="AA461" s="933"/>
      <c r="AB461" s="933"/>
      <c r="AC461" s="933"/>
      <c r="AD461" s="933"/>
      <c r="AE461" s="933"/>
      <c r="AF461" s="933"/>
      <c r="AG461" s="933"/>
    </row>
    <row r="462" spans="1:33" ht="12.75">
      <c r="A462" s="933"/>
      <c r="B462" s="933"/>
      <c r="C462" s="933"/>
      <c r="D462" s="933"/>
      <c r="E462" s="933"/>
      <c r="F462" s="933"/>
      <c r="G462" s="933"/>
      <c r="H462" s="933"/>
      <c r="I462" s="933"/>
      <c r="J462" s="933"/>
      <c r="K462" s="933"/>
      <c r="L462" s="933"/>
      <c r="M462" s="933"/>
      <c r="N462" s="933"/>
      <c r="O462" s="933"/>
      <c r="P462" s="933"/>
      <c r="Q462" s="933"/>
      <c r="R462" s="933"/>
      <c r="S462" s="933"/>
      <c r="T462" s="933"/>
      <c r="V462" s="933"/>
      <c r="W462" s="933"/>
      <c r="X462" s="945"/>
      <c r="Y462" s="933"/>
      <c r="Z462" s="933"/>
      <c r="AA462" s="933"/>
      <c r="AB462" s="933"/>
      <c r="AC462" s="933"/>
      <c r="AD462" s="933"/>
      <c r="AE462" s="933"/>
      <c r="AF462" s="933"/>
      <c r="AG462" s="933"/>
    </row>
    <row r="463" spans="1:33" ht="12.75">
      <c r="A463" s="933"/>
      <c r="B463" s="933"/>
      <c r="C463" s="933"/>
      <c r="D463" s="933"/>
      <c r="E463" s="933"/>
      <c r="F463" s="933"/>
      <c r="G463" s="933"/>
      <c r="H463" s="933"/>
      <c r="I463" s="933"/>
      <c r="J463" s="933"/>
      <c r="K463" s="933"/>
      <c r="L463" s="933"/>
      <c r="M463" s="933"/>
      <c r="N463" s="933"/>
      <c r="O463" s="933"/>
      <c r="P463" s="933"/>
      <c r="Q463" s="933"/>
      <c r="R463" s="933"/>
      <c r="S463" s="933"/>
      <c r="T463" s="933"/>
      <c r="V463" s="933"/>
      <c r="W463" s="933"/>
      <c r="X463" s="945"/>
      <c r="Y463" s="933"/>
      <c r="Z463" s="933"/>
      <c r="AA463" s="933"/>
      <c r="AB463" s="933"/>
      <c r="AC463" s="933"/>
      <c r="AD463" s="933"/>
      <c r="AE463" s="933"/>
      <c r="AF463" s="933"/>
      <c r="AG463" s="933"/>
    </row>
    <row r="464" spans="1:33" ht="12.75">
      <c r="A464" s="933"/>
      <c r="B464" s="933"/>
      <c r="C464" s="933"/>
      <c r="D464" s="933"/>
      <c r="E464" s="933"/>
      <c r="F464" s="933"/>
      <c r="G464" s="933"/>
      <c r="H464" s="933"/>
      <c r="I464" s="933"/>
      <c r="J464" s="933"/>
      <c r="K464" s="933"/>
      <c r="L464" s="933"/>
      <c r="M464" s="933"/>
      <c r="N464" s="933"/>
      <c r="O464" s="933"/>
      <c r="P464" s="933"/>
      <c r="Q464" s="933"/>
      <c r="R464" s="933"/>
      <c r="S464" s="933"/>
      <c r="T464" s="933"/>
      <c r="V464" s="933"/>
      <c r="W464" s="933"/>
      <c r="X464" s="945"/>
      <c r="Y464" s="933"/>
      <c r="Z464" s="933"/>
      <c r="AA464" s="933"/>
      <c r="AB464" s="933"/>
      <c r="AC464" s="933"/>
      <c r="AD464" s="933"/>
      <c r="AE464" s="933"/>
      <c r="AF464" s="933"/>
      <c r="AG464" s="933"/>
    </row>
    <row r="465" spans="1:33" ht="12.75">
      <c r="A465" s="933"/>
      <c r="B465" s="933"/>
      <c r="C465" s="933"/>
      <c r="D465" s="933"/>
      <c r="E465" s="933"/>
      <c r="F465" s="933"/>
      <c r="G465" s="933"/>
      <c r="H465" s="933"/>
      <c r="I465" s="933"/>
      <c r="J465" s="933"/>
      <c r="K465" s="933"/>
      <c r="L465" s="933"/>
      <c r="M465" s="933"/>
      <c r="N465" s="933"/>
      <c r="O465" s="933"/>
      <c r="P465" s="933"/>
      <c r="Q465" s="933"/>
      <c r="R465" s="933"/>
      <c r="S465" s="933"/>
      <c r="T465" s="933"/>
      <c r="V465" s="933"/>
      <c r="W465" s="933"/>
      <c r="X465" s="945"/>
      <c r="Y465" s="933"/>
      <c r="Z465" s="933"/>
      <c r="AA465" s="933"/>
      <c r="AB465" s="933"/>
      <c r="AC465" s="933"/>
      <c r="AD465" s="933"/>
      <c r="AE465" s="933"/>
      <c r="AF465" s="933"/>
      <c r="AG465" s="933"/>
    </row>
    <row r="466" spans="1:33" ht="12.75">
      <c r="A466" s="933"/>
      <c r="B466" s="933"/>
      <c r="C466" s="933"/>
      <c r="D466" s="933"/>
      <c r="E466" s="933"/>
      <c r="F466" s="933"/>
      <c r="G466" s="933"/>
      <c r="H466" s="933"/>
      <c r="I466" s="933"/>
      <c r="J466" s="933"/>
      <c r="K466" s="933"/>
      <c r="L466" s="933"/>
      <c r="M466" s="933"/>
      <c r="N466" s="933"/>
      <c r="O466" s="933"/>
      <c r="P466" s="933"/>
      <c r="Q466" s="933"/>
      <c r="R466" s="933"/>
      <c r="S466" s="933"/>
      <c r="T466" s="933"/>
      <c r="V466" s="933"/>
      <c r="W466" s="933"/>
      <c r="X466" s="945"/>
      <c r="Y466" s="933"/>
      <c r="Z466" s="933"/>
      <c r="AA466" s="933"/>
      <c r="AB466" s="933"/>
      <c r="AC466" s="933"/>
      <c r="AD466" s="933"/>
      <c r="AE466" s="933"/>
      <c r="AF466" s="933"/>
      <c r="AG466" s="933"/>
    </row>
    <row r="467" spans="1:33" ht="12.75">
      <c r="A467" s="933"/>
      <c r="B467" s="933"/>
      <c r="C467" s="933"/>
      <c r="D467" s="933"/>
      <c r="E467" s="933"/>
      <c r="F467" s="933"/>
      <c r="G467" s="933"/>
      <c r="H467" s="933"/>
      <c r="I467" s="933"/>
      <c r="J467" s="933"/>
      <c r="K467" s="933"/>
      <c r="L467" s="933"/>
      <c r="M467" s="933"/>
      <c r="N467" s="933"/>
      <c r="O467" s="933"/>
      <c r="P467" s="933"/>
      <c r="Q467" s="933"/>
      <c r="R467" s="933"/>
      <c r="S467" s="933"/>
      <c r="T467" s="933"/>
      <c r="V467" s="933"/>
      <c r="W467" s="933"/>
      <c r="X467" s="945"/>
      <c r="Y467" s="933"/>
      <c r="Z467" s="933"/>
      <c r="AA467" s="933"/>
      <c r="AB467" s="933"/>
      <c r="AC467" s="933"/>
      <c r="AD467" s="933"/>
      <c r="AE467" s="933"/>
      <c r="AF467" s="933"/>
      <c r="AG467" s="933"/>
    </row>
    <row r="468" spans="1:33" ht="12.75">
      <c r="A468" s="933"/>
      <c r="B468" s="933"/>
      <c r="C468" s="933"/>
      <c r="D468" s="933"/>
      <c r="E468" s="933"/>
      <c r="F468" s="933"/>
      <c r="G468" s="933"/>
      <c r="H468" s="933"/>
      <c r="I468" s="933"/>
      <c r="J468" s="933"/>
      <c r="K468" s="933"/>
      <c r="L468" s="933"/>
      <c r="M468" s="933"/>
      <c r="N468" s="933"/>
      <c r="O468" s="933"/>
      <c r="P468" s="933"/>
      <c r="Q468" s="933"/>
      <c r="R468" s="933"/>
      <c r="S468" s="933"/>
      <c r="T468" s="933"/>
      <c r="V468" s="933"/>
      <c r="W468" s="933"/>
      <c r="X468" s="945"/>
      <c r="Y468" s="933"/>
      <c r="Z468" s="933"/>
      <c r="AA468" s="933"/>
      <c r="AB468" s="933"/>
      <c r="AC468" s="933"/>
      <c r="AD468" s="933"/>
      <c r="AE468" s="933"/>
      <c r="AF468" s="933"/>
      <c r="AG468" s="933"/>
    </row>
    <row r="469" spans="1:33" ht="12.75">
      <c r="A469" s="933"/>
      <c r="B469" s="933"/>
      <c r="C469" s="933"/>
      <c r="D469" s="933"/>
      <c r="E469" s="933"/>
      <c r="F469" s="933"/>
      <c r="G469" s="933"/>
      <c r="H469" s="933"/>
      <c r="I469" s="933"/>
      <c r="J469" s="933"/>
      <c r="K469" s="933"/>
      <c r="L469" s="933"/>
      <c r="M469" s="933"/>
      <c r="N469" s="933"/>
      <c r="O469" s="933"/>
      <c r="P469" s="933"/>
      <c r="Q469" s="933"/>
      <c r="R469" s="933"/>
      <c r="S469" s="933"/>
      <c r="T469" s="933"/>
      <c r="V469" s="933"/>
      <c r="W469" s="933"/>
      <c r="X469" s="945"/>
      <c r="Y469" s="933"/>
      <c r="Z469" s="933"/>
      <c r="AA469" s="933"/>
      <c r="AB469" s="933"/>
      <c r="AC469" s="933"/>
      <c r="AD469" s="933"/>
      <c r="AE469" s="933"/>
      <c r="AF469" s="933"/>
      <c r="AG469" s="933"/>
    </row>
    <row r="470" spans="1:33" ht="12.75">
      <c r="A470" s="933"/>
      <c r="B470" s="933"/>
      <c r="C470" s="933"/>
      <c r="D470" s="933"/>
      <c r="E470" s="933"/>
      <c r="F470" s="933"/>
      <c r="G470" s="933"/>
      <c r="H470" s="933"/>
      <c r="I470" s="933"/>
      <c r="J470" s="933"/>
      <c r="K470" s="933"/>
      <c r="L470" s="933"/>
      <c r="M470" s="933"/>
      <c r="N470" s="933"/>
      <c r="O470" s="933"/>
      <c r="P470" s="933"/>
      <c r="Q470" s="933"/>
      <c r="R470" s="933"/>
      <c r="S470" s="933"/>
      <c r="T470" s="933"/>
      <c r="V470" s="933"/>
      <c r="W470" s="933"/>
      <c r="X470" s="945"/>
      <c r="Y470" s="933"/>
      <c r="Z470" s="933"/>
      <c r="AA470" s="933"/>
      <c r="AB470" s="933"/>
      <c r="AC470" s="933"/>
      <c r="AD470" s="933"/>
      <c r="AE470" s="933"/>
      <c r="AF470" s="933"/>
      <c r="AG470" s="933"/>
    </row>
    <row r="471" spans="1:33" ht="12.75">
      <c r="A471" s="933"/>
      <c r="B471" s="933"/>
      <c r="C471" s="933"/>
      <c r="D471" s="933"/>
      <c r="E471" s="933"/>
      <c r="F471" s="933"/>
      <c r="G471" s="933"/>
      <c r="H471" s="933"/>
      <c r="I471" s="933"/>
      <c r="J471" s="933"/>
      <c r="K471" s="933"/>
      <c r="L471" s="933"/>
      <c r="M471" s="933"/>
      <c r="N471" s="933"/>
      <c r="O471" s="933"/>
      <c r="P471" s="933"/>
      <c r="Q471" s="933"/>
      <c r="R471" s="933"/>
      <c r="S471" s="933"/>
      <c r="T471" s="933"/>
      <c r="V471" s="933"/>
      <c r="W471" s="933"/>
      <c r="X471" s="945"/>
      <c r="Y471" s="933"/>
      <c r="Z471" s="933"/>
      <c r="AA471" s="933"/>
      <c r="AB471" s="933"/>
      <c r="AC471" s="933"/>
      <c r="AD471" s="933"/>
      <c r="AE471" s="933"/>
      <c r="AF471" s="933"/>
      <c r="AG471" s="933"/>
    </row>
    <row r="472" spans="1:33" ht="12.75">
      <c r="A472" s="933"/>
      <c r="B472" s="933"/>
      <c r="C472" s="933"/>
      <c r="D472" s="933"/>
      <c r="E472" s="933"/>
      <c r="F472" s="933"/>
      <c r="G472" s="933"/>
      <c r="H472" s="933"/>
      <c r="I472" s="933"/>
      <c r="J472" s="933"/>
      <c r="K472" s="933"/>
      <c r="L472" s="933"/>
      <c r="M472" s="933"/>
      <c r="N472" s="933"/>
      <c r="O472" s="933"/>
      <c r="P472" s="933"/>
      <c r="Q472" s="933"/>
      <c r="R472" s="933"/>
      <c r="S472" s="933"/>
      <c r="T472" s="933"/>
      <c r="V472" s="933"/>
      <c r="W472" s="933"/>
      <c r="X472" s="945"/>
      <c r="Y472" s="933"/>
      <c r="Z472" s="933"/>
      <c r="AA472" s="933"/>
      <c r="AB472" s="933"/>
      <c r="AC472" s="933"/>
      <c r="AD472" s="933"/>
      <c r="AE472" s="933"/>
      <c r="AF472" s="933"/>
      <c r="AG472" s="933"/>
    </row>
    <row r="473" spans="1:33" ht="12.75">
      <c r="A473" s="933"/>
      <c r="B473" s="933"/>
      <c r="C473" s="933"/>
      <c r="D473" s="933"/>
      <c r="E473" s="933"/>
      <c r="F473" s="933"/>
      <c r="G473" s="933"/>
      <c r="H473" s="933"/>
      <c r="I473" s="933"/>
      <c r="J473" s="933"/>
      <c r="K473" s="933"/>
      <c r="L473" s="933"/>
      <c r="M473" s="933"/>
      <c r="N473" s="933"/>
      <c r="O473" s="933"/>
      <c r="P473" s="933"/>
      <c r="Q473" s="933"/>
      <c r="R473" s="933"/>
      <c r="S473" s="933"/>
      <c r="T473" s="933"/>
      <c r="V473" s="933"/>
      <c r="W473" s="933"/>
      <c r="X473" s="945"/>
      <c r="Y473" s="933"/>
      <c r="Z473" s="933"/>
      <c r="AA473" s="933"/>
      <c r="AB473" s="933"/>
      <c r="AC473" s="933"/>
      <c r="AD473" s="933"/>
      <c r="AE473" s="933"/>
      <c r="AF473" s="933"/>
      <c r="AG473" s="933"/>
    </row>
    <row r="474" spans="1:33" ht="12.75">
      <c r="A474" s="933"/>
      <c r="B474" s="933"/>
      <c r="C474" s="933"/>
      <c r="D474" s="933"/>
      <c r="E474" s="933"/>
      <c r="F474" s="933"/>
      <c r="G474" s="933"/>
      <c r="H474" s="933"/>
      <c r="I474" s="933"/>
      <c r="J474" s="933"/>
      <c r="K474" s="933"/>
      <c r="L474" s="933"/>
      <c r="M474" s="933"/>
      <c r="N474" s="933"/>
      <c r="O474" s="933"/>
      <c r="P474" s="933"/>
      <c r="Q474" s="933"/>
      <c r="R474" s="933"/>
      <c r="S474" s="933"/>
      <c r="T474" s="933"/>
      <c r="V474" s="933"/>
      <c r="W474" s="933"/>
      <c r="X474" s="945"/>
      <c r="Y474" s="933"/>
      <c r="Z474" s="933"/>
      <c r="AA474" s="933"/>
      <c r="AB474" s="933"/>
      <c r="AC474" s="933"/>
      <c r="AD474" s="933"/>
      <c r="AE474" s="933"/>
      <c r="AF474" s="933"/>
      <c r="AG474" s="933"/>
    </row>
    <row r="475" spans="1:33" ht="12.75">
      <c r="A475" s="933"/>
      <c r="B475" s="933"/>
      <c r="C475" s="933"/>
      <c r="D475" s="933"/>
      <c r="E475" s="933"/>
      <c r="F475" s="933"/>
      <c r="G475" s="933"/>
      <c r="H475" s="933"/>
      <c r="I475" s="933"/>
      <c r="J475" s="933"/>
      <c r="K475" s="933"/>
      <c r="L475" s="933"/>
      <c r="M475" s="933"/>
      <c r="N475" s="933"/>
      <c r="O475" s="933"/>
      <c r="P475" s="933"/>
      <c r="Q475" s="933"/>
      <c r="R475" s="933"/>
      <c r="S475" s="933"/>
      <c r="T475" s="933"/>
      <c r="V475" s="933"/>
      <c r="W475" s="933"/>
      <c r="X475" s="945"/>
      <c r="Y475" s="933"/>
      <c r="Z475" s="933"/>
      <c r="AA475" s="933"/>
      <c r="AB475" s="933"/>
      <c r="AC475" s="933"/>
      <c r="AD475" s="933"/>
      <c r="AE475" s="933"/>
      <c r="AF475" s="933"/>
      <c r="AG475" s="933"/>
    </row>
    <row r="476" spans="1:33" ht="12.75">
      <c r="A476" s="933"/>
      <c r="B476" s="933"/>
      <c r="C476" s="933"/>
      <c r="D476" s="933"/>
      <c r="E476" s="933"/>
      <c r="F476" s="933"/>
      <c r="G476" s="933"/>
      <c r="H476" s="933"/>
      <c r="I476" s="933"/>
      <c r="J476" s="933"/>
      <c r="K476" s="933"/>
      <c r="L476" s="933"/>
      <c r="M476" s="933"/>
      <c r="N476" s="933"/>
      <c r="O476" s="933"/>
      <c r="P476" s="933"/>
      <c r="Q476" s="933"/>
      <c r="R476" s="933"/>
      <c r="S476" s="933"/>
      <c r="T476" s="933"/>
      <c r="V476" s="933"/>
      <c r="W476" s="933"/>
      <c r="X476" s="945"/>
      <c r="Y476" s="933"/>
      <c r="Z476" s="933"/>
      <c r="AA476" s="933"/>
      <c r="AB476" s="933"/>
      <c r="AC476" s="933"/>
      <c r="AD476" s="933"/>
      <c r="AE476" s="933"/>
      <c r="AF476" s="933"/>
      <c r="AG476" s="933"/>
    </row>
    <row r="477" spans="1:33" ht="12.75">
      <c r="A477" s="933"/>
      <c r="B477" s="933"/>
      <c r="C477" s="933"/>
      <c r="D477" s="933"/>
      <c r="E477" s="933"/>
      <c r="F477" s="933"/>
      <c r="G477" s="933"/>
      <c r="H477" s="933"/>
      <c r="I477" s="933"/>
      <c r="J477" s="933"/>
      <c r="K477" s="933"/>
      <c r="L477" s="933"/>
      <c r="M477" s="933"/>
      <c r="N477" s="933"/>
      <c r="O477" s="933"/>
      <c r="P477" s="933"/>
      <c r="Q477" s="933"/>
      <c r="R477" s="933"/>
      <c r="S477" s="933"/>
      <c r="T477" s="933"/>
      <c r="V477" s="933"/>
      <c r="W477" s="933"/>
      <c r="X477" s="945"/>
      <c r="Y477" s="933"/>
      <c r="Z477" s="933"/>
      <c r="AA477" s="933"/>
      <c r="AB477" s="933"/>
      <c r="AC477" s="933"/>
      <c r="AD477" s="933"/>
      <c r="AE477" s="933"/>
      <c r="AF477" s="933"/>
      <c r="AG477" s="933"/>
    </row>
    <row r="478" spans="1:33" ht="12.75">
      <c r="A478" s="933"/>
      <c r="B478" s="933"/>
      <c r="C478" s="933"/>
      <c r="D478" s="933"/>
      <c r="E478" s="933"/>
      <c r="F478" s="933"/>
      <c r="G478" s="933"/>
      <c r="H478" s="933"/>
      <c r="I478" s="933"/>
      <c r="J478" s="933"/>
      <c r="K478" s="933"/>
      <c r="L478" s="933"/>
      <c r="M478" s="933"/>
      <c r="N478" s="933"/>
      <c r="O478" s="933"/>
      <c r="P478" s="933"/>
      <c r="Q478" s="933"/>
      <c r="R478" s="933"/>
      <c r="S478" s="933"/>
      <c r="T478" s="933"/>
      <c r="V478" s="933"/>
      <c r="W478" s="933"/>
      <c r="X478" s="945"/>
      <c r="Y478" s="933"/>
      <c r="Z478" s="933"/>
      <c r="AA478" s="933"/>
      <c r="AB478" s="933"/>
      <c r="AC478" s="933"/>
      <c r="AD478" s="933"/>
      <c r="AE478" s="933"/>
      <c r="AF478" s="933"/>
      <c r="AG478" s="933"/>
    </row>
    <row r="479" spans="1:33" ht="12.75">
      <c r="A479" s="933"/>
      <c r="B479" s="933"/>
      <c r="C479" s="933"/>
      <c r="D479" s="933"/>
      <c r="E479" s="933"/>
      <c r="F479" s="933"/>
      <c r="G479" s="933"/>
      <c r="H479" s="933"/>
      <c r="I479" s="933"/>
      <c r="J479" s="933"/>
      <c r="K479" s="933"/>
      <c r="L479" s="933"/>
      <c r="M479" s="933"/>
      <c r="N479" s="933"/>
      <c r="O479" s="933"/>
      <c r="P479" s="933"/>
      <c r="Q479" s="933"/>
      <c r="R479" s="933"/>
      <c r="S479" s="933"/>
      <c r="T479" s="933"/>
      <c r="V479" s="933"/>
      <c r="W479" s="933"/>
      <c r="X479" s="945"/>
      <c r="Y479" s="933"/>
      <c r="Z479" s="933"/>
      <c r="AA479" s="933"/>
      <c r="AB479" s="933"/>
      <c r="AC479" s="933"/>
      <c r="AD479" s="933"/>
      <c r="AE479" s="933"/>
      <c r="AF479" s="933"/>
      <c r="AG479" s="933"/>
    </row>
    <row r="480" spans="1:33" ht="12.75">
      <c r="A480" s="933"/>
      <c r="B480" s="933"/>
      <c r="C480" s="933"/>
      <c r="D480" s="933"/>
      <c r="E480" s="933"/>
      <c r="F480" s="933"/>
      <c r="G480" s="933"/>
      <c r="H480" s="933"/>
      <c r="I480" s="933"/>
      <c r="J480" s="933"/>
      <c r="K480" s="933"/>
      <c r="L480" s="933"/>
      <c r="M480" s="933"/>
      <c r="N480" s="933"/>
      <c r="O480" s="933"/>
      <c r="P480" s="933"/>
      <c r="Q480" s="933"/>
      <c r="R480" s="933"/>
      <c r="S480" s="933"/>
      <c r="T480" s="933"/>
      <c r="V480" s="933"/>
      <c r="W480" s="933"/>
      <c r="X480" s="945"/>
      <c r="Y480" s="933"/>
      <c r="Z480" s="933"/>
      <c r="AA480" s="933"/>
      <c r="AB480" s="933"/>
      <c r="AC480" s="933"/>
      <c r="AD480" s="933"/>
      <c r="AE480" s="933"/>
      <c r="AF480" s="933"/>
      <c r="AG480" s="933"/>
    </row>
    <row r="481" spans="1:33" ht="12.75">
      <c r="A481" s="933"/>
      <c r="B481" s="933"/>
      <c r="C481" s="933"/>
      <c r="D481" s="933"/>
      <c r="E481" s="933"/>
      <c r="F481" s="933"/>
      <c r="G481" s="933"/>
      <c r="H481" s="933"/>
      <c r="I481" s="933"/>
      <c r="J481" s="933"/>
      <c r="K481" s="933"/>
      <c r="L481" s="933"/>
      <c r="M481" s="933"/>
      <c r="N481" s="933"/>
      <c r="O481" s="933"/>
      <c r="P481" s="933"/>
      <c r="Q481" s="933"/>
      <c r="R481" s="933"/>
      <c r="S481" s="933"/>
      <c r="T481" s="933"/>
      <c r="V481" s="933"/>
      <c r="W481" s="933"/>
      <c r="X481" s="945"/>
      <c r="Y481" s="933"/>
      <c r="Z481" s="933"/>
      <c r="AA481" s="933"/>
      <c r="AB481" s="933"/>
      <c r="AC481" s="933"/>
      <c r="AD481" s="933"/>
      <c r="AE481" s="933"/>
      <c r="AF481" s="933"/>
      <c r="AG481" s="933"/>
    </row>
    <row r="482" spans="1:33" ht="12.75">
      <c r="A482" s="933"/>
      <c r="B482" s="933"/>
      <c r="C482" s="933"/>
      <c r="D482" s="933"/>
      <c r="E482" s="933"/>
      <c r="F482" s="933"/>
      <c r="G482" s="933"/>
      <c r="H482" s="933"/>
      <c r="I482" s="933"/>
      <c r="J482" s="933"/>
      <c r="K482" s="933"/>
      <c r="L482" s="933"/>
      <c r="M482" s="933"/>
      <c r="N482" s="933"/>
      <c r="O482" s="933"/>
      <c r="P482" s="933"/>
      <c r="Q482" s="933"/>
      <c r="R482" s="933"/>
      <c r="S482" s="933"/>
      <c r="T482" s="933"/>
      <c r="V482" s="933"/>
      <c r="W482" s="933"/>
      <c r="X482" s="945"/>
      <c r="Y482" s="933"/>
      <c r="Z482" s="933"/>
      <c r="AA482" s="933"/>
      <c r="AB482" s="933"/>
      <c r="AC482" s="933"/>
      <c r="AD482" s="933"/>
      <c r="AE482" s="933"/>
      <c r="AF482" s="933"/>
      <c r="AG482" s="933"/>
    </row>
    <row r="483" spans="1:33" ht="12.75">
      <c r="A483" s="933"/>
      <c r="B483" s="933"/>
      <c r="C483" s="933"/>
      <c r="D483" s="933"/>
      <c r="E483" s="933"/>
      <c r="F483" s="933"/>
      <c r="G483" s="933"/>
      <c r="H483" s="933"/>
      <c r="I483" s="933"/>
      <c r="J483" s="933"/>
      <c r="K483" s="933"/>
      <c r="L483" s="933"/>
      <c r="M483" s="933"/>
      <c r="N483" s="933"/>
      <c r="O483" s="933"/>
      <c r="P483" s="933"/>
      <c r="Q483" s="933"/>
      <c r="R483" s="933"/>
      <c r="S483" s="933"/>
      <c r="T483" s="933"/>
      <c r="V483" s="933"/>
      <c r="W483" s="933"/>
      <c r="X483" s="945"/>
      <c r="Y483" s="933"/>
      <c r="Z483" s="933"/>
      <c r="AA483" s="933"/>
      <c r="AB483" s="933"/>
      <c r="AC483" s="933"/>
      <c r="AD483" s="933"/>
      <c r="AE483" s="933"/>
      <c r="AF483" s="933"/>
      <c r="AG483" s="933"/>
    </row>
    <row r="484" spans="1:33" ht="12.75">
      <c r="A484" s="933"/>
      <c r="B484" s="933"/>
      <c r="C484" s="933"/>
      <c r="D484" s="933"/>
      <c r="E484" s="933"/>
      <c r="F484" s="933"/>
      <c r="G484" s="933"/>
      <c r="H484" s="933"/>
      <c r="I484" s="933"/>
      <c r="J484" s="933"/>
      <c r="K484" s="933"/>
      <c r="L484" s="933"/>
      <c r="M484" s="933"/>
      <c r="N484" s="933"/>
      <c r="O484" s="933"/>
      <c r="P484" s="933"/>
      <c r="Q484" s="933"/>
      <c r="R484" s="933"/>
      <c r="S484" s="933"/>
      <c r="T484" s="933"/>
      <c r="V484" s="933"/>
      <c r="W484" s="933"/>
      <c r="X484" s="945"/>
      <c r="Y484" s="933"/>
      <c r="Z484" s="933"/>
      <c r="AA484" s="933"/>
      <c r="AB484" s="933"/>
      <c r="AC484" s="933"/>
      <c r="AD484" s="933"/>
      <c r="AE484" s="933"/>
      <c r="AF484" s="933"/>
      <c r="AG484" s="933"/>
    </row>
    <row r="485" spans="1:33" ht="12.75">
      <c r="A485" s="933"/>
      <c r="B485" s="933"/>
      <c r="C485" s="933"/>
      <c r="D485" s="933"/>
      <c r="E485" s="933"/>
      <c r="F485" s="933"/>
      <c r="G485" s="933"/>
      <c r="H485" s="933"/>
      <c r="I485" s="933"/>
      <c r="J485" s="933"/>
      <c r="K485" s="933"/>
      <c r="L485" s="933"/>
      <c r="M485" s="933"/>
      <c r="N485" s="933"/>
      <c r="O485" s="933"/>
      <c r="P485" s="933"/>
      <c r="Q485" s="933"/>
      <c r="R485" s="933"/>
      <c r="S485" s="933"/>
      <c r="T485" s="933"/>
      <c r="V485" s="933"/>
      <c r="W485" s="933"/>
      <c r="X485" s="945"/>
      <c r="Y485" s="933"/>
      <c r="Z485" s="933"/>
      <c r="AA485" s="933"/>
      <c r="AB485" s="933"/>
      <c r="AC485" s="933"/>
      <c r="AD485" s="933"/>
      <c r="AE485" s="933"/>
      <c r="AF485" s="933"/>
      <c r="AG485" s="933"/>
    </row>
    <row r="486" spans="1:33" ht="12.75">
      <c r="A486" s="933"/>
      <c r="B486" s="933"/>
      <c r="C486" s="933"/>
      <c r="D486" s="933"/>
      <c r="E486" s="933"/>
      <c r="F486" s="933"/>
      <c r="G486" s="933"/>
      <c r="H486" s="933"/>
      <c r="I486" s="933"/>
      <c r="J486" s="933"/>
      <c r="K486" s="933"/>
      <c r="L486" s="933"/>
      <c r="M486" s="933"/>
      <c r="N486" s="933"/>
      <c r="O486" s="933"/>
      <c r="P486" s="933"/>
      <c r="Q486" s="933"/>
      <c r="R486" s="933"/>
      <c r="S486" s="933"/>
      <c r="T486" s="933"/>
      <c r="V486" s="933"/>
      <c r="W486" s="933"/>
      <c r="X486" s="945"/>
      <c r="Y486" s="933"/>
      <c r="Z486" s="933"/>
      <c r="AA486" s="933"/>
      <c r="AB486" s="933"/>
      <c r="AC486" s="933"/>
      <c r="AD486" s="933"/>
      <c r="AE486" s="933"/>
      <c r="AF486" s="933"/>
      <c r="AG486" s="933"/>
    </row>
    <row r="487" spans="1:33" ht="12.75">
      <c r="A487" s="933"/>
      <c r="B487" s="933"/>
      <c r="C487" s="933"/>
      <c r="D487" s="933"/>
      <c r="E487" s="933"/>
      <c r="F487" s="933"/>
      <c r="G487" s="933"/>
      <c r="H487" s="933"/>
      <c r="I487" s="933"/>
      <c r="J487" s="933"/>
      <c r="K487" s="933"/>
      <c r="L487" s="933"/>
      <c r="M487" s="933"/>
      <c r="N487" s="933"/>
      <c r="O487" s="933"/>
      <c r="P487" s="933"/>
      <c r="Q487" s="933"/>
      <c r="R487" s="933"/>
      <c r="S487" s="933"/>
      <c r="T487" s="933"/>
      <c r="V487" s="933"/>
      <c r="W487" s="933"/>
      <c r="X487" s="945"/>
      <c r="Y487" s="933"/>
      <c r="Z487" s="933"/>
      <c r="AA487" s="933"/>
      <c r="AB487" s="933"/>
      <c r="AC487" s="933"/>
      <c r="AD487" s="933"/>
      <c r="AE487" s="933"/>
      <c r="AF487" s="933"/>
      <c r="AG487" s="933"/>
    </row>
    <row r="488" spans="1:33" ht="12.75">
      <c r="A488" s="933"/>
      <c r="B488" s="933"/>
      <c r="C488" s="933"/>
      <c r="D488" s="933"/>
      <c r="E488" s="933"/>
      <c r="F488" s="933"/>
      <c r="G488" s="933"/>
      <c r="H488" s="933"/>
      <c r="I488" s="933"/>
      <c r="J488" s="933"/>
      <c r="K488" s="933"/>
      <c r="L488" s="933"/>
      <c r="M488" s="933"/>
      <c r="N488" s="933"/>
      <c r="O488" s="933"/>
      <c r="P488" s="933"/>
      <c r="Q488" s="933"/>
      <c r="R488" s="933"/>
      <c r="S488" s="933"/>
      <c r="T488" s="933"/>
      <c r="V488" s="933"/>
      <c r="W488" s="933"/>
      <c r="X488" s="945"/>
      <c r="Y488" s="933"/>
      <c r="Z488" s="933"/>
      <c r="AA488" s="933"/>
      <c r="AB488" s="933"/>
      <c r="AC488" s="933"/>
      <c r="AD488" s="933"/>
      <c r="AE488" s="933"/>
      <c r="AF488" s="933"/>
      <c r="AG488" s="933"/>
    </row>
    <row r="489" spans="1:33" ht="12.75">
      <c r="A489" s="933"/>
      <c r="B489" s="933"/>
      <c r="C489" s="933"/>
      <c r="D489" s="933"/>
      <c r="E489" s="933"/>
      <c r="F489" s="933"/>
      <c r="G489" s="933"/>
      <c r="H489" s="933"/>
      <c r="I489" s="933"/>
      <c r="J489" s="933"/>
      <c r="K489" s="933"/>
      <c r="L489" s="933"/>
      <c r="M489" s="933"/>
      <c r="N489" s="933"/>
      <c r="O489" s="933"/>
      <c r="P489" s="933"/>
      <c r="Q489" s="933"/>
      <c r="R489" s="933"/>
      <c r="S489" s="933"/>
      <c r="T489" s="933"/>
      <c r="V489" s="933"/>
      <c r="W489" s="933"/>
      <c r="X489" s="945"/>
      <c r="Y489" s="933"/>
      <c r="Z489" s="933"/>
      <c r="AA489" s="933"/>
      <c r="AB489" s="933"/>
      <c r="AC489" s="933"/>
      <c r="AD489" s="933"/>
      <c r="AE489" s="933"/>
      <c r="AF489" s="933"/>
      <c r="AG489" s="933"/>
    </row>
    <row r="490" spans="1:33" ht="12.75">
      <c r="A490" s="933"/>
      <c r="B490" s="933"/>
      <c r="C490" s="933"/>
      <c r="D490" s="933"/>
      <c r="E490" s="933"/>
      <c r="F490" s="933"/>
      <c r="G490" s="933"/>
      <c r="H490" s="933"/>
      <c r="I490" s="933"/>
      <c r="J490" s="933"/>
      <c r="K490" s="933"/>
      <c r="L490" s="933"/>
      <c r="M490" s="933"/>
      <c r="N490" s="933"/>
      <c r="O490" s="933"/>
      <c r="P490" s="933"/>
      <c r="Q490" s="933"/>
      <c r="R490" s="933"/>
      <c r="S490" s="933"/>
      <c r="T490" s="933"/>
      <c r="V490" s="933"/>
      <c r="W490" s="933"/>
      <c r="X490" s="945"/>
      <c r="Y490" s="933"/>
      <c r="Z490" s="933"/>
      <c r="AA490" s="933"/>
      <c r="AB490" s="933"/>
      <c r="AC490" s="933"/>
      <c r="AD490" s="933"/>
      <c r="AE490" s="933"/>
      <c r="AF490" s="933"/>
      <c r="AG490" s="933"/>
    </row>
    <row r="491" spans="1:33" ht="12.75">
      <c r="A491" s="933"/>
      <c r="B491" s="933"/>
      <c r="C491" s="933"/>
      <c r="D491" s="933"/>
      <c r="E491" s="933"/>
      <c r="F491" s="933"/>
      <c r="G491" s="933"/>
      <c r="H491" s="933"/>
      <c r="I491" s="933"/>
      <c r="J491" s="933"/>
      <c r="K491" s="933"/>
      <c r="L491" s="933"/>
      <c r="M491" s="933"/>
      <c r="N491" s="933"/>
      <c r="O491" s="933"/>
      <c r="P491" s="933"/>
      <c r="Q491" s="933"/>
      <c r="R491" s="933"/>
      <c r="S491" s="933"/>
      <c r="T491" s="933"/>
      <c r="V491" s="933"/>
      <c r="W491" s="933"/>
      <c r="X491" s="945"/>
      <c r="Y491" s="933"/>
      <c r="Z491" s="933"/>
      <c r="AA491" s="933"/>
      <c r="AB491" s="933"/>
      <c r="AC491" s="933"/>
      <c r="AD491" s="933"/>
      <c r="AE491" s="933"/>
      <c r="AF491" s="933"/>
      <c r="AG491" s="933"/>
    </row>
    <row r="492" spans="1:33" ht="12.75">
      <c r="A492" s="933"/>
      <c r="B492" s="933"/>
      <c r="C492" s="933"/>
      <c r="D492" s="933"/>
      <c r="E492" s="933"/>
      <c r="F492" s="933"/>
      <c r="G492" s="933"/>
      <c r="H492" s="933"/>
      <c r="I492" s="933"/>
      <c r="J492" s="933"/>
      <c r="K492" s="933"/>
      <c r="L492" s="933"/>
      <c r="M492" s="933"/>
      <c r="N492" s="933"/>
      <c r="O492" s="933"/>
      <c r="P492" s="933"/>
      <c r="Q492" s="933"/>
      <c r="R492" s="933"/>
      <c r="S492" s="933"/>
      <c r="T492" s="933"/>
      <c r="V492" s="933"/>
      <c r="W492" s="933"/>
      <c r="X492" s="945"/>
      <c r="Y492" s="933"/>
      <c r="Z492" s="933"/>
      <c r="AA492" s="933"/>
      <c r="AB492" s="933"/>
      <c r="AC492" s="933"/>
      <c r="AD492" s="933"/>
      <c r="AE492" s="933"/>
      <c r="AF492" s="933"/>
      <c r="AG492" s="933"/>
    </row>
    <row r="493" spans="1:33" ht="12.75">
      <c r="A493" s="933"/>
      <c r="B493" s="933"/>
      <c r="C493" s="933"/>
      <c r="D493" s="933"/>
      <c r="E493" s="933"/>
      <c r="F493" s="933"/>
      <c r="G493" s="933"/>
      <c r="H493" s="933"/>
      <c r="I493" s="933"/>
      <c r="J493" s="933"/>
      <c r="K493" s="933"/>
      <c r="L493" s="933"/>
      <c r="M493" s="933"/>
      <c r="N493" s="933"/>
      <c r="O493" s="933"/>
      <c r="P493" s="933"/>
      <c r="Q493" s="933"/>
      <c r="R493" s="933"/>
      <c r="S493" s="933"/>
      <c r="T493" s="933"/>
      <c r="V493" s="933"/>
      <c r="W493" s="933"/>
      <c r="X493" s="945"/>
      <c r="Y493" s="933"/>
      <c r="Z493" s="933"/>
      <c r="AA493" s="933"/>
      <c r="AB493" s="933"/>
      <c r="AC493" s="933"/>
      <c r="AD493" s="933"/>
      <c r="AE493" s="933"/>
      <c r="AF493" s="933"/>
      <c r="AG493" s="933"/>
    </row>
    <row r="494" spans="1:33" ht="12.75">
      <c r="A494" s="933"/>
      <c r="B494" s="933"/>
      <c r="C494" s="933"/>
      <c r="D494" s="933"/>
      <c r="E494" s="933"/>
      <c r="F494" s="933"/>
      <c r="G494" s="933"/>
      <c r="H494" s="933"/>
      <c r="I494" s="933"/>
      <c r="J494" s="933"/>
      <c r="K494" s="933"/>
      <c r="L494" s="933"/>
      <c r="M494" s="933"/>
      <c r="N494" s="933"/>
      <c r="O494" s="933"/>
      <c r="P494" s="933"/>
      <c r="Q494" s="933"/>
      <c r="R494" s="933"/>
      <c r="S494" s="933"/>
      <c r="T494" s="933"/>
      <c r="V494" s="933"/>
      <c r="W494" s="933"/>
      <c r="X494" s="945"/>
      <c r="Y494" s="933"/>
      <c r="Z494" s="933"/>
      <c r="AA494" s="933"/>
      <c r="AB494" s="933"/>
      <c r="AC494" s="933"/>
      <c r="AD494" s="933"/>
      <c r="AE494" s="933"/>
      <c r="AF494" s="933"/>
      <c r="AG494" s="933"/>
    </row>
    <row r="495" spans="1:33" ht="12.75">
      <c r="A495" s="933"/>
      <c r="B495" s="933"/>
      <c r="C495" s="933"/>
      <c r="D495" s="933"/>
      <c r="E495" s="933"/>
      <c r="F495" s="933"/>
      <c r="G495" s="933"/>
      <c r="H495" s="933"/>
      <c r="I495" s="933"/>
      <c r="J495" s="933"/>
      <c r="K495" s="933"/>
      <c r="L495" s="933"/>
      <c r="M495" s="933"/>
      <c r="N495" s="933"/>
      <c r="O495" s="933"/>
      <c r="P495" s="933"/>
      <c r="Q495" s="933"/>
      <c r="R495" s="933"/>
      <c r="S495" s="933"/>
      <c r="T495" s="933"/>
      <c r="V495" s="933"/>
      <c r="W495" s="933"/>
      <c r="X495" s="945"/>
      <c r="Y495" s="933"/>
      <c r="Z495" s="933"/>
      <c r="AA495" s="933"/>
      <c r="AB495" s="933"/>
      <c r="AC495" s="933"/>
      <c r="AD495" s="933"/>
      <c r="AE495" s="933"/>
      <c r="AF495" s="933"/>
      <c r="AG495" s="933"/>
    </row>
    <row r="496" spans="1:33" ht="12.75">
      <c r="A496" s="933"/>
      <c r="B496" s="933"/>
      <c r="C496" s="933"/>
      <c r="D496" s="933"/>
      <c r="E496" s="933"/>
      <c r="F496" s="933"/>
      <c r="G496" s="933"/>
      <c r="H496" s="933"/>
      <c r="I496" s="933"/>
      <c r="J496" s="933"/>
      <c r="K496" s="933"/>
      <c r="L496" s="933"/>
      <c r="M496" s="933"/>
      <c r="N496" s="933"/>
      <c r="O496" s="933"/>
      <c r="P496" s="933"/>
      <c r="Q496" s="933"/>
      <c r="R496" s="933"/>
      <c r="S496" s="933"/>
      <c r="T496" s="933"/>
      <c r="V496" s="933"/>
      <c r="W496" s="933"/>
      <c r="X496" s="945"/>
      <c r="Y496" s="933"/>
      <c r="Z496" s="933"/>
      <c r="AA496" s="933"/>
      <c r="AB496" s="933"/>
      <c r="AC496" s="933"/>
      <c r="AD496" s="933"/>
      <c r="AE496" s="933"/>
      <c r="AF496" s="933"/>
      <c r="AG496" s="933"/>
    </row>
    <row r="497" spans="1:33" ht="12.75">
      <c r="A497" s="933"/>
      <c r="B497" s="933"/>
      <c r="C497" s="933"/>
      <c r="D497" s="933"/>
      <c r="E497" s="933"/>
      <c r="F497" s="933"/>
      <c r="G497" s="933"/>
      <c r="H497" s="933"/>
      <c r="I497" s="933"/>
      <c r="J497" s="933"/>
      <c r="K497" s="933"/>
      <c r="L497" s="933"/>
      <c r="M497" s="933"/>
      <c r="N497" s="933"/>
      <c r="O497" s="933"/>
      <c r="P497" s="933"/>
      <c r="Q497" s="933"/>
      <c r="R497" s="933"/>
      <c r="S497" s="933"/>
      <c r="T497" s="933"/>
      <c r="V497" s="933"/>
      <c r="W497" s="933"/>
      <c r="X497" s="945"/>
      <c r="Y497" s="933"/>
      <c r="Z497" s="933"/>
      <c r="AA497" s="933"/>
      <c r="AB497" s="933"/>
      <c r="AC497" s="933"/>
      <c r="AD497" s="933"/>
      <c r="AE497" s="933"/>
      <c r="AF497" s="933"/>
      <c r="AG497" s="933"/>
    </row>
    <row r="498" spans="1:33" ht="12.75">
      <c r="A498" s="933"/>
      <c r="B498" s="933"/>
      <c r="C498" s="933"/>
      <c r="D498" s="933"/>
      <c r="E498" s="933"/>
      <c r="F498" s="933"/>
      <c r="G498" s="933"/>
      <c r="H498" s="933"/>
      <c r="I498" s="933"/>
      <c r="J498" s="933"/>
      <c r="K498" s="933"/>
      <c r="L498" s="933"/>
      <c r="M498" s="933"/>
      <c r="N498" s="933"/>
      <c r="O498" s="933"/>
      <c r="P498" s="933"/>
      <c r="Q498" s="933"/>
      <c r="R498" s="933"/>
      <c r="S498" s="933"/>
      <c r="T498" s="933"/>
      <c r="V498" s="933"/>
      <c r="W498" s="933"/>
      <c r="X498" s="945"/>
      <c r="Y498" s="933"/>
      <c r="Z498" s="933"/>
      <c r="AA498" s="933"/>
      <c r="AB498" s="933"/>
      <c r="AC498" s="933"/>
      <c r="AD498" s="933"/>
      <c r="AE498" s="933"/>
      <c r="AF498" s="933"/>
      <c r="AG498" s="933"/>
    </row>
    <row r="499" spans="1:33" ht="12.75">
      <c r="A499" s="933"/>
      <c r="B499" s="933"/>
      <c r="C499" s="933"/>
      <c r="D499" s="933"/>
      <c r="E499" s="933"/>
      <c r="F499" s="933"/>
      <c r="G499" s="933"/>
      <c r="H499" s="933"/>
      <c r="I499" s="933"/>
      <c r="J499" s="933"/>
      <c r="K499" s="933"/>
      <c r="L499" s="933"/>
      <c r="M499" s="933"/>
      <c r="N499" s="933"/>
      <c r="O499" s="933"/>
      <c r="P499" s="933"/>
      <c r="Q499" s="933"/>
      <c r="R499" s="933"/>
      <c r="S499" s="933"/>
      <c r="T499" s="933"/>
      <c r="V499" s="933"/>
      <c r="W499" s="933"/>
      <c r="X499" s="945"/>
      <c r="Y499" s="933"/>
      <c r="Z499" s="933"/>
      <c r="AA499" s="933"/>
      <c r="AB499" s="933"/>
      <c r="AC499" s="933"/>
      <c r="AD499" s="933"/>
      <c r="AE499" s="933"/>
      <c r="AF499" s="933"/>
      <c r="AG499" s="933"/>
    </row>
    <row r="500" spans="1:33" ht="12.75">
      <c r="A500" s="933"/>
      <c r="B500" s="933"/>
      <c r="C500" s="933"/>
      <c r="D500" s="933"/>
      <c r="E500" s="933"/>
      <c r="F500" s="933"/>
      <c r="G500" s="933"/>
      <c r="H500" s="933"/>
      <c r="I500" s="933"/>
      <c r="J500" s="933"/>
      <c r="K500" s="933"/>
      <c r="L500" s="933"/>
      <c r="M500" s="933"/>
      <c r="N500" s="933"/>
      <c r="O500" s="933"/>
      <c r="P500" s="933"/>
      <c r="Q500" s="933"/>
      <c r="R500" s="933"/>
      <c r="S500" s="933"/>
      <c r="T500" s="933"/>
      <c r="V500" s="933"/>
      <c r="W500" s="933"/>
      <c r="X500" s="945"/>
      <c r="Y500" s="933"/>
      <c r="Z500" s="933"/>
      <c r="AA500" s="933"/>
      <c r="AB500" s="933"/>
      <c r="AC500" s="933"/>
      <c r="AD500" s="933"/>
      <c r="AE500" s="933"/>
      <c r="AF500" s="933"/>
      <c r="AG500" s="933"/>
    </row>
    <row r="501" spans="1:33" ht="12.75">
      <c r="A501" s="933"/>
      <c r="B501" s="933"/>
      <c r="C501" s="933"/>
      <c r="D501" s="933"/>
      <c r="E501" s="933"/>
      <c r="F501" s="933"/>
      <c r="G501" s="933"/>
      <c r="H501" s="933"/>
      <c r="I501" s="933"/>
      <c r="J501" s="933"/>
      <c r="K501" s="933"/>
      <c r="L501" s="933"/>
      <c r="M501" s="933"/>
      <c r="N501" s="933"/>
      <c r="O501" s="933"/>
      <c r="P501" s="933"/>
      <c r="Q501" s="933"/>
      <c r="R501" s="933"/>
      <c r="S501" s="933"/>
      <c r="T501" s="933"/>
      <c r="V501" s="933"/>
      <c r="W501" s="933"/>
      <c r="X501" s="945"/>
      <c r="Y501" s="933"/>
      <c r="Z501" s="933"/>
      <c r="AA501" s="933"/>
      <c r="AB501" s="933"/>
      <c r="AC501" s="933"/>
      <c r="AD501" s="933"/>
      <c r="AE501" s="933"/>
      <c r="AF501" s="933"/>
      <c r="AG501" s="933"/>
    </row>
    <row r="502" spans="1:33" ht="12.75">
      <c r="A502" s="933"/>
      <c r="B502" s="933"/>
      <c r="C502" s="933"/>
      <c r="D502" s="933"/>
      <c r="E502" s="933"/>
      <c r="F502" s="933"/>
      <c r="G502" s="933"/>
      <c r="H502" s="933"/>
      <c r="I502" s="933"/>
      <c r="J502" s="933"/>
      <c r="K502" s="933"/>
      <c r="L502" s="933"/>
      <c r="M502" s="933"/>
      <c r="N502" s="933"/>
      <c r="O502" s="933"/>
      <c r="P502" s="933"/>
      <c r="Q502" s="933"/>
      <c r="R502" s="933"/>
      <c r="S502" s="933"/>
      <c r="T502" s="933"/>
      <c r="V502" s="933"/>
      <c r="W502" s="933"/>
      <c r="X502" s="945"/>
      <c r="Y502" s="933"/>
      <c r="Z502" s="933"/>
      <c r="AA502" s="933"/>
      <c r="AB502" s="933"/>
      <c r="AC502" s="933"/>
      <c r="AD502" s="933"/>
      <c r="AE502" s="933"/>
      <c r="AF502" s="933"/>
      <c r="AG502" s="933"/>
    </row>
    <row r="503" spans="1:33" ht="12.75">
      <c r="A503" s="933"/>
      <c r="B503" s="933"/>
      <c r="C503" s="933"/>
      <c r="D503" s="933"/>
      <c r="E503" s="933"/>
      <c r="F503" s="933"/>
      <c r="G503" s="933"/>
      <c r="H503" s="933"/>
      <c r="I503" s="933"/>
      <c r="J503" s="933"/>
      <c r="K503" s="933"/>
      <c r="L503" s="933"/>
      <c r="M503" s="933"/>
      <c r="N503" s="933"/>
      <c r="O503" s="933"/>
      <c r="P503" s="933"/>
      <c r="Q503" s="933"/>
      <c r="R503" s="933"/>
      <c r="S503" s="933"/>
      <c r="T503" s="933"/>
      <c r="V503" s="933"/>
      <c r="W503" s="933"/>
      <c r="X503" s="945"/>
      <c r="Y503" s="933"/>
      <c r="Z503" s="933"/>
      <c r="AA503" s="933"/>
      <c r="AB503" s="933"/>
      <c r="AC503" s="933"/>
      <c r="AD503" s="933"/>
      <c r="AE503" s="933"/>
      <c r="AF503" s="933"/>
      <c r="AG503" s="933"/>
    </row>
    <row r="504" spans="1:33" ht="12.75">
      <c r="A504" s="933"/>
      <c r="B504" s="933"/>
      <c r="C504" s="933"/>
      <c r="D504" s="933"/>
      <c r="E504" s="933"/>
      <c r="F504" s="933"/>
      <c r="G504" s="933"/>
      <c r="H504" s="933"/>
      <c r="I504" s="933"/>
      <c r="J504" s="933"/>
      <c r="K504" s="933"/>
      <c r="L504" s="933"/>
      <c r="M504" s="933"/>
      <c r="N504" s="933"/>
      <c r="O504" s="933"/>
      <c r="P504" s="933"/>
      <c r="Q504" s="933"/>
      <c r="R504" s="933"/>
      <c r="S504" s="933"/>
      <c r="T504" s="933"/>
      <c r="V504" s="933"/>
      <c r="W504" s="933"/>
      <c r="X504" s="945"/>
      <c r="Y504" s="933"/>
      <c r="Z504" s="933"/>
      <c r="AA504" s="933"/>
      <c r="AB504" s="933"/>
      <c r="AC504" s="933"/>
      <c r="AD504" s="933"/>
      <c r="AE504" s="933"/>
      <c r="AF504" s="933"/>
      <c r="AG504" s="933"/>
    </row>
    <row r="505" spans="1:33" ht="12.75">
      <c r="A505" s="933"/>
      <c r="B505" s="933"/>
      <c r="C505" s="933"/>
      <c r="D505" s="933"/>
      <c r="E505" s="933"/>
      <c r="F505" s="933"/>
      <c r="G505" s="933"/>
      <c r="H505" s="933"/>
      <c r="I505" s="933"/>
      <c r="J505" s="933"/>
      <c r="K505" s="933"/>
      <c r="L505" s="933"/>
      <c r="M505" s="933"/>
      <c r="N505" s="933"/>
      <c r="O505" s="933"/>
      <c r="P505" s="933"/>
      <c r="Q505" s="933"/>
      <c r="R505" s="933"/>
      <c r="S505" s="933"/>
      <c r="T505" s="933"/>
      <c r="V505" s="933"/>
      <c r="W505" s="933"/>
      <c r="X505" s="945"/>
      <c r="Y505" s="933"/>
      <c r="Z505" s="933"/>
      <c r="AA505" s="933"/>
      <c r="AB505" s="933"/>
      <c r="AC505" s="933"/>
      <c r="AD505" s="933"/>
      <c r="AE505" s="933"/>
      <c r="AF505" s="933"/>
      <c r="AG505" s="933"/>
    </row>
    <row r="506" spans="1:33" ht="12.75">
      <c r="A506" s="933"/>
      <c r="B506" s="933"/>
      <c r="C506" s="933"/>
      <c r="D506" s="933"/>
      <c r="E506" s="933"/>
      <c r="F506" s="933"/>
      <c r="G506" s="933"/>
      <c r="H506" s="933"/>
      <c r="I506" s="933"/>
      <c r="J506" s="933"/>
      <c r="K506" s="933"/>
      <c r="L506" s="933"/>
      <c r="M506" s="933"/>
      <c r="N506" s="933"/>
      <c r="O506" s="933"/>
      <c r="P506" s="933"/>
      <c r="Q506" s="933"/>
      <c r="R506" s="933"/>
      <c r="S506" s="933"/>
      <c r="T506" s="933"/>
      <c r="V506" s="933"/>
      <c r="W506" s="933"/>
      <c r="X506" s="945"/>
      <c r="Y506" s="933"/>
      <c r="Z506" s="933"/>
      <c r="AA506" s="933"/>
      <c r="AB506" s="933"/>
      <c r="AC506" s="933"/>
      <c r="AD506" s="933"/>
      <c r="AE506" s="933"/>
      <c r="AF506" s="933"/>
      <c r="AG506" s="933"/>
    </row>
    <row r="507" spans="1:33" ht="12.75">
      <c r="A507" s="933"/>
      <c r="B507" s="933"/>
      <c r="C507" s="933"/>
      <c r="D507" s="933"/>
      <c r="E507" s="933"/>
      <c r="F507" s="933"/>
      <c r="G507" s="933"/>
      <c r="H507" s="933"/>
      <c r="I507" s="933"/>
      <c r="J507" s="933"/>
      <c r="K507" s="933"/>
      <c r="L507" s="933"/>
      <c r="M507" s="933"/>
      <c r="N507" s="933"/>
      <c r="O507" s="933"/>
      <c r="P507" s="933"/>
      <c r="Q507" s="933"/>
      <c r="R507" s="933"/>
      <c r="S507" s="933"/>
      <c r="T507" s="933"/>
      <c r="V507" s="933"/>
      <c r="W507" s="933"/>
      <c r="X507" s="945"/>
      <c r="Y507" s="933"/>
      <c r="Z507" s="933"/>
      <c r="AA507" s="933"/>
      <c r="AB507" s="933"/>
      <c r="AC507" s="933"/>
      <c r="AD507" s="933"/>
      <c r="AE507" s="933"/>
      <c r="AF507" s="933"/>
      <c r="AG507" s="933"/>
    </row>
    <row r="508" spans="1:33" ht="12.75">
      <c r="A508" s="933"/>
      <c r="B508" s="933"/>
      <c r="C508" s="933"/>
      <c r="D508" s="933"/>
      <c r="E508" s="933"/>
      <c r="F508" s="933"/>
      <c r="G508" s="933"/>
      <c r="H508" s="933"/>
      <c r="I508" s="933"/>
      <c r="J508" s="933"/>
      <c r="K508" s="933"/>
      <c r="L508" s="933"/>
      <c r="M508" s="933"/>
      <c r="N508" s="933"/>
      <c r="O508" s="933"/>
      <c r="P508" s="933"/>
      <c r="Q508" s="933"/>
      <c r="R508" s="933"/>
      <c r="S508" s="933"/>
      <c r="T508" s="933"/>
      <c r="V508" s="933"/>
      <c r="W508" s="933"/>
      <c r="X508" s="945"/>
      <c r="Y508" s="933"/>
      <c r="Z508" s="933"/>
      <c r="AA508" s="933"/>
      <c r="AB508" s="933"/>
      <c r="AC508" s="933"/>
      <c r="AD508" s="933"/>
      <c r="AE508" s="933"/>
      <c r="AF508" s="933"/>
      <c r="AG508" s="933"/>
    </row>
    <row r="509" spans="1:33" ht="12.75">
      <c r="A509" s="933"/>
      <c r="B509" s="933"/>
      <c r="C509" s="933"/>
      <c r="D509" s="933"/>
      <c r="E509" s="933"/>
      <c r="F509" s="933"/>
      <c r="G509" s="933"/>
      <c r="H509" s="933"/>
      <c r="I509" s="933"/>
      <c r="J509" s="933"/>
      <c r="K509" s="933"/>
      <c r="L509" s="933"/>
      <c r="M509" s="933"/>
      <c r="N509" s="933"/>
      <c r="O509" s="933"/>
      <c r="P509" s="933"/>
      <c r="Q509" s="933"/>
      <c r="R509" s="933"/>
      <c r="S509" s="933"/>
      <c r="T509" s="933"/>
      <c r="V509" s="933"/>
      <c r="W509" s="933"/>
      <c r="X509" s="945"/>
      <c r="Y509" s="933"/>
      <c r="Z509" s="933"/>
      <c r="AA509" s="933"/>
      <c r="AB509" s="933"/>
      <c r="AC509" s="933"/>
      <c r="AD509" s="933"/>
      <c r="AE509" s="933"/>
      <c r="AF509" s="933"/>
      <c r="AG509" s="933"/>
    </row>
    <row r="510" spans="1:33" ht="12.75">
      <c r="A510" s="933"/>
      <c r="B510" s="933"/>
      <c r="C510" s="933"/>
      <c r="D510" s="933"/>
      <c r="E510" s="933"/>
      <c r="F510" s="933"/>
      <c r="G510" s="933"/>
      <c r="H510" s="933"/>
      <c r="I510" s="933"/>
      <c r="J510" s="933"/>
      <c r="K510" s="933"/>
      <c r="L510" s="933"/>
      <c r="M510" s="933"/>
      <c r="N510" s="933"/>
      <c r="O510" s="933"/>
      <c r="P510" s="933"/>
      <c r="Q510" s="933"/>
      <c r="R510" s="933"/>
      <c r="S510" s="933"/>
      <c r="T510" s="933"/>
      <c r="V510" s="933"/>
      <c r="W510" s="933"/>
      <c r="X510" s="945"/>
      <c r="Y510" s="933"/>
      <c r="Z510" s="933"/>
      <c r="AA510" s="933"/>
      <c r="AB510" s="933"/>
      <c r="AC510" s="933"/>
      <c r="AD510" s="933"/>
      <c r="AE510" s="933"/>
      <c r="AF510" s="933"/>
      <c r="AG510" s="933"/>
    </row>
    <row r="511" spans="1:33" ht="12.75">
      <c r="A511" s="933"/>
      <c r="B511" s="933"/>
      <c r="C511" s="933"/>
      <c r="D511" s="933"/>
      <c r="E511" s="933"/>
      <c r="F511" s="933"/>
      <c r="G511" s="933"/>
      <c r="H511" s="933"/>
      <c r="I511" s="933"/>
      <c r="J511" s="933"/>
      <c r="K511" s="933"/>
      <c r="L511" s="933"/>
      <c r="M511" s="933"/>
      <c r="N511" s="933"/>
      <c r="O511" s="933"/>
      <c r="P511" s="933"/>
      <c r="Q511" s="933"/>
      <c r="R511" s="933"/>
      <c r="S511" s="933"/>
      <c r="T511" s="933"/>
      <c r="V511" s="933"/>
      <c r="W511" s="933"/>
      <c r="X511" s="945"/>
      <c r="Y511" s="933"/>
      <c r="Z511" s="933"/>
      <c r="AA511" s="933"/>
      <c r="AB511" s="933"/>
      <c r="AC511" s="933"/>
      <c r="AD511" s="933"/>
      <c r="AE511" s="933"/>
      <c r="AF511" s="933"/>
      <c r="AG511" s="933"/>
    </row>
    <row r="512" spans="1:33" ht="12.75">
      <c r="A512" s="933"/>
      <c r="B512" s="933"/>
      <c r="C512" s="933"/>
      <c r="D512" s="933"/>
      <c r="E512" s="933"/>
      <c r="F512" s="933"/>
      <c r="G512" s="933"/>
      <c r="H512" s="933"/>
      <c r="I512" s="933"/>
      <c r="J512" s="933"/>
      <c r="K512" s="933"/>
      <c r="L512" s="933"/>
      <c r="M512" s="933"/>
      <c r="N512" s="933"/>
      <c r="O512" s="933"/>
      <c r="P512" s="933"/>
      <c r="Q512" s="933"/>
      <c r="R512" s="933"/>
      <c r="S512" s="933"/>
      <c r="T512" s="933"/>
      <c r="V512" s="933"/>
      <c r="W512" s="933"/>
      <c r="X512" s="945"/>
      <c r="Y512" s="933"/>
      <c r="Z512" s="933"/>
      <c r="AA512" s="933"/>
      <c r="AB512" s="933"/>
      <c r="AC512" s="933"/>
      <c r="AD512" s="933"/>
      <c r="AE512" s="933"/>
      <c r="AF512" s="933"/>
      <c r="AG512" s="933"/>
    </row>
    <row r="513" spans="1:33" ht="12.75">
      <c r="A513" s="933"/>
      <c r="B513" s="933"/>
      <c r="C513" s="933"/>
      <c r="D513" s="933"/>
      <c r="E513" s="933"/>
      <c r="F513" s="933"/>
      <c r="G513" s="933"/>
      <c r="H513" s="933"/>
      <c r="I513" s="933"/>
      <c r="J513" s="933"/>
      <c r="K513" s="933"/>
      <c r="L513" s="933"/>
      <c r="M513" s="933"/>
      <c r="N513" s="933"/>
      <c r="O513" s="933"/>
      <c r="P513" s="933"/>
      <c r="Q513" s="933"/>
      <c r="R513" s="933"/>
      <c r="S513" s="933"/>
      <c r="T513" s="933"/>
      <c r="V513" s="933"/>
      <c r="W513" s="933"/>
      <c r="X513" s="945"/>
      <c r="Y513" s="933"/>
      <c r="Z513" s="933"/>
      <c r="AA513" s="933"/>
      <c r="AB513" s="933"/>
      <c r="AC513" s="933"/>
      <c r="AD513" s="933"/>
      <c r="AE513" s="933"/>
      <c r="AF513" s="933"/>
      <c r="AG513" s="933"/>
    </row>
    <row r="514" spans="1:33" ht="12.75">
      <c r="A514" s="933"/>
      <c r="B514" s="933"/>
      <c r="C514" s="933"/>
      <c r="D514" s="933"/>
      <c r="E514" s="933"/>
      <c r="F514" s="933"/>
      <c r="G514" s="933"/>
      <c r="H514" s="933"/>
      <c r="I514" s="933"/>
      <c r="J514" s="933"/>
      <c r="K514" s="933"/>
      <c r="L514" s="933"/>
      <c r="M514" s="933"/>
      <c r="N514" s="933"/>
      <c r="O514" s="933"/>
      <c r="P514" s="933"/>
      <c r="Q514" s="933"/>
      <c r="R514" s="933"/>
      <c r="S514" s="933"/>
      <c r="T514" s="933"/>
      <c r="V514" s="933"/>
      <c r="W514" s="933"/>
      <c r="X514" s="945"/>
      <c r="Y514" s="933"/>
      <c r="Z514" s="933"/>
      <c r="AA514" s="933"/>
      <c r="AB514" s="933"/>
      <c r="AC514" s="933"/>
      <c r="AD514" s="933"/>
      <c r="AE514" s="933"/>
      <c r="AF514" s="933"/>
      <c r="AG514" s="933"/>
    </row>
    <row r="515" spans="1:33" ht="12.75">
      <c r="A515" s="933"/>
      <c r="B515" s="933"/>
      <c r="C515" s="933"/>
      <c r="D515" s="933"/>
      <c r="E515" s="933"/>
      <c r="F515" s="933"/>
      <c r="G515" s="933"/>
      <c r="H515" s="933"/>
      <c r="I515" s="933"/>
      <c r="J515" s="933"/>
      <c r="K515" s="933"/>
      <c r="L515" s="933"/>
      <c r="M515" s="933"/>
      <c r="N515" s="933"/>
      <c r="O515" s="933"/>
      <c r="P515" s="933"/>
      <c r="Q515" s="933"/>
      <c r="R515" s="933"/>
      <c r="S515" s="933"/>
      <c r="T515" s="933"/>
      <c r="V515" s="933"/>
      <c r="W515" s="933"/>
      <c r="X515" s="945"/>
      <c r="Y515" s="933"/>
      <c r="Z515" s="933"/>
      <c r="AA515" s="933"/>
      <c r="AB515" s="933"/>
      <c r="AC515" s="933"/>
      <c r="AD515" s="933"/>
      <c r="AE515" s="933"/>
      <c r="AF515" s="933"/>
      <c r="AG515" s="933"/>
    </row>
    <row r="516" spans="1:33" ht="12.75">
      <c r="A516" s="933"/>
      <c r="B516" s="933"/>
      <c r="C516" s="933"/>
      <c r="D516" s="933"/>
      <c r="E516" s="933"/>
      <c r="F516" s="933"/>
      <c r="G516" s="933"/>
      <c r="H516" s="933"/>
      <c r="I516" s="933"/>
      <c r="J516" s="933"/>
      <c r="K516" s="933"/>
      <c r="L516" s="933"/>
      <c r="M516" s="933"/>
      <c r="N516" s="933"/>
      <c r="O516" s="933"/>
      <c r="P516" s="933"/>
      <c r="Q516" s="933"/>
      <c r="R516" s="933"/>
      <c r="S516" s="933"/>
      <c r="T516" s="933"/>
      <c r="V516" s="933"/>
      <c r="W516" s="933"/>
      <c r="X516" s="945"/>
      <c r="Y516" s="933"/>
      <c r="Z516" s="933"/>
      <c r="AA516" s="933"/>
      <c r="AB516" s="933"/>
      <c r="AC516" s="933"/>
      <c r="AD516" s="933"/>
      <c r="AE516" s="933"/>
      <c r="AF516" s="933"/>
      <c r="AG516" s="933"/>
    </row>
    <row r="517" spans="1:33" ht="12.75">
      <c r="A517" s="933"/>
      <c r="B517" s="933"/>
      <c r="C517" s="933"/>
      <c r="D517" s="933"/>
      <c r="E517" s="933"/>
      <c r="F517" s="933"/>
      <c r="G517" s="933"/>
      <c r="H517" s="933"/>
      <c r="I517" s="933"/>
      <c r="J517" s="933"/>
      <c r="K517" s="933"/>
      <c r="L517" s="933"/>
      <c r="M517" s="933"/>
      <c r="N517" s="933"/>
      <c r="O517" s="933"/>
      <c r="P517" s="933"/>
      <c r="Q517" s="933"/>
      <c r="R517" s="933"/>
      <c r="S517" s="933"/>
      <c r="T517" s="933"/>
      <c r="V517" s="933"/>
      <c r="W517" s="933"/>
      <c r="X517" s="945"/>
      <c r="Y517" s="933"/>
      <c r="Z517" s="933"/>
      <c r="AA517" s="933"/>
      <c r="AB517" s="933"/>
      <c r="AC517" s="933"/>
      <c r="AD517" s="933"/>
      <c r="AE517" s="933"/>
      <c r="AF517" s="933"/>
      <c r="AG517" s="933"/>
    </row>
    <row r="518" spans="1:33" ht="12.75">
      <c r="A518" s="933"/>
      <c r="B518" s="933"/>
      <c r="C518" s="933"/>
      <c r="D518" s="933"/>
      <c r="E518" s="933"/>
      <c r="F518" s="933"/>
      <c r="G518" s="933"/>
      <c r="H518" s="933"/>
      <c r="I518" s="933"/>
      <c r="J518" s="933"/>
      <c r="K518" s="933"/>
      <c r="L518" s="933"/>
      <c r="M518" s="933"/>
      <c r="N518" s="933"/>
      <c r="O518" s="933"/>
      <c r="P518" s="933"/>
      <c r="Q518" s="933"/>
      <c r="R518" s="933"/>
      <c r="S518" s="933"/>
      <c r="T518" s="933"/>
      <c r="V518" s="933"/>
      <c r="W518" s="933"/>
      <c r="X518" s="945"/>
      <c r="Y518" s="933"/>
      <c r="Z518" s="933"/>
      <c r="AA518" s="933"/>
      <c r="AB518" s="933"/>
      <c r="AC518" s="933"/>
      <c r="AD518" s="933"/>
      <c r="AE518" s="933"/>
      <c r="AF518" s="933"/>
      <c r="AG518" s="933"/>
    </row>
    <row r="519" spans="1:33" ht="12.75">
      <c r="A519" s="933"/>
      <c r="B519" s="933"/>
      <c r="C519" s="933"/>
      <c r="D519" s="933"/>
      <c r="E519" s="933"/>
      <c r="F519" s="933"/>
      <c r="G519" s="933"/>
      <c r="H519" s="933"/>
      <c r="I519" s="933"/>
      <c r="J519" s="933"/>
      <c r="K519" s="933"/>
      <c r="L519" s="933"/>
      <c r="M519" s="933"/>
      <c r="N519" s="933"/>
      <c r="O519" s="933"/>
      <c r="P519" s="933"/>
      <c r="Q519" s="933"/>
      <c r="R519" s="933"/>
      <c r="S519" s="933"/>
      <c r="T519" s="933"/>
      <c r="V519" s="933"/>
      <c r="W519" s="933"/>
      <c r="X519" s="945"/>
      <c r="Y519" s="933"/>
      <c r="Z519" s="933"/>
      <c r="AA519" s="933"/>
      <c r="AB519" s="933"/>
      <c r="AC519" s="933"/>
      <c r="AD519" s="933"/>
      <c r="AE519" s="933"/>
      <c r="AF519" s="933"/>
      <c r="AG519" s="933"/>
    </row>
    <row r="520" spans="1:33" ht="12.75">
      <c r="A520" s="933"/>
      <c r="B520" s="933"/>
      <c r="C520" s="933"/>
      <c r="D520" s="933"/>
      <c r="E520" s="933"/>
      <c r="F520" s="933"/>
      <c r="G520" s="933"/>
      <c r="H520" s="933"/>
      <c r="I520" s="933"/>
      <c r="J520" s="933"/>
      <c r="K520" s="933"/>
      <c r="L520" s="933"/>
      <c r="M520" s="933"/>
      <c r="N520" s="933"/>
      <c r="O520" s="933"/>
      <c r="P520" s="933"/>
      <c r="Q520" s="933"/>
      <c r="R520" s="933"/>
      <c r="S520" s="933"/>
      <c r="T520" s="933"/>
      <c r="V520" s="933"/>
      <c r="W520" s="933"/>
      <c r="X520" s="945"/>
      <c r="Y520" s="933"/>
      <c r="Z520" s="933"/>
      <c r="AA520" s="933"/>
      <c r="AB520" s="933"/>
      <c r="AC520" s="933"/>
      <c r="AD520" s="933"/>
      <c r="AE520" s="933"/>
      <c r="AF520" s="933"/>
      <c r="AG520" s="933"/>
    </row>
    <row r="521" spans="1:33" ht="12.75">
      <c r="A521" s="933"/>
      <c r="B521" s="933"/>
      <c r="C521" s="933"/>
      <c r="D521" s="933"/>
      <c r="E521" s="933"/>
      <c r="F521" s="933"/>
      <c r="G521" s="933"/>
      <c r="H521" s="933"/>
      <c r="I521" s="933"/>
      <c r="J521" s="933"/>
      <c r="K521" s="933"/>
      <c r="L521" s="933"/>
      <c r="M521" s="933"/>
      <c r="N521" s="933"/>
      <c r="O521" s="933"/>
      <c r="P521" s="933"/>
      <c r="Q521" s="933"/>
      <c r="R521" s="933"/>
      <c r="S521" s="933"/>
      <c r="T521" s="933"/>
      <c r="V521" s="933"/>
      <c r="W521" s="933"/>
      <c r="X521" s="945"/>
      <c r="Y521" s="933"/>
      <c r="Z521" s="933"/>
      <c r="AA521" s="933"/>
      <c r="AB521" s="933"/>
      <c r="AC521" s="933"/>
      <c r="AD521" s="933"/>
      <c r="AE521" s="933"/>
      <c r="AF521" s="933"/>
      <c r="AG521" s="933"/>
    </row>
    <row r="522" spans="1:33" ht="12.75">
      <c r="A522" s="933"/>
      <c r="B522" s="933"/>
      <c r="C522" s="933"/>
      <c r="D522" s="933"/>
      <c r="E522" s="933"/>
      <c r="F522" s="933"/>
      <c r="G522" s="933"/>
      <c r="H522" s="933"/>
      <c r="I522" s="933"/>
      <c r="J522" s="933"/>
      <c r="K522" s="933"/>
      <c r="L522" s="933"/>
      <c r="M522" s="933"/>
      <c r="N522" s="933"/>
      <c r="O522" s="933"/>
      <c r="P522" s="933"/>
      <c r="Q522" s="933"/>
      <c r="R522" s="933"/>
      <c r="S522" s="933"/>
      <c r="T522" s="933"/>
      <c r="V522" s="933"/>
      <c r="W522" s="933"/>
      <c r="X522" s="945"/>
      <c r="Y522" s="933"/>
      <c r="Z522" s="933"/>
      <c r="AA522" s="933"/>
      <c r="AB522" s="933"/>
      <c r="AC522" s="933"/>
      <c r="AD522" s="933"/>
      <c r="AE522" s="933"/>
      <c r="AF522" s="933"/>
      <c r="AG522" s="933"/>
    </row>
    <row r="523" spans="1:33" ht="12.75">
      <c r="A523" s="933"/>
      <c r="B523" s="933"/>
      <c r="C523" s="933"/>
      <c r="D523" s="933"/>
      <c r="E523" s="933"/>
      <c r="F523" s="933"/>
      <c r="G523" s="933"/>
      <c r="H523" s="933"/>
      <c r="I523" s="933"/>
      <c r="J523" s="933"/>
      <c r="K523" s="933"/>
      <c r="L523" s="933"/>
      <c r="M523" s="933"/>
      <c r="N523" s="933"/>
      <c r="O523" s="933"/>
      <c r="P523" s="933"/>
      <c r="Q523" s="933"/>
      <c r="R523" s="933"/>
      <c r="S523" s="933"/>
      <c r="T523" s="933"/>
      <c r="V523" s="933"/>
      <c r="W523" s="933"/>
      <c r="X523" s="945"/>
      <c r="Y523" s="933"/>
      <c r="Z523" s="933"/>
      <c r="AA523" s="933"/>
      <c r="AB523" s="933"/>
      <c r="AC523" s="933"/>
      <c r="AD523" s="933"/>
      <c r="AE523" s="933"/>
      <c r="AF523" s="933"/>
      <c r="AG523" s="933"/>
    </row>
    <row r="524" spans="1:33" ht="12.75">
      <c r="A524" s="933"/>
      <c r="B524" s="933"/>
      <c r="C524" s="933"/>
      <c r="D524" s="933"/>
      <c r="E524" s="933"/>
      <c r="F524" s="933"/>
      <c r="G524" s="933"/>
      <c r="H524" s="933"/>
      <c r="I524" s="933"/>
      <c r="J524" s="933"/>
      <c r="K524" s="933"/>
      <c r="L524" s="933"/>
      <c r="M524" s="933"/>
      <c r="N524" s="933"/>
      <c r="O524" s="933"/>
      <c r="P524" s="933"/>
      <c r="Q524" s="933"/>
      <c r="R524" s="933"/>
      <c r="S524" s="933"/>
      <c r="T524" s="933"/>
      <c r="V524" s="933"/>
      <c r="W524" s="933"/>
      <c r="X524" s="945"/>
      <c r="Y524" s="933"/>
      <c r="Z524" s="933"/>
      <c r="AA524" s="933"/>
      <c r="AB524" s="933"/>
      <c r="AC524" s="933"/>
      <c r="AD524" s="933"/>
      <c r="AE524" s="933"/>
      <c r="AF524" s="933"/>
      <c r="AG524" s="933"/>
    </row>
    <row r="525" spans="1:33" ht="12.75">
      <c r="A525" s="933"/>
      <c r="B525" s="933"/>
      <c r="C525" s="933"/>
      <c r="D525" s="933"/>
      <c r="E525" s="933"/>
      <c r="F525" s="933"/>
      <c r="G525" s="933"/>
      <c r="H525" s="933"/>
      <c r="I525" s="933"/>
      <c r="J525" s="933"/>
      <c r="K525" s="933"/>
      <c r="L525" s="933"/>
      <c r="M525" s="933"/>
      <c r="N525" s="933"/>
      <c r="O525" s="933"/>
      <c r="P525" s="933"/>
      <c r="Q525" s="933"/>
      <c r="R525" s="933"/>
      <c r="S525" s="933"/>
      <c r="T525" s="933"/>
      <c r="V525" s="933"/>
      <c r="W525" s="933"/>
      <c r="X525" s="945"/>
      <c r="Y525" s="933"/>
      <c r="Z525" s="933"/>
      <c r="AA525" s="933"/>
      <c r="AB525" s="933"/>
      <c r="AC525" s="933"/>
      <c r="AD525" s="933"/>
      <c r="AE525" s="933"/>
      <c r="AF525" s="933"/>
      <c r="AG525" s="933"/>
    </row>
    <row r="526" spans="1:33" ht="12.75">
      <c r="A526" s="933"/>
      <c r="B526" s="933"/>
      <c r="C526" s="933"/>
      <c r="D526" s="933"/>
      <c r="E526" s="933"/>
      <c r="F526" s="933"/>
      <c r="G526" s="933"/>
      <c r="H526" s="933"/>
      <c r="I526" s="933"/>
      <c r="J526" s="933"/>
      <c r="K526" s="933"/>
      <c r="L526" s="933"/>
      <c r="M526" s="933"/>
      <c r="N526" s="933"/>
      <c r="O526" s="933"/>
      <c r="P526" s="933"/>
      <c r="Q526" s="933"/>
      <c r="R526" s="933"/>
      <c r="S526" s="933"/>
      <c r="T526" s="933"/>
      <c r="V526" s="933"/>
      <c r="W526" s="933"/>
      <c r="X526" s="945"/>
      <c r="Y526" s="933"/>
      <c r="Z526" s="933"/>
      <c r="AA526" s="933"/>
      <c r="AB526" s="933"/>
      <c r="AC526" s="933"/>
      <c r="AD526" s="933"/>
      <c r="AE526" s="933"/>
      <c r="AF526" s="933"/>
      <c r="AG526" s="933"/>
    </row>
    <row r="527" spans="1:33" ht="12.75">
      <c r="A527" s="933"/>
      <c r="B527" s="933"/>
      <c r="C527" s="933"/>
      <c r="D527" s="933"/>
      <c r="E527" s="933"/>
      <c r="F527" s="933"/>
      <c r="G527" s="933"/>
      <c r="H527" s="933"/>
      <c r="I527" s="933"/>
      <c r="J527" s="933"/>
      <c r="K527" s="933"/>
      <c r="L527" s="933"/>
      <c r="M527" s="933"/>
      <c r="N527" s="933"/>
      <c r="O527" s="933"/>
      <c r="P527" s="933"/>
      <c r="Q527" s="933"/>
      <c r="R527" s="933"/>
      <c r="S527" s="933"/>
      <c r="T527" s="933"/>
      <c r="V527" s="933"/>
      <c r="W527" s="933"/>
      <c r="X527" s="945"/>
      <c r="Y527" s="933"/>
      <c r="Z527" s="933"/>
      <c r="AA527" s="933"/>
      <c r="AB527" s="933"/>
      <c r="AC527" s="933"/>
      <c r="AD527" s="933"/>
      <c r="AE527" s="933"/>
      <c r="AF527" s="933"/>
      <c r="AG527" s="933"/>
    </row>
    <row r="528" spans="1:33" ht="12.75">
      <c r="A528" s="933"/>
      <c r="B528" s="933"/>
      <c r="C528" s="933"/>
      <c r="D528" s="933"/>
      <c r="E528" s="933"/>
      <c r="F528" s="933"/>
      <c r="G528" s="933"/>
      <c r="H528" s="933"/>
      <c r="I528" s="933"/>
      <c r="J528" s="933"/>
      <c r="K528" s="933"/>
      <c r="L528" s="933"/>
      <c r="M528" s="933"/>
      <c r="N528" s="933"/>
      <c r="O528" s="933"/>
      <c r="P528" s="933"/>
      <c r="Q528" s="933"/>
      <c r="R528" s="933"/>
      <c r="S528" s="933"/>
      <c r="T528" s="933"/>
      <c r="V528" s="933"/>
      <c r="W528" s="933"/>
      <c r="X528" s="945"/>
      <c r="Y528" s="933"/>
      <c r="Z528" s="933"/>
      <c r="AA528" s="933"/>
      <c r="AB528" s="933"/>
      <c r="AC528" s="933"/>
      <c r="AD528" s="933"/>
      <c r="AE528" s="933"/>
      <c r="AF528" s="933"/>
      <c r="AG528" s="933"/>
    </row>
    <row r="529" spans="1:33" ht="12.75">
      <c r="A529" s="933"/>
      <c r="B529" s="933"/>
      <c r="C529" s="933"/>
      <c r="D529" s="933"/>
      <c r="E529" s="933"/>
      <c r="F529" s="933"/>
      <c r="G529" s="933"/>
      <c r="H529" s="933"/>
      <c r="I529" s="933"/>
      <c r="J529" s="933"/>
      <c r="K529" s="933"/>
      <c r="L529" s="933"/>
      <c r="M529" s="933"/>
      <c r="N529" s="933"/>
      <c r="O529" s="933"/>
      <c r="P529" s="933"/>
      <c r="Q529" s="933"/>
      <c r="R529" s="933"/>
      <c r="S529" s="933"/>
      <c r="T529" s="933"/>
      <c r="V529" s="933"/>
      <c r="W529" s="933"/>
      <c r="X529" s="945"/>
      <c r="Y529" s="933"/>
      <c r="Z529" s="933"/>
      <c r="AA529" s="933"/>
      <c r="AB529" s="933"/>
      <c r="AC529" s="933"/>
      <c r="AD529" s="933"/>
      <c r="AE529" s="933"/>
      <c r="AF529" s="933"/>
      <c r="AG529" s="933"/>
    </row>
    <row r="530" spans="1:33" ht="12.75">
      <c r="A530" s="933"/>
      <c r="B530" s="933"/>
      <c r="C530" s="933"/>
      <c r="D530" s="933"/>
      <c r="E530" s="933"/>
      <c r="F530" s="933"/>
      <c r="G530" s="933"/>
      <c r="H530" s="933"/>
      <c r="I530" s="933"/>
      <c r="J530" s="933"/>
      <c r="K530" s="933"/>
      <c r="L530" s="933"/>
      <c r="M530" s="933"/>
      <c r="N530" s="933"/>
      <c r="O530" s="933"/>
      <c r="P530" s="933"/>
      <c r="Q530" s="933"/>
      <c r="R530" s="933"/>
      <c r="S530" s="933"/>
      <c r="T530" s="933"/>
      <c r="V530" s="933"/>
      <c r="W530" s="933"/>
      <c r="X530" s="945"/>
      <c r="Y530" s="933"/>
      <c r="Z530" s="933"/>
      <c r="AA530" s="933"/>
      <c r="AB530" s="933"/>
      <c r="AC530" s="933"/>
      <c r="AD530" s="933"/>
      <c r="AE530" s="933"/>
      <c r="AF530" s="933"/>
      <c r="AG530" s="933"/>
    </row>
    <row r="531" spans="1:33" ht="12.75">
      <c r="A531" s="933"/>
      <c r="B531" s="933"/>
      <c r="C531" s="933"/>
      <c r="D531" s="933"/>
      <c r="E531" s="933"/>
      <c r="F531" s="933"/>
      <c r="G531" s="933"/>
      <c r="H531" s="933"/>
      <c r="I531" s="933"/>
      <c r="J531" s="933"/>
      <c r="K531" s="933"/>
      <c r="L531" s="933"/>
      <c r="M531" s="933"/>
      <c r="N531" s="933"/>
      <c r="O531" s="933"/>
      <c r="P531" s="933"/>
      <c r="Q531" s="933"/>
      <c r="R531" s="933"/>
      <c r="S531" s="933"/>
      <c r="T531" s="933"/>
      <c r="V531" s="933"/>
      <c r="W531" s="933"/>
      <c r="X531" s="945"/>
      <c r="Y531" s="933"/>
      <c r="Z531" s="933"/>
      <c r="AA531" s="933"/>
      <c r="AB531" s="933"/>
      <c r="AC531" s="933"/>
      <c r="AD531" s="933"/>
      <c r="AE531" s="933"/>
      <c r="AF531" s="933"/>
      <c r="AG531" s="933"/>
    </row>
    <row r="532" spans="1:33" ht="12.75">
      <c r="A532" s="933"/>
      <c r="B532" s="933"/>
      <c r="C532" s="933"/>
      <c r="D532" s="933"/>
      <c r="E532" s="933"/>
      <c r="F532" s="933"/>
      <c r="G532" s="933"/>
      <c r="H532" s="933"/>
      <c r="I532" s="933"/>
      <c r="J532" s="933"/>
      <c r="K532" s="933"/>
      <c r="L532" s="933"/>
      <c r="M532" s="933"/>
      <c r="N532" s="933"/>
      <c r="O532" s="933"/>
      <c r="P532" s="933"/>
      <c r="Q532" s="933"/>
      <c r="R532" s="933"/>
      <c r="S532" s="933"/>
      <c r="T532" s="933"/>
      <c r="V532" s="933"/>
      <c r="W532" s="933"/>
      <c r="X532" s="945"/>
      <c r="Y532" s="933"/>
      <c r="Z532" s="933"/>
      <c r="AA532" s="933"/>
      <c r="AB532" s="933"/>
      <c r="AC532" s="933"/>
      <c r="AD532" s="933"/>
      <c r="AE532" s="933"/>
      <c r="AF532" s="933"/>
      <c r="AG532" s="933"/>
    </row>
    <row r="533" spans="1:33" ht="12.75">
      <c r="A533" s="933"/>
      <c r="B533" s="933"/>
      <c r="C533" s="933"/>
      <c r="D533" s="933"/>
      <c r="E533" s="933"/>
      <c r="F533" s="933"/>
      <c r="G533" s="933"/>
      <c r="H533" s="933"/>
      <c r="I533" s="933"/>
      <c r="J533" s="933"/>
      <c r="K533" s="933"/>
      <c r="L533" s="933"/>
      <c r="M533" s="933"/>
      <c r="N533" s="933"/>
      <c r="O533" s="933"/>
      <c r="P533" s="933"/>
      <c r="Q533" s="933"/>
      <c r="R533" s="933"/>
      <c r="S533" s="933"/>
      <c r="T533" s="933"/>
      <c r="V533" s="933"/>
      <c r="W533" s="933"/>
      <c r="X533" s="945"/>
      <c r="Y533" s="933"/>
      <c r="Z533" s="933"/>
      <c r="AA533" s="933"/>
      <c r="AB533" s="933"/>
      <c r="AC533" s="933"/>
      <c r="AD533" s="933"/>
      <c r="AE533" s="933"/>
      <c r="AF533" s="933"/>
      <c r="AG533" s="933"/>
    </row>
    <row r="534" spans="1:33" ht="12.75">
      <c r="A534" s="933"/>
      <c r="B534" s="933"/>
      <c r="C534" s="933"/>
      <c r="D534" s="933"/>
      <c r="E534" s="933"/>
      <c r="F534" s="933"/>
      <c r="G534" s="933"/>
      <c r="H534" s="933"/>
      <c r="I534" s="933"/>
      <c r="J534" s="933"/>
      <c r="K534" s="933"/>
      <c r="L534" s="933"/>
      <c r="M534" s="933"/>
      <c r="N534" s="933"/>
      <c r="O534" s="933"/>
      <c r="P534" s="933"/>
      <c r="Q534" s="933"/>
      <c r="R534" s="933"/>
      <c r="S534" s="933"/>
      <c r="T534" s="933"/>
      <c r="V534" s="933"/>
      <c r="W534" s="933"/>
      <c r="X534" s="945"/>
      <c r="Y534" s="933"/>
      <c r="Z534" s="933"/>
      <c r="AA534" s="933"/>
      <c r="AB534" s="933"/>
      <c r="AC534" s="933"/>
      <c r="AD534" s="933"/>
      <c r="AE534" s="933"/>
      <c r="AF534" s="933"/>
      <c r="AG534" s="933"/>
    </row>
    <row r="535" spans="1:33" ht="12.75">
      <c r="A535" s="933"/>
      <c r="B535" s="933"/>
      <c r="C535" s="933"/>
      <c r="D535" s="933"/>
      <c r="E535" s="933"/>
      <c r="F535" s="933"/>
      <c r="G535" s="933"/>
      <c r="H535" s="933"/>
      <c r="I535" s="933"/>
      <c r="J535" s="933"/>
      <c r="K535" s="933"/>
      <c r="L535" s="933"/>
      <c r="M535" s="933"/>
      <c r="N535" s="933"/>
      <c r="O535" s="933"/>
      <c r="P535" s="933"/>
      <c r="Q535" s="933"/>
      <c r="R535" s="933"/>
      <c r="S535" s="933"/>
      <c r="T535" s="933"/>
      <c r="V535" s="933"/>
      <c r="W535" s="933"/>
      <c r="X535" s="945"/>
      <c r="Y535" s="933"/>
      <c r="Z535" s="933"/>
      <c r="AA535" s="933"/>
      <c r="AB535" s="933"/>
      <c r="AC535" s="933"/>
      <c r="AD535" s="933"/>
      <c r="AE535" s="933"/>
      <c r="AF535" s="933"/>
      <c r="AG535" s="933"/>
    </row>
    <row r="536" spans="1:33" ht="12.75">
      <c r="A536" s="933"/>
      <c r="B536" s="933"/>
      <c r="C536" s="933"/>
      <c r="D536" s="933"/>
      <c r="E536" s="933"/>
      <c r="F536" s="933"/>
      <c r="G536" s="933"/>
      <c r="H536" s="933"/>
      <c r="I536" s="933"/>
      <c r="J536" s="933"/>
      <c r="K536" s="933"/>
      <c r="L536" s="933"/>
      <c r="M536" s="933"/>
      <c r="N536" s="933"/>
      <c r="O536" s="933"/>
      <c r="P536" s="933"/>
      <c r="Q536" s="933"/>
      <c r="R536" s="933"/>
      <c r="S536" s="933"/>
      <c r="T536" s="933"/>
      <c r="V536" s="933"/>
      <c r="W536" s="933"/>
      <c r="X536" s="945"/>
      <c r="Y536" s="933"/>
      <c r="Z536" s="933"/>
      <c r="AA536" s="933"/>
      <c r="AB536" s="933"/>
      <c r="AC536" s="933"/>
      <c r="AD536" s="933"/>
      <c r="AE536" s="933"/>
      <c r="AF536" s="933"/>
      <c r="AG536" s="933"/>
    </row>
    <row r="537" spans="1:33" ht="12.75">
      <c r="A537" s="933"/>
      <c r="B537" s="933"/>
      <c r="C537" s="933"/>
      <c r="D537" s="933"/>
      <c r="E537" s="933"/>
      <c r="F537" s="933"/>
      <c r="G537" s="933"/>
      <c r="H537" s="933"/>
      <c r="I537" s="933"/>
      <c r="J537" s="933"/>
      <c r="K537" s="933"/>
      <c r="L537" s="933"/>
      <c r="M537" s="933"/>
      <c r="N537" s="933"/>
      <c r="O537" s="933"/>
      <c r="P537" s="933"/>
      <c r="Q537" s="933"/>
      <c r="R537" s="933"/>
      <c r="S537" s="933"/>
      <c r="T537" s="933"/>
      <c r="V537" s="933"/>
      <c r="W537" s="933"/>
      <c r="X537" s="945"/>
      <c r="Y537" s="933"/>
      <c r="Z537" s="933"/>
      <c r="AA537" s="933"/>
      <c r="AB537" s="933"/>
      <c r="AC537" s="933"/>
      <c r="AD537" s="933"/>
      <c r="AE537" s="933"/>
      <c r="AF537" s="933"/>
      <c r="AG537" s="933"/>
    </row>
    <row r="538" spans="1:33" ht="12.75">
      <c r="A538" s="933"/>
      <c r="B538" s="933"/>
      <c r="C538" s="933"/>
      <c r="D538" s="933"/>
      <c r="E538" s="933"/>
      <c r="F538" s="933"/>
      <c r="G538" s="933"/>
      <c r="H538" s="933"/>
      <c r="I538" s="933"/>
      <c r="J538" s="933"/>
      <c r="K538" s="933"/>
      <c r="L538" s="933"/>
      <c r="M538" s="933"/>
      <c r="N538" s="933"/>
      <c r="O538" s="933"/>
      <c r="P538" s="933"/>
      <c r="Q538" s="933"/>
      <c r="R538" s="933"/>
      <c r="S538" s="933"/>
      <c r="T538" s="933"/>
      <c r="V538" s="933"/>
      <c r="W538" s="933"/>
      <c r="X538" s="945"/>
      <c r="Y538" s="933"/>
      <c r="Z538" s="933"/>
      <c r="AA538" s="933"/>
      <c r="AB538" s="933"/>
      <c r="AC538" s="933"/>
      <c r="AD538" s="933"/>
      <c r="AE538" s="933"/>
      <c r="AF538" s="933"/>
      <c r="AG538" s="933"/>
    </row>
    <row r="539" spans="1:33" ht="12.75">
      <c r="A539" s="933"/>
      <c r="B539" s="933"/>
      <c r="C539" s="933"/>
      <c r="D539" s="933"/>
      <c r="E539" s="933"/>
      <c r="F539" s="933"/>
      <c r="G539" s="933"/>
      <c r="H539" s="933"/>
      <c r="I539" s="933"/>
      <c r="J539" s="933"/>
      <c r="K539" s="933"/>
      <c r="L539" s="933"/>
      <c r="M539" s="933"/>
      <c r="N539" s="933"/>
      <c r="O539" s="933"/>
      <c r="P539" s="933"/>
      <c r="Q539" s="933"/>
      <c r="R539" s="933"/>
      <c r="S539" s="933"/>
      <c r="T539" s="933"/>
      <c r="V539" s="933"/>
      <c r="W539" s="933"/>
      <c r="X539" s="945"/>
      <c r="Y539" s="933"/>
      <c r="Z539" s="933"/>
      <c r="AA539" s="933"/>
      <c r="AB539" s="933"/>
      <c r="AC539" s="933"/>
      <c r="AD539" s="933"/>
      <c r="AE539" s="933"/>
      <c r="AF539" s="933"/>
      <c r="AG539" s="933"/>
    </row>
    <row r="540" spans="1:33" ht="12.75">
      <c r="A540" s="933"/>
      <c r="B540" s="933"/>
      <c r="C540" s="933"/>
      <c r="D540" s="933"/>
      <c r="E540" s="933"/>
      <c r="F540" s="933"/>
      <c r="G540" s="933"/>
      <c r="H540" s="933"/>
      <c r="I540" s="933"/>
      <c r="J540" s="933"/>
      <c r="K540" s="933"/>
      <c r="L540" s="933"/>
      <c r="M540" s="933"/>
      <c r="N540" s="933"/>
      <c r="O540" s="933"/>
      <c r="P540" s="933"/>
      <c r="Q540" s="933"/>
      <c r="R540" s="933"/>
      <c r="S540" s="933"/>
      <c r="T540" s="933"/>
      <c r="V540" s="933"/>
      <c r="W540" s="933"/>
      <c r="X540" s="945"/>
      <c r="Y540" s="933"/>
      <c r="Z540" s="933"/>
      <c r="AA540" s="933"/>
      <c r="AB540" s="933"/>
      <c r="AC540" s="933"/>
      <c r="AD540" s="933"/>
      <c r="AE540" s="933"/>
      <c r="AF540" s="933"/>
      <c r="AG540" s="933"/>
    </row>
    <row r="541" spans="1:33" ht="12.75">
      <c r="A541" s="933"/>
      <c r="B541" s="933"/>
      <c r="C541" s="933"/>
      <c r="D541" s="933"/>
      <c r="E541" s="933"/>
      <c r="F541" s="933"/>
      <c r="G541" s="933"/>
      <c r="H541" s="933"/>
      <c r="I541" s="933"/>
      <c r="J541" s="933"/>
      <c r="K541" s="933"/>
      <c r="L541" s="933"/>
      <c r="M541" s="933"/>
      <c r="N541" s="933"/>
      <c r="O541" s="933"/>
      <c r="P541" s="933"/>
      <c r="Q541" s="933"/>
      <c r="R541" s="933"/>
      <c r="S541" s="933"/>
      <c r="T541" s="933"/>
      <c r="V541" s="933"/>
      <c r="W541" s="933"/>
      <c r="X541" s="945"/>
      <c r="Y541" s="933"/>
      <c r="Z541" s="933"/>
      <c r="AA541" s="933"/>
      <c r="AB541" s="933"/>
      <c r="AC541" s="933"/>
      <c r="AD541" s="933"/>
      <c r="AE541" s="933"/>
      <c r="AF541" s="933"/>
      <c r="AG541" s="933"/>
    </row>
    <row r="542" spans="1:33" ht="12.75">
      <c r="A542" s="933"/>
      <c r="B542" s="933"/>
      <c r="C542" s="933"/>
      <c r="D542" s="933"/>
      <c r="E542" s="933"/>
      <c r="F542" s="933"/>
      <c r="G542" s="933"/>
      <c r="H542" s="933"/>
      <c r="I542" s="933"/>
      <c r="J542" s="933"/>
      <c r="K542" s="933"/>
      <c r="L542" s="933"/>
      <c r="M542" s="933"/>
      <c r="N542" s="933"/>
      <c r="O542" s="933"/>
      <c r="P542" s="933"/>
      <c r="Q542" s="933"/>
      <c r="R542" s="933"/>
      <c r="S542" s="933"/>
      <c r="T542" s="933"/>
      <c r="V542" s="933"/>
      <c r="W542" s="933"/>
      <c r="X542" s="945"/>
      <c r="Y542" s="933"/>
      <c r="Z542" s="933"/>
      <c r="AA542" s="933"/>
      <c r="AB542" s="933"/>
      <c r="AC542" s="933"/>
      <c r="AD542" s="933"/>
      <c r="AE542" s="933"/>
      <c r="AF542" s="933"/>
      <c r="AG542" s="933"/>
    </row>
    <row r="543" spans="1:33" ht="12.75">
      <c r="A543" s="933"/>
      <c r="B543" s="933"/>
      <c r="C543" s="933"/>
      <c r="D543" s="933"/>
      <c r="E543" s="933"/>
      <c r="F543" s="933"/>
      <c r="G543" s="933"/>
      <c r="H543" s="933"/>
      <c r="I543" s="933"/>
      <c r="J543" s="933"/>
      <c r="K543" s="933"/>
      <c r="L543" s="933"/>
      <c r="M543" s="933"/>
      <c r="N543" s="933"/>
      <c r="O543" s="933"/>
      <c r="P543" s="933"/>
      <c r="Q543" s="933"/>
      <c r="R543" s="933"/>
      <c r="S543" s="933"/>
      <c r="T543" s="933"/>
      <c r="V543" s="933"/>
      <c r="W543" s="933"/>
      <c r="X543" s="945"/>
      <c r="Y543" s="933"/>
      <c r="Z543" s="933"/>
      <c r="AA543" s="933"/>
      <c r="AB543" s="933"/>
      <c r="AC543" s="933"/>
      <c r="AD543" s="933"/>
      <c r="AE543" s="933"/>
      <c r="AF543" s="933"/>
      <c r="AG543" s="933"/>
    </row>
    <row r="544" spans="1:33" ht="12.75">
      <c r="A544" s="933"/>
      <c r="B544" s="933"/>
      <c r="C544" s="933"/>
      <c r="D544" s="933"/>
      <c r="E544" s="933"/>
      <c r="F544" s="933"/>
      <c r="G544" s="933"/>
      <c r="H544" s="933"/>
      <c r="I544" s="933"/>
      <c r="J544" s="933"/>
      <c r="K544" s="933"/>
      <c r="L544" s="933"/>
      <c r="M544" s="933"/>
      <c r="N544" s="933"/>
      <c r="O544" s="933"/>
      <c r="P544" s="933"/>
      <c r="Q544" s="933"/>
      <c r="R544" s="933"/>
      <c r="S544" s="933"/>
      <c r="T544" s="933"/>
      <c r="V544" s="933"/>
      <c r="W544" s="933"/>
      <c r="X544" s="945"/>
      <c r="Y544" s="933"/>
      <c r="Z544" s="933"/>
      <c r="AA544" s="933"/>
      <c r="AB544" s="933"/>
      <c r="AC544" s="933"/>
      <c r="AD544" s="933"/>
      <c r="AE544" s="933"/>
      <c r="AF544" s="933"/>
      <c r="AG544" s="933"/>
    </row>
    <row r="545" spans="1:33" ht="12.75">
      <c r="A545" s="933"/>
      <c r="B545" s="933"/>
      <c r="C545" s="933"/>
      <c r="D545" s="933"/>
      <c r="E545" s="933"/>
      <c r="F545" s="933"/>
      <c r="G545" s="933"/>
      <c r="H545" s="933"/>
      <c r="I545" s="933"/>
      <c r="J545" s="933"/>
      <c r="K545" s="933"/>
      <c r="L545" s="933"/>
      <c r="M545" s="933"/>
      <c r="N545" s="933"/>
      <c r="O545" s="933"/>
      <c r="P545" s="933"/>
      <c r="Q545" s="933"/>
      <c r="R545" s="933"/>
      <c r="S545" s="933"/>
      <c r="T545" s="933"/>
      <c r="V545" s="933"/>
      <c r="W545" s="933"/>
      <c r="X545" s="945"/>
      <c r="Y545" s="933"/>
      <c r="Z545" s="933"/>
      <c r="AA545" s="933"/>
      <c r="AB545" s="933"/>
      <c r="AC545" s="933"/>
      <c r="AD545" s="933"/>
      <c r="AE545" s="933"/>
      <c r="AF545" s="933"/>
      <c r="AG545" s="933"/>
    </row>
    <row r="546" spans="1:33" ht="12.75">
      <c r="A546" s="933"/>
      <c r="B546" s="933"/>
      <c r="C546" s="933"/>
      <c r="D546" s="933"/>
      <c r="E546" s="933"/>
      <c r="F546" s="933"/>
      <c r="G546" s="933"/>
      <c r="H546" s="933"/>
      <c r="I546" s="933"/>
      <c r="J546" s="933"/>
      <c r="K546" s="933"/>
      <c r="L546" s="933"/>
      <c r="M546" s="933"/>
      <c r="N546" s="933"/>
      <c r="O546" s="933"/>
      <c r="P546" s="933"/>
      <c r="Q546" s="933"/>
      <c r="R546" s="933"/>
      <c r="S546" s="933"/>
      <c r="T546" s="933"/>
      <c r="V546" s="933"/>
      <c r="W546" s="933"/>
      <c r="X546" s="945"/>
      <c r="Y546" s="933"/>
      <c r="Z546" s="933"/>
      <c r="AA546" s="933"/>
      <c r="AB546" s="933"/>
      <c r="AC546" s="933"/>
      <c r="AD546" s="933"/>
      <c r="AE546" s="933"/>
      <c r="AF546" s="933"/>
      <c r="AG546" s="933"/>
    </row>
    <row r="547" spans="1:33" ht="12.75">
      <c r="A547" s="933"/>
      <c r="B547" s="933"/>
      <c r="C547" s="933"/>
      <c r="D547" s="933"/>
      <c r="E547" s="933"/>
      <c r="F547" s="933"/>
      <c r="G547" s="933"/>
      <c r="H547" s="933"/>
      <c r="I547" s="933"/>
      <c r="J547" s="933"/>
      <c r="K547" s="933"/>
      <c r="L547" s="933"/>
      <c r="M547" s="933"/>
      <c r="N547" s="933"/>
      <c r="O547" s="933"/>
      <c r="P547" s="933"/>
      <c r="Q547" s="933"/>
      <c r="R547" s="933"/>
      <c r="S547" s="933"/>
      <c r="T547" s="933"/>
      <c r="V547" s="933"/>
      <c r="W547" s="933"/>
      <c r="X547" s="945"/>
      <c r="Y547" s="933"/>
      <c r="Z547" s="933"/>
      <c r="AA547" s="933"/>
      <c r="AB547" s="933"/>
      <c r="AC547" s="933"/>
      <c r="AD547" s="933"/>
      <c r="AE547" s="933"/>
      <c r="AF547" s="933"/>
      <c r="AG547" s="933"/>
    </row>
    <row r="548" spans="1:33" ht="12.75">
      <c r="A548" s="933"/>
      <c r="B548" s="933"/>
      <c r="C548" s="933"/>
      <c r="D548" s="933"/>
      <c r="E548" s="933"/>
      <c r="F548" s="933"/>
      <c r="G548" s="933"/>
      <c r="H548" s="933"/>
      <c r="I548" s="933"/>
      <c r="J548" s="933"/>
      <c r="K548" s="933"/>
      <c r="L548" s="933"/>
      <c r="M548" s="933"/>
      <c r="N548" s="933"/>
      <c r="O548" s="933"/>
      <c r="P548" s="933"/>
      <c r="Q548" s="933"/>
      <c r="R548" s="933"/>
      <c r="S548" s="933"/>
      <c r="T548" s="933"/>
      <c r="V548" s="933"/>
      <c r="W548" s="933"/>
      <c r="X548" s="945"/>
      <c r="Y548" s="933"/>
      <c r="Z548" s="933"/>
      <c r="AA548" s="933"/>
      <c r="AB548" s="933"/>
      <c r="AC548" s="933"/>
      <c r="AD548" s="933"/>
      <c r="AE548" s="933"/>
      <c r="AF548" s="933"/>
      <c r="AG548" s="933"/>
    </row>
    <row r="549" spans="1:33" ht="12.75">
      <c r="A549" s="933"/>
      <c r="B549" s="933"/>
      <c r="C549" s="933"/>
      <c r="D549" s="933"/>
      <c r="E549" s="933"/>
      <c r="F549" s="933"/>
      <c r="G549" s="933"/>
      <c r="H549" s="933"/>
      <c r="I549" s="933"/>
      <c r="J549" s="933"/>
      <c r="K549" s="933"/>
      <c r="L549" s="933"/>
      <c r="M549" s="933"/>
      <c r="N549" s="933"/>
      <c r="O549" s="933"/>
      <c r="P549" s="933"/>
      <c r="Q549" s="933"/>
      <c r="R549" s="933"/>
      <c r="S549" s="933"/>
      <c r="T549" s="933"/>
      <c r="V549" s="933"/>
      <c r="W549" s="933"/>
      <c r="X549" s="945"/>
      <c r="Y549" s="933"/>
      <c r="Z549" s="933"/>
      <c r="AA549" s="933"/>
      <c r="AB549" s="933"/>
      <c r="AC549" s="933"/>
      <c r="AD549" s="933"/>
      <c r="AE549" s="933"/>
      <c r="AF549" s="933"/>
      <c r="AG549" s="933"/>
    </row>
    <row r="550" spans="1:33" ht="12.75">
      <c r="A550" s="933"/>
      <c r="B550" s="933"/>
      <c r="C550" s="933"/>
      <c r="D550" s="933"/>
      <c r="E550" s="933"/>
      <c r="F550" s="933"/>
      <c r="G550" s="933"/>
      <c r="H550" s="933"/>
      <c r="I550" s="933"/>
      <c r="J550" s="933"/>
      <c r="K550" s="933"/>
      <c r="L550" s="933"/>
      <c r="M550" s="933"/>
      <c r="N550" s="933"/>
      <c r="O550" s="933"/>
      <c r="P550" s="933"/>
      <c r="Q550" s="933"/>
      <c r="R550" s="933"/>
      <c r="S550" s="933"/>
      <c r="T550" s="933"/>
      <c r="V550" s="933"/>
      <c r="W550" s="933"/>
      <c r="X550" s="945"/>
      <c r="Y550" s="933"/>
      <c r="Z550" s="933"/>
      <c r="AA550" s="933"/>
      <c r="AB550" s="933"/>
      <c r="AC550" s="933"/>
      <c r="AD550" s="933"/>
      <c r="AE550" s="933"/>
      <c r="AF550" s="933"/>
      <c r="AG550" s="933"/>
    </row>
    <row r="551" spans="1:33" ht="12.75">
      <c r="A551" s="933"/>
      <c r="B551" s="933"/>
      <c r="C551" s="933"/>
      <c r="D551" s="933"/>
      <c r="E551" s="933"/>
      <c r="F551" s="933"/>
      <c r="G551" s="933"/>
      <c r="H551" s="933"/>
      <c r="I551" s="933"/>
      <c r="J551" s="933"/>
      <c r="K551" s="933"/>
      <c r="L551" s="933"/>
      <c r="M551" s="933"/>
      <c r="N551" s="933"/>
      <c r="O551" s="933"/>
      <c r="P551" s="933"/>
      <c r="Q551" s="933"/>
      <c r="R551" s="933"/>
      <c r="S551" s="933"/>
      <c r="T551" s="933"/>
      <c r="V551" s="933"/>
      <c r="W551" s="933"/>
      <c r="X551" s="945"/>
      <c r="Y551" s="933"/>
      <c r="Z551" s="933"/>
      <c r="AA551" s="933"/>
      <c r="AB551" s="933"/>
      <c r="AC551" s="933"/>
      <c r="AD551" s="933"/>
      <c r="AE551" s="933"/>
      <c r="AF551" s="933"/>
      <c r="AG551" s="933"/>
    </row>
    <row r="552" spans="1:33" ht="12.75">
      <c r="A552" s="933"/>
      <c r="B552" s="933"/>
      <c r="C552" s="933"/>
      <c r="D552" s="933"/>
      <c r="E552" s="933"/>
      <c r="F552" s="933"/>
      <c r="G552" s="933"/>
      <c r="H552" s="933"/>
      <c r="I552" s="933"/>
      <c r="J552" s="933"/>
      <c r="K552" s="933"/>
      <c r="L552" s="933"/>
      <c r="M552" s="933"/>
      <c r="N552" s="933"/>
      <c r="O552" s="933"/>
      <c r="P552" s="933"/>
      <c r="Q552" s="933"/>
      <c r="R552" s="933"/>
      <c r="S552" s="933"/>
      <c r="T552" s="933"/>
      <c r="V552" s="933"/>
      <c r="W552" s="933"/>
      <c r="X552" s="945"/>
      <c r="Y552" s="933"/>
      <c r="Z552" s="933"/>
      <c r="AA552" s="933"/>
      <c r="AB552" s="933"/>
      <c r="AC552" s="933"/>
      <c r="AD552" s="933"/>
      <c r="AE552" s="933"/>
      <c r="AF552" s="933"/>
      <c r="AG552" s="933"/>
    </row>
    <row r="553" spans="1:33" ht="12.75">
      <c r="A553" s="933"/>
      <c r="B553" s="933"/>
      <c r="C553" s="933"/>
      <c r="D553" s="933"/>
      <c r="E553" s="933"/>
      <c r="F553" s="933"/>
      <c r="G553" s="933"/>
      <c r="H553" s="933"/>
      <c r="I553" s="933"/>
      <c r="J553" s="933"/>
      <c r="K553" s="933"/>
      <c r="L553" s="933"/>
      <c r="M553" s="933"/>
      <c r="N553" s="933"/>
      <c r="O553" s="933"/>
      <c r="P553" s="933"/>
      <c r="Q553" s="933"/>
      <c r="R553" s="933"/>
      <c r="S553" s="933"/>
      <c r="T553" s="933"/>
      <c r="V553" s="933"/>
      <c r="W553" s="933"/>
      <c r="X553" s="945"/>
      <c r="Y553" s="933"/>
      <c r="Z553" s="933"/>
      <c r="AA553" s="933"/>
      <c r="AB553" s="933"/>
      <c r="AC553" s="933"/>
      <c r="AD553" s="933"/>
      <c r="AE553" s="933"/>
      <c r="AF553" s="933"/>
      <c r="AG553" s="933"/>
    </row>
    <row r="554" spans="1:33" ht="12.75">
      <c r="A554" s="933"/>
      <c r="B554" s="933"/>
      <c r="C554" s="933"/>
      <c r="D554" s="933"/>
      <c r="E554" s="933"/>
      <c r="F554" s="933"/>
      <c r="G554" s="933"/>
      <c r="H554" s="933"/>
      <c r="I554" s="933"/>
      <c r="J554" s="933"/>
      <c r="K554" s="933"/>
      <c r="L554" s="933"/>
      <c r="M554" s="933"/>
      <c r="N554" s="933"/>
      <c r="O554" s="933"/>
      <c r="P554" s="933"/>
      <c r="Q554" s="933"/>
      <c r="R554" s="933"/>
      <c r="S554" s="933"/>
      <c r="T554" s="933"/>
      <c r="V554" s="933"/>
      <c r="W554" s="933"/>
      <c r="X554" s="945"/>
      <c r="Y554" s="933"/>
      <c r="Z554" s="933"/>
      <c r="AA554" s="933"/>
      <c r="AB554" s="933"/>
      <c r="AC554" s="933"/>
      <c r="AD554" s="933"/>
      <c r="AE554" s="933"/>
      <c r="AF554" s="933"/>
      <c r="AG554" s="933"/>
    </row>
    <row r="555" spans="1:33" ht="12.75">
      <c r="A555" s="933"/>
      <c r="B555" s="933"/>
      <c r="C555" s="933"/>
      <c r="D555" s="933"/>
      <c r="E555" s="933"/>
      <c r="F555" s="933"/>
      <c r="G555" s="933"/>
      <c r="H555" s="933"/>
      <c r="I555" s="933"/>
      <c r="J555" s="933"/>
      <c r="K555" s="933"/>
      <c r="L555" s="933"/>
      <c r="M555" s="933"/>
      <c r="N555" s="933"/>
      <c r="O555" s="933"/>
      <c r="P555" s="933"/>
      <c r="Q555" s="933"/>
      <c r="R555" s="933"/>
      <c r="S555" s="933"/>
      <c r="T555" s="933"/>
      <c r="V555" s="933"/>
      <c r="W555" s="933"/>
      <c r="X555" s="945"/>
      <c r="Y555" s="933"/>
      <c r="Z555" s="933"/>
      <c r="AA555" s="933"/>
      <c r="AB555" s="933"/>
      <c r="AC555" s="933"/>
      <c r="AD555" s="933"/>
      <c r="AE555" s="933"/>
      <c r="AF555" s="933"/>
      <c r="AG555" s="933"/>
    </row>
    <row r="556" spans="1:33" ht="12.75">
      <c r="A556" s="933"/>
      <c r="B556" s="933"/>
      <c r="C556" s="933"/>
      <c r="D556" s="933"/>
      <c r="E556" s="933"/>
      <c r="F556" s="933"/>
      <c r="G556" s="933"/>
      <c r="H556" s="933"/>
      <c r="I556" s="933"/>
      <c r="J556" s="933"/>
      <c r="K556" s="933"/>
      <c r="L556" s="933"/>
      <c r="M556" s="933"/>
      <c r="N556" s="933"/>
      <c r="O556" s="933"/>
      <c r="P556" s="933"/>
      <c r="Q556" s="933"/>
      <c r="R556" s="933"/>
      <c r="S556" s="933"/>
      <c r="T556" s="933"/>
      <c r="V556" s="933"/>
      <c r="W556" s="933"/>
      <c r="X556" s="945"/>
      <c r="Y556" s="933"/>
      <c r="Z556" s="933"/>
      <c r="AA556" s="933"/>
      <c r="AB556" s="933"/>
      <c r="AC556" s="933"/>
      <c r="AD556" s="933"/>
      <c r="AE556" s="933"/>
      <c r="AF556" s="933"/>
      <c r="AG556" s="933"/>
    </row>
    <row r="557" spans="1:33" ht="12.75">
      <c r="A557" s="933"/>
      <c r="B557" s="933"/>
      <c r="C557" s="933"/>
      <c r="D557" s="933"/>
      <c r="E557" s="933"/>
      <c r="F557" s="933"/>
      <c r="G557" s="933"/>
      <c r="H557" s="933"/>
      <c r="I557" s="933"/>
      <c r="J557" s="933"/>
      <c r="K557" s="933"/>
      <c r="L557" s="933"/>
      <c r="M557" s="933"/>
      <c r="N557" s="933"/>
      <c r="O557" s="933"/>
      <c r="P557" s="933"/>
      <c r="Q557" s="933"/>
      <c r="R557" s="933"/>
      <c r="S557" s="933"/>
      <c r="T557" s="933"/>
      <c r="V557" s="933"/>
      <c r="W557" s="933"/>
      <c r="X557" s="945"/>
      <c r="Y557" s="933"/>
      <c r="Z557" s="933"/>
      <c r="AA557" s="933"/>
      <c r="AB557" s="933"/>
      <c r="AC557" s="933"/>
      <c r="AD557" s="933"/>
      <c r="AE557" s="933"/>
      <c r="AF557" s="933"/>
      <c r="AG557" s="933"/>
    </row>
    <row r="558" spans="1:33" ht="12.75">
      <c r="A558" s="933"/>
      <c r="B558" s="933"/>
      <c r="C558" s="933"/>
      <c r="D558" s="933"/>
      <c r="E558" s="933"/>
      <c r="F558" s="933"/>
      <c r="G558" s="933"/>
      <c r="H558" s="933"/>
      <c r="I558" s="933"/>
      <c r="J558" s="933"/>
      <c r="K558" s="933"/>
      <c r="L558" s="933"/>
      <c r="M558" s="933"/>
      <c r="N558" s="933"/>
      <c r="O558" s="933"/>
      <c r="P558" s="933"/>
      <c r="Q558" s="933"/>
      <c r="R558" s="933"/>
      <c r="S558" s="933"/>
      <c r="T558" s="933"/>
      <c r="V558" s="933"/>
      <c r="W558" s="933"/>
      <c r="X558" s="945"/>
      <c r="Y558" s="933"/>
      <c r="Z558" s="933"/>
      <c r="AA558" s="933"/>
      <c r="AB558" s="933"/>
      <c r="AC558" s="933"/>
      <c r="AD558" s="933"/>
      <c r="AE558" s="933"/>
      <c r="AF558" s="933"/>
      <c r="AG558" s="933"/>
    </row>
    <row r="559" spans="1:33" ht="12.75">
      <c r="A559" s="933"/>
      <c r="B559" s="933"/>
      <c r="C559" s="933"/>
      <c r="D559" s="933"/>
      <c r="E559" s="933"/>
      <c r="F559" s="933"/>
      <c r="G559" s="933"/>
      <c r="H559" s="933"/>
      <c r="I559" s="933"/>
      <c r="J559" s="933"/>
      <c r="K559" s="933"/>
      <c r="L559" s="933"/>
      <c r="M559" s="933"/>
      <c r="N559" s="933"/>
      <c r="O559" s="933"/>
      <c r="P559" s="933"/>
      <c r="Q559" s="933"/>
      <c r="R559" s="933"/>
      <c r="S559" s="933"/>
      <c r="T559" s="933"/>
      <c r="V559" s="933"/>
      <c r="W559" s="933"/>
      <c r="X559" s="945"/>
      <c r="Y559" s="933"/>
      <c r="Z559" s="933"/>
      <c r="AA559" s="933"/>
      <c r="AB559" s="933"/>
      <c r="AC559" s="933"/>
      <c r="AD559" s="933"/>
      <c r="AE559" s="933"/>
      <c r="AF559" s="933"/>
      <c r="AG559" s="933"/>
    </row>
    <row r="560" spans="1:33" ht="12.75">
      <c r="A560" s="933"/>
      <c r="B560" s="933"/>
      <c r="C560" s="933"/>
      <c r="D560" s="933"/>
      <c r="E560" s="933"/>
      <c r="F560" s="933"/>
      <c r="G560" s="933"/>
      <c r="H560" s="933"/>
      <c r="I560" s="933"/>
      <c r="J560" s="933"/>
      <c r="K560" s="933"/>
      <c r="L560" s="933"/>
      <c r="M560" s="933"/>
      <c r="N560" s="933"/>
      <c r="O560" s="933"/>
      <c r="P560" s="933"/>
      <c r="Q560" s="933"/>
      <c r="R560" s="933"/>
      <c r="S560" s="933"/>
      <c r="T560" s="933"/>
      <c r="V560" s="933"/>
      <c r="W560" s="933"/>
      <c r="X560" s="945"/>
      <c r="Y560" s="933"/>
      <c r="Z560" s="933"/>
      <c r="AA560" s="933"/>
      <c r="AB560" s="933"/>
      <c r="AC560" s="933"/>
      <c r="AD560" s="933"/>
      <c r="AE560" s="933"/>
      <c r="AF560" s="933"/>
      <c r="AG560" s="933"/>
    </row>
    <row r="561" spans="1:33" ht="12.75">
      <c r="A561" s="933"/>
      <c r="B561" s="933"/>
      <c r="C561" s="933"/>
      <c r="D561" s="933"/>
      <c r="E561" s="933"/>
      <c r="F561" s="933"/>
      <c r="G561" s="933"/>
      <c r="H561" s="933"/>
      <c r="I561" s="933"/>
      <c r="J561" s="933"/>
      <c r="K561" s="933"/>
      <c r="L561" s="933"/>
      <c r="M561" s="933"/>
      <c r="N561" s="933"/>
      <c r="O561" s="933"/>
      <c r="P561" s="933"/>
      <c r="Q561" s="933"/>
      <c r="R561" s="933"/>
      <c r="S561" s="933"/>
      <c r="T561" s="933"/>
      <c r="V561" s="933"/>
      <c r="W561" s="933"/>
      <c r="X561" s="945"/>
      <c r="Y561" s="933"/>
      <c r="Z561" s="933"/>
      <c r="AA561" s="933"/>
      <c r="AB561" s="933"/>
      <c r="AC561" s="933"/>
      <c r="AD561" s="933"/>
      <c r="AE561" s="933"/>
      <c r="AF561" s="933"/>
      <c r="AG561" s="933"/>
    </row>
    <row r="562" spans="1:33" ht="12.75">
      <c r="A562" s="933"/>
      <c r="B562" s="933"/>
      <c r="C562" s="933"/>
      <c r="D562" s="933"/>
      <c r="E562" s="933"/>
      <c r="F562" s="933"/>
      <c r="G562" s="933"/>
      <c r="H562" s="933"/>
      <c r="I562" s="933"/>
      <c r="J562" s="933"/>
      <c r="K562" s="933"/>
      <c r="L562" s="933"/>
      <c r="M562" s="933"/>
      <c r="N562" s="933"/>
      <c r="O562" s="933"/>
      <c r="P562" s="933"/>
      <c r="Q562" s="933"/>
      <c r="R562" s="933"/>
      <c r="S562" s="933"/>
      <c r="T562" s="933"/>
      <c r="V562" s="933"/>
      <c r="W562" s="933"/>
      <c r="X562" s="945"/>
      <c r="Y562" s="933"/>
      <c r="Z562" s="933"/>
      <c r="AA562" s="933"/>
      <c r="AB562" s="933"/>
      <c r="AC562" s="933"/>
      <c r="AD562" s="933"/>
      <c r="AE562" s="933"/>
      <c r="AF562" s="933"/>
      <c r="AG562" s="933"/>
    </row>
    <row r="563" spans="1:33" ht="12.75">
      <c r="A563" s="933"/>
      <c r="B563" s="933"/>
      <c r="C563" s="933"/>
      <c r="D563" s="933"/>
      <c r="E563" s="933"/>
      <c r="F563" s="933"/>
      <c r="G563" s="933"/>
      <c r="H563" s="933"/>
      <c r="I563" s="933"/>
      <c r="J563" s="933"/>
      <c r="K563" s="933"/>
      <c r="L563" s="933"/>
      <c r="M563" s="933"/>
      <c r="N563" s="933"/>
      <c r="O563" s="933"/>
      <c r="P563" s="933"/>
      <c r="Q563" s="933"/>
      <c r="R563" s="933"/>
      <c r="S563" s="933"/>
      <c r="T563" s="933"/>
      <c r="V563" s="933"/>
      <c r="W563" s="933"/>
      <c r="X563" s="945"/>
      <c r="Y563" s="933"/>
      <c r="Z563" s="933"/>
      <c r="AA563" s="933"/>
      <c r="AB563" s="933"/>
      <c r="AC563" s="933"/>
      <c r="AD563" s="933"/>
      <c r="AE563" s="933"/>
      <c r="AF563" s="933"/>
      <c r="AG563" s="933"/>
    </row>
    <row r="564" spans="1:33" ht="12.75">
      <c r="A564" s="933"/>
      <c r="B564" s="933"/>
      <c r="C564" s="933"/>
      <c r="D564" s="933"/>
      <c r="E564" s="933"/>
      <c r="F564" s="933"/>
      <c r="G564" s="933"/>
      <c r="H564" s="933"/>
      <c r="I564" s="933"/>
      <c r="J564" s="933"/>
      <c r="K564" s="933"/>
      <c r="L564" s="933"/>
      <c r="M564" s="933"/>
      <c r="N564" s="933"/>
      <c r="O564" s="933"/>
      <c r="P564" s="933"/>
      <c r="Q564" s="933"/>
      <c r="R564" s="933"/>
      <c r="S564" s="933"/>
      <c r="T564" s="933"/>
      <c r="V564" s="933"/>
      <c r="W564" s="933"/>
      <c r="X564" s="945"/>
      <c r="Y564" s="933"/>
      <c r="Z564" s="933"/>
      <c r="AA564" s="933"/>
      <c r="AB564" s="933"/>
      <c r="AC564" s="933"/>
      <c r="AD564" s="933"/>
      <c r="AE564" s="933"/>
      <c r="AF564" s="933"/>
      <c r="AG564" s="933"/>
    </row>
    <row r="565" spans="1:33" ht="12.75">
      <c r="A565" s="933"/>
      <c r="B565" s="933"/>
      <c r="C565" s="933"/>
      <c r="D565" s="933"/>
      <c r="E565" s="933"/>
      <c r="F565" s="933"/>
      <c r="G565" s="933"/>
      <c r="H565" s="933"/>
      <c r="I565" s="933"/>
      <c r="J565" s="933"/>
      <c r="K565" s="933"/>
      <c r="L565" s="933"/>
      <c r="M565" s="933"/>
      <c r="N565" s="933"/>
      <c r="O565" s="933"/>
      <c r="P565" s="933"/>
      <c r="Q565" s="933"/>
      <c r="R565" s="933"/>
      <c r="S565" s="933"/>
      <c r="T565" s="933"/>
      <c r="V565" s="933"/>
      <c r="W565" s="933"/>
      <c r="X565" s="945"/>
      <c r="Y565" s="933"/>
      <c r="Z565" s="933"/>
      <c r="AA565" s="933"/>
      <c r="AB565" s="933"/>
      <c r="AC565" s="933"/>
      <c r="AD565" s="933"/>
      <c r="AE565" s="933"/>
      <c r="AF565" s="933"/>
      <c r="AG565" s="933"/>
    </row>
    <row r="566" spans="1:33" ht="12.75">
      <c r="A566" s="933"/>
      <c r="B566" s="933"/>
      <c r="C566" s="933"/>
      <c r="D566" s="933"/>
      <c r="E566" s="933"/>
      <c r="F566" s="933"/>
      <c r="G566" s="933"/>
      <c r="H566" s="933"/>
      <c r="I566" s="933"/>
      <c r="J566" s="933"/>
      <c r="K566" s="933"/>
      <c r="L566" s="933"/>
      <c r="M566" s="933"/>
      <c r="N566" s="933"/>
      <c r="O566" s="933"/>
      <c r="P566" s="933"/>
      <c r="Q566" s="933"/>
      <c r="R566" s="933"/>
      <c r="S566" s="933"/>
      <c r="T566" s="933"/>
      <c r="V566" s="933"/>
      <c r="W566" s="933"/>
      <c r="X566" s="945"/>
      <c r="Y566" s="933"/>
      <c r="Z566" s="933"/>
      <c r="AA566" s="933"/>
      <c r="AB566" s="933"/>
      <c r="AC566" s="933"/>
      <c r="AD566" s="933"/>
      <c r="AE566" s="933"/>
      <c r="AF566" s="933"/>
      <c r="AG566" s="933"/>
    </row>
    <row r="567" spans="1:33" ht="12.75">
      <c r="A567" s="933"/>
      <c r="B567" s="933"/>
      <c r="C567" s="933"/>
      <c r="D567" s="933"/>
      <c r="E567" s="933"/>
      <c r="F567" s="933"/>
      <c r="G567" s="933"/>
      <c r="H567" s="933"/>
      <c r="I567" s="933"/>
      <c r="J567" s="933"/>
      <c r="K567" s="933"/>
      <c r="L567" s="933"/>
      <c r="M567" s="933"/>
      <c r="N567" s="933"/>
      <c r="O567" s="933"/>
      <c r="P567" s="933"/>
      <c r="Q567" s="933"/>
      <c r="R567" s="933"/>
      <c r="S567" s="933"/>
      <c r="T567" s="933"/>
      <c r="V567" s="933"/>
      <c r="W567" s="933"/>
      <c r="X567" s="945"/>
      <c r="Y567" s="933"/>
      <c r="Z567" s="933"/>
      <c r="AA567" s="933"/>
      <c r="AB567" s="933"/>
      <c r="AC567" s="933"/>
      <c r="AD567" s="933"/>
      <c r="AE567" s="933"/>
      <c r="AF567" s="933"/>
      <c r="AG567" s="933"/>
    </row>
    <row r="568" spans="1:33" ht="12.75">
      <c r="A568" s="933"/>
      <c r="B568" s="933"/>
      <c r="C568" s="933"/>
      <c r="D568" s="933"/>
      <c r="E568" s="933"/>
      <c r="F568" s="933"/>
      <c r="G568" s="933"/>
      <c r="H568" s="933"/>
      <c r="I568" s="933"/>
      <c r="J568" s="933"/>
      <c r="K568" s="933"/>
      <c r="L568" s="933"/>
      <c r="M568" s="933"/>
      <c r="N568" s="933"/>
      <c r="O568" s="933"/>
      <c r="P568" s="933"/>
      <c r="Q568" s="933"/>
      <c r="R568" s="933"/>
      <c r="S568" s="933"/>
      <c r="T568" s="933"/>
      <c r="V568" s="933"/>
      <c r="W568" s="933"/>
      <c r="X568" s="945"/>
      <c r="Y568" s="933"/>
      <c r="Z568" s="933"/>
      <c r="AA568" s="933"/>
      <c r="AB568" s="933"/>
      <c r="AC568" s="933"/>
      <c r="AD568" s="933"/>
      <c r="AE568" s="933"/>
      <c r="AF568" s="933"/>
      <c r="AG568" s="933"/>
    </row>
    <row r="569" spans="1:33" ht="12.75">
      <c r="A569" s="933"/>
      <c r="B569" s="933"/>
      <c r="C569" s="933"/>
      <c r="D569" s="933"/>
      <c r="E569" s="933"/>
      <c r="F569" s="933"/>
      <c r="G569" s="933"/>
      <c r="H569" s="933"/>
      <c r="I569" s="933"/>
      <c r="J569" s="933"/>
      <c r="K569" s="933"/>
      <c r="L569" s="933"/>
      <c r="M569" s="933"/>
      <c r="N569" s="933"/>
      <c r="O569" s="933"/>
      <c r="P569" s="933"/>
      <c r="Q569" s="933"/>
      <c r="R569" s="933"/>
      <c r="S569" s="933"/>
      <c r="T569" s="933"/>
      <c r="V569" s="933"/>
      <c r="W569" s="933"/>
      <c r="X569" s="945"/>
      <c r="Y569" s="933"/>
      <c r="Z569" s="933"/>
      <c r="AA569" s="933"/>
      <c r="AB569" s="933"/>
      <c r="AC569" s="933"/>
      <c r="AD569" s="933"/>
      <c r="AE569" s="933"/>
      <c r="AF569" s="933"/>
      <c r="AG569" s="933"/>
    </row>
    <row r="570" spans="1:33" ht="12.75">
      <c r="A570" s="933"/>
      <c r="B570" s="933"/>
      <c r="C570" s="933"/>
      <c r="D570" s="933"/>
      <c r="E570" s="933"/>
      <c r="F570" s="933"/>
      <c r="G570" s="933"/>
      <c r="H570" s="933"/>
      <c r="I570" s="933"/>
      <c r="J570" s="933"/>
      <c r="K570" s="933"/>
      <c r="L570" s="933"/>
      <c r="M570" s="933"/>
      <c r="N570" s="933"/>
      <c r="O570" s="933"/>
      <c r="P570" s="933"/>
      <c r="Q570" s="933"/>
      <c r="R570" s="933"/>
      <c r="S570" s="933"/>
      <c r="T570" s="933"/>
      <c r="V570" s="933"/>
      <c r="W570" s="933"/>
      <c r="X570" s="945"/>
      <c r="Y570" s="933"/>
      <c r="Z570" s="933"/>
      <c r="AA570" s="933"/>
      <c r="AB570" s="933"/>
      <c r="AC570" s="933"/>
      <c r="AD570" s="933"/>
      <c r="AE570" s="933"/>
      <c r="AF570" s="933"/>
      <c r="AG570" s="933"/>
    </row>
    <row r="571" spans="1:33" ht="12.75">
      <c r="A571" s="933"/>
      <c r="B571" s="933"/>
      <c r="C571" s="933"/>
      <c r="D571" s="933"/>
      <c r="E571" s="933"/>
      <c r="F571" s="933"/>
      <c r="G571" s="933"/>
      <c r="H571" s="933"/>
      <c r="I571" s="933"/>
      <c r="J571" s="933"/>
      <c r="K571" s="933"/>
      <c r="L571" s="933"/>
      <c r="M571" s="933"/>
      <c r="N571" s="933"/>
      <c r="O571" s="933"/>
      <c r="P571" s="933"/>
      <c r="Q571" s="933"/>
      <c r="R571" s="933"/>
      <c r="S571" s="933"/>
      <c r="T571" s="933"/>
      <c r="V571" s="933"/>
      <c r="W571" s="933"/>
      <c r="X571" s="945"/>
      <c r="Y571" s="933"/>
      <c r="Z571" s="933"/>
      <c r="AA571" s="933"/>
      <c r="AB571" s="933"/>
      <c r="AC571" s="933"/>
      <c r="AD571" s="933"/>
      <c r="AE571" s="933"/>
      <c r="AF571" s="933"/>
      <c r="AG571" s="933"/>
    </row>
    <row r="572" spans="1:33" ht="12.75">
      <c r="A572" s="933"/>
      <c r="B572" s="933"/>
      <c r="C572" s="933"/>
      <c r="D572" s="933"/>
      <c r="E572" s="933"/>
      <c r="F572" s="933"/>
      <c r="G572" s="933"/>
      <c r="H572" s="933"/>
      <c r="I572" s="933"/>
      <c r="J572" s="933"/>
      <c r="K572" s="933"/>
      <c r="L572" s="933"/>
      <c r="M572" s="933"/>
      <c r="N572" s="933"/>
      <c r="O572" s="933"/>
      <c r="P572" s="933"/>
      <c r="Q572" s="933"/>
      <c r="R572" s="933"/>
      <c r="S572" s="933"/>
      <c r="T572" s="933"/>
      <c r="V572" s="933"/>
      <c r="W572" s="933"/>
      <c r="X572" s="945"/>
      <c r="Y572" s="933"/>
      <c r="Z572" s="933"/>
      <c r="AA572" s="933"/>
      <c r="AB572" s="933"/>
      <c r="AC572" s="933"/>
      <c r="AD572" s="933"/>
      <c r="AE572" s="933"/>
      <c r="AF572" s="933"/>
      <c r="AG572" s="933"/>
    </row>
    <row r="573" spans="1:33" ht="12.75">
      <c r="A573" s="933"/>
      <c r="B573" s="933"/>
      <c r="C573" s="933"/>
      <c r="D573" s="933"/>
      <c r="E573" s="933"/>
      <c r="F573" s="933"/>
      <c r="G573" s="933"/>
      <c r="H573" s="933"/>
      <c r="I573" s="933"/>
      <c r="J573" s="933"/>
      <c r="K573" s="933"/>
      <c r="L573" s="933"/>
      <c r="M573" s="933"/>
      <c r="N573" s="933"/>
      <c r="O573" s="933"/>
      <c r="P573" s="933"/>
      <c r="Q573" s="933"/>
      <c r="R573" s="933"/>
      <c r="S573" s="933"/>
      <c r="T573" s="933"/>
      <c r="V573" s="933"/>
      <c r="W573" s="933"/>
      <c r="X573" s="945"/>
      <c r="Y573" s="933"/>
      <c r="Z573" s="933"/>
      <c r="AA573" s="933"/>
      <c r="AB573" s="933"/>
      <c r="AC573" s="933"/>
      <c r="AD573" s="933"/>
      <c r="AE573" s="933"/>
      <c r="AF573" s="933"/>
      <c r="AG573" s="933"/>
    </row>
    <row r="574" spans="1:33" ht="12.75">
      <c r="A574" s="933"/>
      <c r="B574" s="933"/>
      <c r="C574" s="933"/>
      <c r="D574" s="933"/>
      <c r="E574" s="933"/>
      <c r="F574" s="933"/>
      <c r="G574" s="933"/>
      <c r="H574" s="933"/>
      <c r="I574" s="933"/>
      <c r="J574" s="933"/>
      <c r="K574" s="933"/>
      <c r="L574" s="933"/>
      <c r="M574" s="933"/>
      <c r="N574" s="933"/>
      <c r="O574" s="933"/>
      <c r="P574" s="933"/>
      <c r="Q574" s="933"/>
      <c r="R574" s="933"/>
      <c r="S574" s="933"/>
      <c r="T574" s="933"/>
      <c r="V574" s="933"/>
      <c r="W574" s="933"/>
      <c r="X574" s="945"/>
      <c r="Y574" s="933"/>
      <c r="Z574" s="933"/>
      <c r="AA574" s="933"/>
      <c r="AB574" s="933"/>
      <c r="AC574" s="933"/>
      <c r="AD574" s="933"/>
      <c r="AE574" s="933"/>
      <c r="AF574" s="933"/>
      <c r="AG574" s="933"/>
    </row>
    <row r="575" spans="1:33" ht="12.75">
      <c r="A575" s="933"/>
      <c r="B575" s="933"/>
      <c r="C575" s="933"/>
      <c r="D575" s="933"/>
      <c r="E575" s="933"/>
      <c r="F575" s="933"/>
      <c r="G575" s="933"/>
      <c r="H575" s="933"/>
      <c r="I575" s="933"/>
      <c r="J575" s="933"/>
      <c r="K575" s="933"/>
      <c r="L575" s="933"/>
      <c r="M575" s="933"/>
      <c r="N575" s="933"/>
      <c r="O575" s="933"/>
      <c r="P575" s="933"/>
      <c r="Q575" s="933"/>
      <c r="R575" s="933"/>
      <c r="S575" s="933"/>
      <c r="T575" s="933"/>
      <c r="V575" s="933"/>
      <c r="W575" s="933"/>
      <c r="X575" s="945"/>
      <c r="Y575" s="933"/>
      <c r="Z575" s="933"/>
      <c r="AA575" s="933"/>
      <c r="AB575" s="933"/>
      <c r="AC575" s="933"/>
      <c r="AD575" s="933"/>
      <c r="AE575" s="933"/>
      <c r="AF575" s="933"/>
      <c r="AG575" s="933"/>
    </row>
    <row r="576" spans="1:33" ht="12.75">
      <c r="A576" s="933"/>
      <c r="B576" s="933"/>
      <c r="C576" s="933"/>
      <c r="D576" s="933"/>
      <c r="E576" s="933"/>
      <c r="F576" s="933"/>
      <c r="G576" s="933"/>
      <c r="H576" s="933"/>
      <c r="I576" s="933"/>
      <c r="J576" s="933"/>
      <c r="K576" s="933"/>
      <c r="L576" s="933"/>
      <c r="M576" s="933"/>
      <c r="N576" s="933"/>
      <c r="O576" s="933"/>
      <c r="P576" s="933"/>
      <c r="Q576" s="933"/>
      <c r="R576" s="933"/>
      <c r="S576" s="933"/>
      <c r="T576" s="933"/>
      <c r="V576" s="933"/>
      <c r="W576" s="933"/>
      <c r="X576" s="945"/>
      <c r="Y576" s="933"/>
      <c r="Z576" s="933"/>
      <c r="AA576" s="933"/>
      <c r="AB576" s="933"/>
      <c r="AC576" s="933"/>
      <c r="AD576" s="933"/>
      <c r="AE576" s="933"/>
      <c r="AF576" s="933"/>
      <c r="AG576" s="933"/>
    </row>
    <row r="577" spans="1:33" ht="12.75">
      <c r="A577" s="933"/>
      <c r="B577" s="933"/>
      <c r="C577" s="933"/>
      <c r="D577" s="933"/>
      <c r="E577" s="933"/>
      <c r="F577" s="933"/>
      <c r="G577" s="933"/>
      <c r="H577" s="933"/>
      <c r="I577" s="933"/>
      <c r="J577" s="933"/>
      <c r="K577" s="933"/>
      <c r="L577" s="933"/>
      <c r="M577" s="933"/>
      <c r="N577" s="933"/>
      <c r="O577" s="933"/>
      <c r="P577" s="933"/>
      <c r="Q577" s="933"/>
      <c r="R577" s="933"/>
      <c r="S577" s="933"/>
      <c r="T577" s="933"/>
      <c r="V577" s="933"/>
      <c r="W577" s="933"/>
      <c r="X577" s="945"/>
      <c r="Y577" s="933"/>
      <c r="Z577" s="933"/>
      <c r="AA577" s="933"/>
      <c r="AB577" s="933"/>
      <c r="AC577" s="933"/>
      <c r="AD577" s="933"/>
      <c r="AE577" s="933"/>
      <c r="AF577" s="933"/>
      <c r="AG577" s="933"/>
    </row>
    <row r="578" spans="1:33" ht="12.75">
      <c r="A578" s="933"/>
      <c r="B578" s="933"/>
      <c r="C578" s="933"/>
      <c r="D578" s="933"/>
      <c r="E578" s="933"/>
      <c r="F578" s="933"/>
      <c r="G578" s="933"/>
      <c r="H578" s="933"/>
      <c r="I578" s="933"/>
      <c r="J578" s="933"/>
      <c r="K578" s="933"/>
      <c r="L578" s="933"/>
      <c r="M578" s="933"/>
      <c r="N578" s="933"/>
      <c r="O578" s="933"/>
      <c r="P578" s="933"/>
      <c r="Q578" s="933"/>
      <c r="R578" s="933"/>
      <c r="S578" s="933"/>
      <c r="T578" s="933"/>
      <c r="V578" s="933"/>
      <c r="W578" s="933"/>
      <c r="X578" s="945"/>
      <c r="Y578" s="933"/>
      <c r="Z578" s="933"/>
      <c r="AA578" s="933"/>
      <c r="AB578" s="933"/>
      <c r="AC578" s="933"/>
      <c r="AD578" s="933"/>
      <c r="AE578" s="933"/>
      <c r="AF578" s="933"/>
      <c r="AG578" s="933"/>
    </row>
    <row r="579" spans="1:33" ht="12.75">
      <c r="A579" s="933"/>
      <c r="B579" s="933"/>
      <c r="C579" s="933"/>
      <c r="D579" s="933"/>
      <c r="E579" s="933"/>
      <c r="F579" s="933"/>
      <c r="G579" s="933"/>
      <c r="H579" s="933"/>
      <c r="I579" s="933"/>
      <c r="J579" s="933"/>
      <c r="K579" s="933"/>
      <c r="L579" s="933"/>
      <c r="M579" s="933"/>
      <c r="N579" s="933"/>
      <c r="O579" s="933"/>
      <c r="P579" s="933"/>
      <c r="Q579" s="933"/>
      <c r="R579" s="933"/>
      <c r="S579" s="933"/>
      <c r="T579" s="933"/>
      <c r="V579" s="933"/>
      <c r="W579" s="933"/>
      <c r="X579" s="945"/>
      <c r="Y579" s="933"/>
      <c r="Z579" s="933"/>
      <c r="AA579" s="933"/>
      <c r="AB579" s="933"/>
      <c r="AC579" s="933"/>
      <c r="AD579" s="933"/>
      <c r="AE579" s="933"/>
      <c r="AF579" s="933"/>
      <c r="AG579" s="933"/>
    </row>
    <row r="580" spans="1:33" ht="12.75">
      <c r="A580" s="933"/>
      <c r="B580" s="933"/>
      <c r="C580" s="933"/>
      <c r="D580" s="933"/>
      <c r="E580" s="933"/>
      <c r="F580" s="933"/>
      <c r="G580" s="933"/>
      <c r="H580" s="933"/>
      <c r="I580" s="933"/>
      <c r="J580" s="933"/>
      <c r="K580" s="933"/>
      <c r="L580" s="933"/>
      <c r="M580" s="933"/>
      <c r="N580" s="933"/>
      <c r="O580" s="933"/>
      <c r="P580" s="933"/>
      <c r="Q580" s="933"/>
      <c r="R580" s="933"/>
      <c r="S580" s="933"/>
      <c r="T580" s="933"/>
      <c r="V580" s="933"/>
      <c r="W580" s="933"/>
      <c r="X580" s="945"/>
      <c r="Y580" s="933"/>
      <c r="Z580" s="933"/>
      <c r="AA580" s="933"/>
      <c r="AB580" s="933"/>
      <c r="AC580" s="933"/>
      <c r="AD580" s="933"/>
      <c r="AE580" s="933"/>
      <c r="AF580" s="933"/>
      <c r="AG580" s="933"/>
    </row>
    <row r="581" spans="1:33" ht="12.75">
      <c r="A581" s="933"/>
      <c r="B581" s="933"/>
      <c r="C581" s="933"/>
      <c r="D581" s="933"/>
      <c r="E581" s="933"/>
      <c r="F581" s="933"/>
      <c r="G581" s="933"/>
      <c r="H581" s="933"/>
      <c r="I581" s="933"/>
      <c r="J581" s="933"/>
      <c r="K581" s="933"/>
      <c r="L581" s="933"/>
      <c r="M581" s="933"/>
      <c r="N581" s="933"/>
      <c r="O581" s="933"/>
      <c r="P581" s="933"/>
      <c r="Q581" s="933"/>
      <c r="R581" s="933"/>
      <c r="S581" s="933"/>
      <c r="T581" s="933"/>
      <c r="V581" s="933"/>
      <c r="W581" s="933"/>
      <c r="X581" s="945"/>
      <c r="Y581" s="933"/>
      <c r="Z581" s="933"/>
      <c r="AA581" s="933"/>
      <c r="AB581" s="933"/>
      <c r="AC581" s="933"/>
      <c r="AD581" s="933"/>
      <c r="AE581" s="933"/>
      <c r="AF581" s="933"/>
      <c r="AG581" s="933"/>
    </row>
    <row r="582" spans="1:33" ht="12.75">
      <c r="A582" s="933"/>
      <c r="B582" s="933"/>
      <c r="C582" s="933"/>
      <c r="D582" s="933"/>
      <c r="E582" s="933"/>
      <c r="F582" s="933"/>
      <c r="G582" s="933"/>
      <c r="H582" s="933"/>
      <c r="I582" s="933"/>
      <c r="J582" s="933"/>
      <c r="K582" s="933"/>
      <c r="L582" s="933"/>
      <c r="M582" s="933"/>
      <c r="N582" s="933"/>
      <c r="O582" s="933"/>
      <c r="P582" s="933"/>
      <c r="Q582" s="933"/>
      <c r="R582" s="933"/>
      <c r="S582" s="933"/>
      <c r="T582" s="933"/>
      <c r="V582" s="933"/>
      <c r="W582" s="933"/>
      <c r="X582" s="945"/>
      <c r="Y582" s="933"/>
      <c r="Z582" s="933"/>
      <c r="AA582" s="933"/>
      <c r="AB582" s="933"/>
      <c r="AC582" s="933"/>
      <c r="AD582" s="933"/>
      <c r="AE582" s="933"/>
      <c r="AF582" s="933"/>
      <c r="AG582" s="933"/>
    </row>
    <row r="583" spans="1:33" ht="12.75">
      <c r="A583" s="933"/>
      <c r="B583" s="933"/>
      <c r="C583" s="933"/>
      <c r="D583" s="933"/>
      <c r="E583" s="933"/>
      <c r="F583" s="933"/>
      <c r="G583" s="933"/>
      <c r="H583" s="933"/>
      <c r="I583" s="933"/>
      <c r="J583" s="933"/>
      <c r="K583" s="933"/>
      <c r="L583" s="933"/>
      <c r="M583" s="933"/>
      <c r="N583" s="933"/>
      <c r="O583" s="933"/>
      <c r="P583" s="933"/>
      <c r="Q583" s="933"/>
      <c r="R583" s="933"/>
      <c r="S583" s="933"/>
      <c r="T583" s="933"/>
      <c r="V583" s="933"/>
      <c r="W583" s="933"/>
      <c r="X583" s="945"/>
      <c r="Y583" s="933"/>
      <c r="Z583" s="933"/>
      <c r="AA583" s="933"/>
      <c r="AB583" s="933"/>
      <c r="AC583" s="933"/>
      <c r="AD583" s="933"/>
      <c r="AE583" s="933"/>
      <c r="AF583" s="933"/>
      <c r="AG583" s="933"/>
    </row>
    <row r="584" spans="1:33" ht="12.75">
      <c r="A584" s="933"/>
      <c r="B584" s="933"/>
      <c r="C584" s="933"/>
      <c r="D584" s="933"/>
      <c r="E584" s="933"/>
      <c r="F584" s="933"/>
      <c r="G584" s="933"/>
      <c r="H584" s="933"/>
      <c r="I584" s="933"/>
      <c r="J584" s="933"/>
      <c r="K584" s="933"/>
      <c r="L584" s="933"/>
      <c r="M584" s="933"/>
      <c r="N584" s="933"/>
      <c r="O584" s="933"/>
      <c r="P584" s="933"/>
      <c r="Q584" s="933"/>
      <c r="R584" s="933"/>
      <c r="S584" s="933"/>
      <c r="T584" s="933"/>
      <c r="V584" s="933"/>
      <c r="W584" s="933"/>
      <c r="X584" s="945"/>
      <c r="Y584" s="933"/>
      <c r="Z584" s="933"/>
      <c r="AA584" s="933"/>
      <c r="AB584" s="933"/>
      <c r="AC584" s="933"/>
      <c r="AD584" s="933"/>
      <c r="AE584" s="933"/>
      <c r="AF584" s="933"/>
      <c r="AG584" s="933"/>
    </row>
    <row r="585" spans="1:33" ht="12.75">
      <c r="A585" s="933"/>
      <c r="B585" s="933"/>
      <c r="C585" s="933"/>
      <c r="D585" s="933"/>
      <c r="E585" s="933"/>
      <c r="F585" s="933"/>
      <c r="G585" s="933"/>
      <c r="H585" s="933"/>
      <c r="I585" s="933"/>
      <c r="J585" s="933"/>
      <c r="K585" s="933"/>
      <c r="L585" s="933"/>
      <c r="M585" s="933"/>
      <c r="N585" s="933"/>
      <c r="O585" s="933"/>
      <c r="P585" s="933"/>
      <c r="Q585" s="933"/>
      <c r="R585" s="933"/>
      <c r="S585" s="933"/>
      <c r="T585" s="933"/>
      <c r="V585" s="933"/>
      <c r="W585" s="933"/>
      <c r="X585" s="945"/>
      <c r="Y585" s="933"/>
      <c r="Z585" s="933"/>
      <c r="AA585" s="933"/>
      <c r="AB585" s="933"/>
      <c r="AC585" s="933"/>
      <c r="AD585" s="933"/>
      <c r="AE585" s="933"/>
      <c r="AF585" s="933"/>
      <c r="AG585" s="933"/>
    </row>
    <row r="586" spans="1:33" ht="12.75">
      <c r="A586" s="933"/>
      <c r="B586" s="933"/>
      <c r="C586" s="933"/>
      <c r="D586" s="933"/>
      <c r="E586" s="933"/>
      <c r="F586" s="933"/>
      <c r="G586" s="933"/>
      <c r="H586" s="933"/>
      <c r="I586" s="933"/>
      <c r="J586" s="933"/>
      <c r="K586" s="933"/>
      <c r="L586" s="933"/>
      <c r="M586" s="933"/>
      <c r="N586" s="933"/>
      <c r="O586" s="933"/>
      <c r="P586" s="933"/>
      <c r="Q586" s="933"/>
      <c r="R586" s="933"/>
      <c r="S586" s="933"/>
      <c r="T586" s="933"/>
      <c r="V586" s="933"/>
      <c r="W586" s="933"/>
      <c r="X586" s="945"/>
      <c r="Y586" s="933"/>
      <c r="Z586" s="933"/>
      <c r="AA586" s="933"/>
      <c r="AB586" s="933"/>
      <c r="AC586" s="933"/>
      <c r="AD586" s="933"/>
      <c r="AE586" s="933"/>
      <c r="AF586" s="933"/>
      <c r="AG586" s="933"/>
    </row>
    <row r="587" spans="1:33" ht="12.75">
      <c r="A587" s="933"/>
      <c r="B587" s="933"/>
      <c r="C587" s="933"/>
      <c r="D587" s="933"/>
      <c r="E587" s="933"/>
      <c r="F587" s="933"/>
      <c r="G587" s="933"/>
      <c r="H587" s="933"/>
      <c r="I587" s="933"/>
      <c r="J587" s="933"/>
      <c r="K587" s="933"/>
      <c r="L587" s="933"/>
      <c r="M587" s="933"/>
      <c r="N587" s="933"/>
      <c r="O587" s="933"/>
      <c r="P587" s="933"/>
      <c r="Q587" s="933"/>
      <c r="R587" s="933"/>
      <c r="S587" s="933"/>
      <c r="T587" s="933"/>
      <c r="V587" s="933"/>
      <c r="W587" s="933"/>
      <c r="X587" s="945"/>
      <c r="Y587" s="933"/>
      <c r="Z587" s="933"/>
      <c r="AA587" s="933"/>
      <c r="AB587" s="933"/>
      <c r="AC587" s="933"/>
      <c r="AD587" s="933"/>
      <c r="AE587" s="933"/>
      <c r="AF587" s="933"/>
      <c r="AG587" s="933"/>
    </row>
    <row r="588" spans="1:33" ht="12.75">
      <c r="A588" s="933"/>
      <c r="B588" s="933"/>
      <c r="C588" s="933"/>
      <c r="D588" s="933"/>
      <c r="E588" s="933"/>
      <c r="F588" s="933"/>
      <c r="G588" s="933"/>
      <c r="H588" s="933"/>
      <c r="I588" s="933"/>
      <c r="J588" s="933"/>
      <c r="K588" s="933"/>
      <c r="L588" s="933"/>
      <c r="M588" s="933"/>
      <c r="N588" s="933"/>
      <c r="O588" s="933"/>
      <c r="P588" s="933"/>
      <c r="Q588" s="933"/>
      <c r="R588" s="933"/>
      <c r="S588" s="933"/>
      <c r="T588" s="933"/>
      <c r="V588" s="933"/>
      <c r="W588" s="933"/>
      <c r="X588" s="945"/>
      <c r="Y588" s="933"/>
      <c r="Z588" s="933"/>
      <c r="AA588" s="933"/>
      <c r="AB588" s="933"/>
      <c r="AC588" s="933"/>
      <c r="AD588" s="933"/>
      <c r="AE588" s="933"/>
      <c r="AF588" s="933"/>
      <c r="AG588" s="933"/>
    </row>
    <row r="589" spans="1:33" ht="12.75">
      <c r="A589" s="933"/>
      <c r="B589" s="933"/>
      <c r="C589" s="933"/>
      <c r="D589" s="933"/>
      <c r="E589" s="933"/>
      <c r="F589" s="933"/>
      <c r="G589" s="933"/>
      <c r="H589" s="933"/>
      <c r="I589" s="933"/>
      <c r="J589" s="933"/>
      <c r="K589" s="933"/>
      <c r="L589" s="933"/>
      <c r="M589" s="933"/>
      <c r="N589" s="933"/>
      <c r="O589" s="933"/>
      <c r="P589" s="933"/>
      <c r="Q589" s="933"/>
      <c r="R589" s="933"/>
      <c r="S589" s="933"/>
      <c r="T589" s="933"/>
      <c r="V589" s="933"/>
      <c r="W589" s="933"/>
      <c r="X589" s="945"/>
      <c r="Y589" s="933"/>
      <c r="Z589" s="933"/>
      <c r="AA589" s="933"/>
      <c r="AB589" s="933"/>
      <c r="AC589" s="933"/>
      <c r="AD589" s="933"/>
      <c r="AE589" s="933"/>
      <c r="AF589" s="933"/>
      <c r="AG589" s="933"/>
    </row>
    <row r="590" spans="1:33" ht="12.75">
      <c r="A590" s="933"/>
      <c r="B590" s="933"/>
      <c r="C590" s="933"/>
      <c r="D590" s="933"/>
      <c r="E590" s="933"/>
      <c r="F590" s="933"/>
      <c r="G590" s="933"/>
      <c r="H590" s="933"/>
      <c r="I590" s="933"/>
      <c r="J590" s="933"/>
      <c r="K590" s="933"/>
      <c r="L590" s="933"/>
      <c r="M590" s="933"/>
      <c r="N590" s="933"/>
      <c r="O590" s="933"/>
      <c r="P590" s="933"/>
      <c r="Q590" s="933"/>
      <c r="R590" s="933"/>
      <c r="S590" s="933"/>
      <c r="T590" s="933"/>
      <c r="V590" s="933"/>
      <c r="W590" s="933"/>
      <c r="X590" s="945"/>
      <c r="Y590" s="933"/>
      <c r="Z590" s="933"/>
      <c r="AA590" s="933"/>
      <c r="AB590" s="933"/>
      <c r="AC590" s="933"/>
      <c r="AD590" s="933"/>
      <c r="AE590" s="933"/>
      <c r="AF590" s="933"/>
      <c r="AG590" s="933"/>
    </row>
    <row r="591" spans="1:33" ht="12.75">
      <c r="A591" s="933"/>
      <c r="B591" s="933"/>
      <c r="C591" s="933"/>
      <c r="D591" s="933"/>
      <c r="E591" s="933"/>
      <c r="F591" s="933"/>
      <c r="G591" s="933"/>
      <c r="H591" s="933"/>
      <c r="I591" s="933"/>
      <c r="J591" s="933"/>
      <c r="K591" s="933"/>
      <c r="L591" s="933"/>
      <c r="M591" s="933"/>
      <c r="N591" s="933"/>
      <c r="O591" s="933"/>
      <c r="P591" s="933"/>
      <c r="Q591" s="933"/>
      <c r="R591" s="933"/>
      <c r="S591" s="933"/>
      <c r="T591" s="933"/>
      <c r="V591" s="933"/>
      <c r="W591" s="933"/>
      <c r="X591" s="945"/>
      <c r="Y591" s="933"/>
      <c r="Z591" s="933"/>
      <c r="AA591" s="933"/>
      <c r="AB591" s="933"/>
      <c r="AC591" s="933"/>
      <c r="AD591" s="933"/>
      <c r="AE591" s="933"/>
      <c r="AF591" s="933"/>
      <c r="AG591" s="933"/>
    </row>
    <row r="592" spans="1:33" ht="12.75">
      <c r="A592" s="933"/>
      <c r="B592" s="933"/>
      <c r="C592" s="933"/>
      <c r="D592" s="933"/>
      <c r="E592" s="933"/>
      <c r="F592" s="933"/>
      <c r="G592" s="933"/>
      <c r="H592" s="933"/>
      <c r="I592" s="933"/>
      <c r="J592" s="933"/>
      <c r="K592" s="933"/>
      <c r="L592" s="933"/>
      <c r="M592" s="933"/>
      <c r="N592" s="933"/>
      <c r="O592" s="933"/>
      <c r="P592" s="933"/>
      <c r="Q592" s="933"/>
      <c r="R592" s="933"/>
      <c r="S592" s="933"/>
      <c r="T592" s="933"/>
      <c r="V592" s="933"/>
      <c r="W592" s="933"/>
      <c r="X592" s="945"/>
      <c r="Y592" s="933"/>
      <c r="Z592" s="933"/>
      <c r="AA592" s="933"/>
      <c r="AB592" s="933"/>
      <c r="AC592" s="933"/>
      <c r="AD592" s="933"/>
      <c r="AE592" s="933"/>
      <c r="AF592" s="933"/>
      <c r="AG592" s="933"/>
    </row>
    <row r="593" spans="1:33" ht="12.75">
      <c r="A593" s="933"/>
      <c r="B593" s="933"/>
      <c r="C593" s="933"/>
      <c r="D593" s="933"/>
      <c r="E593" s="933"/>
      <c r="F593" s="933"/>
      <c r="G593" s="933"/>
      <c r="H593" s="933"/>
      <c r="I593" s="933"/>
      <c r="J593" s="933"/>
      <c r="K593" s="933"/>
      <c r="L593" s="933"/>
      <c r="M593" s="933"/>
      <c r="N593" s="933"/>
      <c r="O593" s="933"/>
      <c r="P593" s="933"/>
      <c r="Q593" s="933"/>
      <c r="R593" s="933"/>
      <c r="S593" s="933"/>
      <c r="T593" s="933"/>
      <c r="V593" s="933"/>
      <c r="W593" s="933"/>
      <c r="X593" s="945"/>
      <c r="Y593" s="933"/>
      <c r="Z593" s="933"/>
      <c r="AA593" s="933"/>
      <c r="AB593" s="933"/>
      <c r="AC593" s="933"/>
      <c r="AD593" s="933"/>
      <c r="AE593" s="933"/>
      <c r="AF593" s="933"/>
      <c r="AG593" s="933"/>
    </row>
    <row r="594" spans="1:33" ht="12.75">
      <c r="A594" s="933"/>
      <c r="B594" s="933"/>
      <c r="C594" s="933"/>
      <c r="D594" s="933"/>
      <c r="E594" s="933"/>
      <c r="F594" s="933"/>
      <c r="G594" s="933"/>
      <c r="H594" s="933"/>
      <c r="I594" s="933"/>
      <c r="J594" s="933"/>
      <c r="K594" s="933"/>
      <c r="L594" s="933"/>
      <c r="M594" s="933"/>
      <c r="N594" s="933"/>
      <c r="O594" s="933"/>
      <c r="P594" s="933"/>
      <c r="Q594" s="933"/>
      <c r="R594" s="933"/>
      <c r="S594" s="933"/>
      <c r="T594" s="933"/>
      <c r="V594" s="933"/>
      <c r="W594" s="933"/>
      <c r="X594" s="945"/>
      <c r="Y594" s="933"/>
      <c r="Z594" s="933"/>
      <c r="AA594" s="933"/>
      <c r="AB594" s="933"/>
      <c r="AC594" s="933"/>
      <c r="AD594" s="933"/>
      <c r="AE594" s="933"/>
      <c r="AF594" s="933"/>
      <c r="AG594" s="933"/>
    </row>
    <row r="595" spans="1:33" ht="12.75">
      <c r="A595" s="933"/>
      <c r="B595" s="933"/>
      <c r="C595" s="933"/>
      <c r="D595" s="933"/>
      <c r="E595" s="933"/>
      <c r="F595" s="933"/>
      <c r="G595" s="933"/>
      <c r="H595" s="933"/>
      <c r="I595" s="933"/>
      <c r="J595" s="933"/>
      <c r="K595" s="933"/>
      <c r="L595" s="933"/>
      <c r="M595" s="933"/>
      <c r="N595" s="933"/>
      <c r="O595" s="933"/>
      <c r="P595" s="933"/>
      <c r="Q595" s="933"/>
      <c r="R595" s="933"/>
      <c r="S595" s="933"/>
      <c r="T595" s="933"/>
      <c r="V595" s="933"/>
      <c r="W595" s="933"/>
      <c r="X595" s="945"/>
      <c r="Y595" s="933"/>
      <c r="Z595" s="933"/>
      <c r="AA595" s="933"/>
      <c r="AB595" s="933"/>
      <c r="AC595" s="933"/>
      <c r="AD595" s="933"/>
      <c r="AE595" s="933"/>
      <c r="AF595" s="933"/>
      <c r="AG595" s="933"/>
    </row>
    <row r="596" spans="1:33" ht="12.75">
      <c r="A596" s="933"/>
      <c r="B596" s="933"/>
      <c r="C596" s="933"/>
      <c r="D596" s="933"/>
      <c r="E596" s="933"/>
      <c r="F596" s="933"/>
      <c r="G596" s="933"/>
      <c r="H596" s="933"/>
      <c r="I596" s="933"/>
      <c r="J596" s="933"/>
      <c r="K596" s="933"/>
      <c r="L596" s="933"/>
      <c r="M596" s="933"/>
      <c r="N596" s="933"/>
      <c r="O596" s="933"/>
      <c r="P596" s="933"/>
      <c r="Q596" s="933"/>
      <c r="R596" s="933"/>
      <c r="S596" s="933"/>
      <c r="T596" s="933"/>
      <c r="V596" s="933"/>
      <c r="W596" s="933"/>
      <c r="X596" s="945"/>
      <c r="Y596" s="933"/>
      <c r="Z596" s="933"/>
      <c r="AA596" s="933"/>
      <c r="AB596" s="933"/>
      <c r="AC596" s="933"/>
      <c r="AD596" s="933"/>
      <c r="AE596" s="933"/>
      <c r="AF596" s="933"/>
      <c r="AG596" s="933"/>
    </row>
    <row r="597" spans="1:33" ht="12.75">
      <c r="A597" s="933"/>
      <c r="B597" s="933"/>
      <c r="C597" s="933"/>
      <c r="D597" s="933"/>
      <c r="E597" s="933"/>
      <c r="F597" s="933"/>
      <c r="G597" s="933"/>
      <c r="H597" s="933"/>
      <c r="I597" s="933"/>
      <c r="J597" s="933"/>
      <c r="K597" s="933"/>
      <c r="L597" s="933"/>
      <c r="M597" s="933"/>
      <c r="N597" s="933"/>
      <c r="O597" s="933"/>
      <c r="P597" s="933"/>
      <c r="Q597" s="933"/>
      <c r="R597" s="933"/>
      <c r="S597" s="933"/>
      <c r="T597" s="933"/>
      <c r="V597" s="933"/>
      <c r="W597" s="933"/>
      <c r="X597" s="945"/>
      <c r="Y597" s="933"/>
      <c r="Z597" s="933"/>
      <c r="AA597" s="933"/>
      <c r="AB597" s="933"/>
      <c r="AC597" s="933"/>
      <c r="AD597" s="933"/>
      <c r="AE597" s="933"/>
      <c r="AF597" s="933"/>
      <c r="AG597" s="933"/>
    </row>
    <row r="598" spans="1:33" ht="12.75">
      <c r="A598" s="933"/>
      <c r="B598" s="933"/>
      <c r="C598" s="933"/>
      <c r="D598" s="933"/>
      <c r="E598" s="933"/>
      <c r="F598" s="933"/>
      <c r="G598" s="933"/>
      <c r="H598" s="933"/>
      <c r="I598" s="933"/>
      <c r="J598" s="933"/>
      <c r="K598" s="933"/>
      <c r="L598" s="933"/>
      <c r="M598" s="933"/>
      <c r="N598" s="933"/>
      <c r="O598" s="933"/>
      <c r="P598" s="933"/>
      <c r="Q598" s="933"/>
      <c r="R598" s="933"/>
      <c r="S598" s="933"/>
      <c r="T598" s="933"/>
      <c r="V598" s="933"/>
      <c r="W598" s="933"/>
      <c r="X598" s="945"/>
      <c r="Y598" s="933"/>
      <c r="Z598" s="933"/>
      <c r="AA598" s="933"/>
      <c r="AB598" s="933"/>
      <c r="AC598" s="933"/>
      <c r="AD598" s="933"/>
      <c r="AE598" s="933"/>
      <c r="AF598" s="933"/>
      <c r="AG598" s="933"/>
    </row>
    <row r="599" spans="1:33" ht="12.75">
      <c r="A599" s="933"/>
      <c r="B599" s="933"/>
      <c r="C599" s="933"/>
      <c r="D599" s="933"/>
      <c r="E599" s="933"/>
      <c r="F599" s="933"/>
      <c r="G599" s="933"/>
      <c r="H599" s="933"/>
      <c r="I599" s="933"/>
      <c r="J599" s="933"/>
      <c r="K599" s="933"/>
      <c r="L599" s="933"/>
      <c r="M599" s="933"/>
      <c r="N599" s="933"/>
      <c r="O599" s="933"/>
      <c r="P599" s="933"/>
      <c r="Q599" s="933"/>
      <c r="R599" s="933"/>
      <c r="S599" s="933"/>
      <c r="T599" s="933"/>
      <c r="V599" s="933"/>
      <c r="W599" s="933"/>
      <c r="X599" s="945"/>
      <c r="Y599" s="933"/>
      <c r="Z599" s="933"/>
      <c r="AA599" s="933"/>
      <c r="AB599" s="933"/>
      <c r="AC599" s="933"/>
      <c r="AD599" s="933"/>
      <c r="AE599" s="933"/>
      <c r="AF599" s="933"/>
      <c r="AG599" s="933"/>
    </row>
    <row r="600" spans="1:33" ht="12.75">
      <c r="A600" s="933"/>
      <c r="B600" s="933"/>
      <c r="C600" s="933"/>
      <c r="D600" s="933"/>
      <c r="E600" s="933"/>
      <c r="F600" s="933"/>
      <c r="G600" s="933"/>
      <c r="H600" s="933"/>
      <c r="I600" s="933"/>
      <c r="J600" s="933"/>
      <c r="K600" s="933"/>
      <c r="L600" s="933"/>
      <c r="M600" s="933"/>
      <c r="N600" s="933"/>
      <c r="O600" s="933"/>
      <c r="P600" s="933"/>
      <c r="Q600" s="933"/>
      <c r="R600" s="933"/>
      <c r="S600" s="933"/>
      <c r="T600" s="933"/>
      <c r="V600" s="933"/>
      <c r="W600" s="933"/>
      <c r="X600" s="945"/>
      <c r="Y600" s="933"/>
      <c r="Z600" s="933"/>
      <c r="AA600" s="933"/>
      <c r="AB600" s="933"/>
      <c r="AC600" s="933"/>
      <c r="AD600" s="933"/>
      <c r="AE600" s="933"/>
      <c r="AF600" s="933"/>
      <c r="AG600" s="933"/>
    </row>
    <row r="601" spans="1:33" ht="12.75">
      <c r="A601" s="933"/>
      <c r="B601" s="933"/>
      <c r="C601" s="933"/>
      <c r="D601" s="933"/>
      <c r="E601" s="933"/>
      <c r="F601" s="933"/>
      <c r="G601" s="933"/>
      <c r="H601" s="933"/>
      <c r="I601" s="933"/>
      <c r="J601" s="933"/>
      <c r="K601" s="933"/>
      <c r="L601" s="933"/>
      <c r="M601" s="933"/>
      <c r="N601" s="933"/>
      <c r="O601" s="933"/>
      <c r="P601" s="933"/>
      <c r="Q601" s="933"/>
      <c r="R601" s="933"/>
      <c r="S601" s="933"/>
      <c r="T601" s="933"/>
      <c r="V601" s="933"/>
      <c r="W601" s="933"/>
      <c r="X601" s="945"/>
      <c r="Y601" s="933"/>
      <c r="Z601" s="933"/>
      <c r="AA601" s="933"/>
      <c r="AB601" s="933"/>
      <c r="AC601" s="933"/>
      <c r="AD601" s="933"/>
      <c r="AE601" s="933"/>
      <c r="AF601" s="933"/>
      <c r="AG601" s="933"/>
    </row>
    <row r="602" spans="1:33" ht="12.75">
      <c r="A602" s="933"/>
      <c r="B602" s="933"/>
      <c r="C602" s="933"/>
      <c r="D602" s="933"/>
      <c r="E602" s="933"/>
      <c r="F602" s="933"/>
      <c r="G602" s="933"/>
      <c r="H602" s="933"/>
      <c r="I602" s="933"/>
      <c r="J602" s="933"/>
      <c r="K602" s="933"/>
      <c r="L602" s="933"/>
      <c r="M602" s="933"/>
      <c r="N602" s="933"/>
      <c r="O602" s="933"/>
      <c r="P602" s="933"/>
      <c r="Q602" s="933"/>
      <c r="R602" s="933"/>
      <c r="S602" s="933"/>
      <c r="T602" s="933"/>
      <c r="V602" s="933"/>
      <c r="W602" s="933"/>
      <c r="X602" s="945"/>
      <c r="Y602" s="933"/>
      <c r="Z602" s="933"/>
      <c r="AA602" s="933"/>
      <c r="AB602" s="933"/>
      <c r="AC602" s="933"/>
      <c r="AD602" s="933"/>
      <c r="AE602" s="933"/>
      <c r="AF602" s="933"/>
      <c r="AG602" s="933"/>
    </row>
    <row r="603" spans="1:33" ht="12.75">
      <c r="A603" s="933"/>
      <c r="B603" s="933"/>
      <c r="C603" s="933"/>
      <c r="D603" s="933"/>
      <c r="E603" s="933"/>
      <c r="F603" s="933"/>
      <c r="G603" s="933"/>
      <c r="H603" s="933"/>
      <c r="I603" s="933"/>
      <c r="J603" s="933"/>
      <c r="K603" s="933"/>
      <c r="L603" s="933"/>
      <c r="M603" s="933"/>
      <c r="N603" s="933"/>
      <c r="O603" s="933"/>
      <c r="P603" s="933"/>
      <c r="Q603" s="933"/>
      <c r="R603" s="933"/>
      <c r="S603" s="933"/>
      <c r="T603" s="933"/>
      <c r="V603" s="933"/>
      <c r="W603" s="933"/>
      <c r="X603" s="945"/>
      <c r="Y603" s="933"/>
      <c r="Z603" s="933"/>
      <c r="AA603" s="933"/>
      <c r="AB603" s="933"/>
      <c r="AC603" s="933"/>
      <c r="AD603" s="933"/>
      <c r="AE603" s="933"/>
      <c r="AF603" s="933"/>
      <c r="AG603" s="933"/>
    </row>
    <row r="604" spans="1:33" ht="12.75">
      <c r="A604" s="933"/>
      <c r="B604" s="933"/>
      <c r="C604" s="933"/>
      <c r="D604" s="933"/>
      <c r="E604" s="933"/>
      <c r="F604" s="933"/>
      <c r="G604" s="933"/>
      <c r="H604" s="933"/>
      <c r="I604" s="933"/>
      <c r="J604" s="933"/>
      <c r="K604" s="933"/>
      <c r="L604" s="933"/>
      <c r="M604" s="933"/>
      <c r="N604" s="933"/>
      <c r="O604" s="933"/>
      <c r="P604" s="933"/>
      <c r="Q604" s="933"/>
      <c r="R604" s="933"/>
      <c r="S604" s="933"/>
      <c r="T604" s="933"/>
      <c r="V604" s="933"/>
      <c r="W604" s="933"/>
      <c r="X604" s="945"/>
      <c r="Y604" s="933"/>
      <c r="Z604" s="933"/>
      <c r="AA604" s="933"/>
      <c r="AB604" s="933"/>
      <c r="AC604" s="933"/>
      <c r="AD604" s="933"/>
      <c r="AE604" s="933"/>
      <c r="AF604" s="933"/>
      <c r="AG604" s="933"/>
    </row>
    <row r="605" spans="1:33" ht="12.75">
      <c r="A605" s="933"/>
      <c r="B605" s="933"/>
      <c r="C605" s="933"/>
      <c r="D605" s="933"/>
      <c r="E605" s="933"/>
      <c r="F605" s="933"/>
      <c r="G605" s="933"/>
      <c r="H605" s="933"/>
      <c r="I605" s="933"/>
      <c r="J605" s="933"/>
      <c r="K605" s="933"/>
      <c r="L605" s="933"/>
      <c r="M605" s="933"/>
      <c r="N605" s="933"/>
      <c r="O605" s="933"/>
      <c r="P605" s="933"/>
      <c r="Q605" s="933"/>
      <c r="R605" s="933"/>
      <c r="S605" s="933"/>
      <c r="T605" s="933"/>
      <c r="V605" s="933"/>
      <c r="W605" s="933"/>
      <c r="X605" s="945"/>
      <c r="Y605" s="933"/>
      <c r="Z605" s="933"/>
      <c r="AA605" s="933"/>
      <c r="AB605" s="933"/>
      <c r="AC605" s="933"/>
      <c r="AD605" s="933"/>
      <c r="AE605" s="933"/>
      <c r="AF605" s="933"/>
      <c r="AG605" s="933"/>
    </row>
    <row r="606" spans="1:33" ht="12.75">
      <c r="A606" s="933"/>
      <c r="B606" s="933"/>
      <c r="C606" s="933"/>
      <c r="D606" s="933"/>
      <c r="E606" s="933"/>
      <c r="F606" s="933"/>
      <c r="G606" s="933"/>
      <c r="H606" s="933"/>
      <c r="I606" s="933"/>
      <c r="J606" s="933"/>
      <c r="K606" s="933"/>
      <c r="L606" s="933"/>
      <c r="M606" s="933"/>
      <c r="N606" s="933"/>
      <c r="O606" s="933"/>
      <c r="P606" s="933"/>
      <c r="Q606" s="933"/>
      <c r="R606" s="933"/>
      <c r="S606" s="933"/>
      <c r="T606" s="933"/>
      <c r="V606" s="933"/>
      <c r="W606" s="933"/>
      <c r="X606" s="945"/>
      <c r="Y606" s="933"/>
      <c r="Z606" s="933"/>
      <c r="AA606" s="933"/>
      <c r="AB606" s="933"/>
      <c r="AC606" s="933"/>
      <c r="AD606" s="933"/>
      <c r="AE606" s="933"/>
      <c r="AF606" s="933"/>
      <c r="AG606" s="933"/>
    </row>
    <row r="607" spans="1:33" ht="12.75">
      <c r="A607" s="933"/>
      <c r="B607" s="933"/>
      <c r="C607" s="933"/>
      <c r="D607" s="933"/>
      <c r="E607" s="933"/>
      <c r="F607" s="933"/>
      <c r="G607" s="933"/>
      <c r="H607" s="933"/>
      <c r="I607" s="933"/>
      <c r="J607" s="933"/>
      <c r="K607" s="933"/>
      <c r="L607" s="933"/>
      <c r="M607" s="933"/>
      <c r="N607" s="933"/>
      <c r="O607" s="933"/>
      <c r="P607" s="933"/>
      <c r="Q607" s="933"/>
      <c r="R607" s="933"/>
      <c r="S607" s="933"/>
      <c r="T607" s="933"/>
      <c r="V607" s="933"/>
      <c r="W607" s="933"/>
      <c r="X607" s="945"/>
      <c r="Y607" s="933"/>
      <c r="Z607" s="933"/>
      <c r="AA607" s="933"/>
      <c r="AB607" s="933"/>
      <c r="AC607" s="933"/>
      <c r="AD607" s="933"/>
      <c r="AE607" s="933"/>
      <c r="AF607" s="933"/>
      <c r="AG607" s="933"/>
    </row>
    <row r="608" spans="1:33" ht="12.75">
      <c r="A608" s="933"/>
      <c r="B608" s="933"/>
      <c r="C608" s="933"/>
      <c r="D608" s="933"/>
      <c r="E608" s="933"/>
      <c r="F608" s="933"/>
      <c r="G608" s="933"/>
      <c r="H608" s="933"/>
      <c r="I608" s="933"/>
      <c r="J608" s="933"/>
      <c r="K608" s="933"/>
      <c r="L608" s="933"/>
      <c r="M608" s="933"/>
      <c r="N608" s="933"/>
      <c r="O608" s="933"/>
      <c r="P608" s="933"/>
      <c r="Q608" s="933"/>
      <c r="R608" s="933"/>
      <c r="S608" s="933"/>
      <c r="T608" s="933"/>
      <c r="V608" s="933"/>
      <c r="W608" s="933"/>
      <c r="X608" s="945"/>
      <c r="Y608" s="933"/>
      <c r="Z608" s="933"/>
      <c r="AA608" s="933"/>
      <c r="AB608" s="933"/>
      <c r="AC608" s="933"/>
      <c r="AD608" s="933"/>
      <c r="AE608" s="933"/>
      <c r="AF608" s="933"/>
      <c r="AG608" s="933"/>
    </row>
    <row r="609" spans="1:33" ht="12.75">
      <c r="A609" s="933"/>
      <c r="B609" s="933"/>
      <c r="C609" s="933"/>
      <c r="D609" s="933"/>
      <c r="E609" s="933"/>
      <c r="F609" s="933"/>
      <c r="G609" s="933"/>
      <c r="H609" s="933"/>
      <c r="I609" s="933"/>
      <c r="J609" s="933"/>
      <c r="K609" s="933"/>
      <c r="L609" s="933"/>
      <c r="M609" s="933"/>
      <c r="N609" s="933"/>
      <c r="O609" s="933"/>
      <c r="P609" s="933"/>
      <c r="Q609" s="933"/>
      <c r="R609" s="933"/>
      <c r="S609" s="933"/>
      <c r="T609" s="933"/>
      <c r="V609" s="933"/>
      <c r="W609" s="933"/>
      <c r="X609" s="945"/>
      <c r="Y609" s="933"/>
      <c r="Z609" s="933"/>
      <c r="AA609" s="933"/>
      <c r="AB609" s="933"/>
      <c r="AC609" s="933"/>
      <c r="AD609" s="933"/>
      <c r="AE609" s="933"/>
      <c r="AF609" s="933"/>
      <c r="AG609" s="933"/>
    </row>
    <row r="610" spans="1:33" ht="12.75">
      <c r="A610" s="933"/>
      <c r="B610" s="933"/>
      <c r="C610" s="933"/>
      <c r="D610" s="933"/>
      <c r="E610" s="933"/>
      <c r="F610" s="933"/>
      <c r="G610" s="933"/>
      <c r="H610" s="933"/>
      <c r="I610" s="933"/>
      <c r="J610" s="933"/>
      <c r="K610" s="933"/>
      <c r="L610" s="933"/>
      <c r="M610" s="933"/>
      <c r="N610" s="933"/>
      <c r="O610" s="933"/>
      <c r="P610" s="933"/>
      <c r="Q610" s="933"/>
      <c r="R610" s="933"/>
      <c r="S610" s="933"/>
      <c r="T610" s="933"/>
      <c r="V610" s="933"/>
      <c r="W610" s="933"/>
      <c r="X610" s="945"/>
      <c r="Y610" s="933"/>
      <c r="Z610" s="933"/>
      <c r="AA610" s="933"/>
      <c r="AB610" s="933"/>
      <c r="AC610" s="933"/>
      <c r="AD610" s="933"/>
      <c r="AE610" s="933"/>
      <c r="AF610" s="933"/>
      <c r="AG610" s="933"/>
    </row>
    <row r="611" spans="1:33" ht="12.75">
      <c r="A611" s="933"/>
      <c r="B611" s="933"/>
      <c r="C611" s="933"/>
      <c r="D611" s="933"/>
      <c r="E611" s="933"/>
      <c r="F611" s="933"/>
      <c r="G611" s="933"/>
      <c r="H611" s="933"/>
      <c r="I611" s="933"/>
      <c r="J611" s="933"/>
      <c r="K611" s="933"/>
      <c r="L611" s="933"/>
      <c r="M611" s="933"/>
      <c r="N611" s="933"/>
      <c r="O611" s="933"/>
      <c r="P611" s="933"/>
      <c r="Q611" s="933"/>
      <c r="R611" s="933"/>
      <c r="S611" s="933"/>
      <c r="T611" s="933"/>
      <c r="V611" s="933"/>
      <c r="W611" s="933"/>
      <c r="X611" s="945"/>
      <c r="Y611" s="933"/>
      <c r="Z611" s="933"/>
      <c r="AA611" s="933"/>
      <c r="AB611" s="933"/>
      <c r="AC611" s="933"/>
      <c r="AD611" s="933"/>
      <c r="AE611" s="933"/>
      <c r="AF611" s="933"/>
      <c r="AG611" s="933"/>
    </row>
    <row r="612" spans="1:33" ht="12.75">
      <c r="A612" s="933"/>
      <c r="B612" s="933"/>
      <c r="C612" s="933"/>
      <c r="D612" s="933"/>
      <c r="E612" s="933"/>
      <c r="F612" s="933"/>
      <c r="G612" s="933"/>
      <c r="H612" s="933"/>
      <c r="I612" s="933"/>
      <c r="J612" s="933"/>
      <c r="K612" s="933"/>
      <c r="L612" s="933"/>
      <c r="M612" s="933"/>
      <c r="N612" s="933"/>
      <c r="O612" s="933"/>
      <c r="P612" s="933"/>
      <c r="Q612" s="933"/>
      <c r="R612" s="933"/>
      <c r="S612" s="933"/>
      <c r="T612" s="933"/>
      <c r="V612" s="933"/>
      <c r="W612" s="933"/>
      <c r="X612" s="945"/>
      <c r="Y612" s="933"/>
      <c r="Z612" s="933"/>
      <c r="AA612" s="933"/>
      <c r="AB612" s="933"/>
      <c r="AC612" s="933"/>
      <c r="AD612" s="933"/>
      <c r="AE612" s="933"/>
      <c r="AF612" s="933"/>
      <c r="AG612" s="933"/>
    </row>
    <row r="613" spans="1:33" ht="12.75">
      <c r="A613" s="933"/>
      <c r="B613" s="933"/>
      <c r="C613" s="933"/>
      <c r="D613" s="933"/>
      <c r="E613" s="933"/>
      <c r="F613" s="933"/>
      <c r="G613" s="933"/>
      <c r="H613" s="933"/>
      <c r="I613" s="933"/>
      <c r="J613" s="933"/>
      <c r="K613" s="933"/>
      <c r="L613" s="933"/>
      <c r="M613" s="933"/>
      <c r="N613" s="933"/>
      <c r="O613" s="933"/>
      <c r="P613" s="933"/>
      <c r="Q613" s="933"/>
      <c r="R613" s="933"/>
      <c r="S613" s="933"/>
      <c r="T613" s="933"/>
      <c r="V613" s="933"/>
      <c r="W613" s="933"/>
      <c r="X613" s="945"/>
      <c r="Y613" s="933"/>
      <c r="Z613" s="933"/>
      <c r="AA613" s="933"/>
      <c r="AB613" s="933"/>
      <c r="AC613" s="933"/>
      <c r="AD613" s="933"/>
      <c r="AE613" s="933"/>
      <c r="AF613" s="933"/>
      <c r="AG613" s="933"/>
    </row>
    <row r="614" spans="1:33" ht="12.75">
      <c r="A614" s="933"/>
      <c r="B614" s="933"/>
      <c r="C614" s="933"/>
      <c r="D614" s="933"/>
      <c r="E614" s="933"/>
      <c r="F614" s="933"/>
      <c r="G614" s="933"/>
      <c r="H614" s="933"/>
      <c r="I614" s="933"/>
      <c r="J614" s="933"/>
      <c r="K614" s="933"/>
      <c r="L614" s="933"/>
      <c r="M614" s="933"/>
      <c r="N614" s="933"/>
      <c r="O614" s="933"/>
      <c r="P614" s="933"/>
      <c r="Q614" s="933"/>
      <c r="R614" s="933"/>
      <c r="S614" s="933"/>
      <c r="T614" s="933"/>
      <c r="V614" s="933"/>
      <c r="W614" s="933"/>
      <c r="X614" s="945"/>
      <c r="Y614" s="933"/>
      <c r="Z614" s="933"/>
      <c r="AA614" s="933"/>
      <c r="AB614" s="933"/>
      <c r="AC614" s="933"/>
      <c r="AD614" s="933"/>
      <c r="AE614" s="933"/>
      <c r="AF614" s="933"/>
      <c r="AG614" s="933"/>
    </row>
    <row r="615" spans="1:33" ht="12.75">
      <c r="A615" s="933"/>
      <c r="B615" s="933"/>
      <c r="C615" s="933"/>
      <c r="D615" s="933"/>
      <c r="E615" s="933"/>
      <c r="F615" s="933"/>
      <c r="G615" s="933"/>
      <c r="H615" s="933"/>
      <c r="I615" s="933"/>
      <c r="J615" s="933"/>
      <c r="K615" s="933"/>
      <c r="L615" s="933"/>
      <c r="M615" s="933"/>
      <c r="N615" s="933"/>
      <c r="O615" s="933"/>
      <c r="P615" s="933"/>
      <c r="Q615" s="933"/>
      <c r="R615" s="933"/>
      <c r="S615" s="933"/>
      <c r="T615" s="933"/>
      <c r="V615" s="933"/>
      <c r="W615" s="933"/>
      <c r="X615" s="945"/>
      <c r="Y615" s="933"/>
      <c r="Z615" s="933"/>
      <c r="AA615" s="933"/>
      <c r="AB615" s="933"/>
      <c r="AC615" s="933"/>
      <c r="AD615" s="933"/>
      <c r="AE615" s="933"/>
      <c r="AF615" s="933"/>
      <c r="AG615" s="933"/>
    </row>
    <row r="616" spans="1:33" ht="12.75">
      <c r="A616" s="933"/>
      <c r="B616" s="933"/>
      <c r="C616" s="933"/>
      <c r="D616" s="933"/>
      <c r="E616" s="933"/>
      <c r="F616" s="933"/>
      <c r="G616" s="933"/>
      <c r="H616" s="933"/>
      <c r="I616" s="933"/>
      <c r="J616" s="933"/>
      <c r="K616" s="933"/>
      <c r="L616" s="933"/>
      <c r="M616" s="933"/>
      <c r="N616" s="933"/>
      <c r="O616" s="933"/>
      <c r="P616" s="933"/>
      <c r="Q616" s="933"/>
      <c r="R616" s="933"/>
      <c r="S616" s="933"/>
      <c r="T616" s="933"/>
      <c r="V616" s="933"/>
      <c r="W616" s="933"/>
      <c r="X616" s="945"/>
      <c r="Y616" s="933"/>
      <c r="Z616" s="933"/>
      <c r="AA616" s="933"/>
      <c r="AB616" s="933"/>
      <c r="AC616" s="933"/>
      <c r="AD616" s="933"/>
      <c r="AE616" s="933"/>
      <c r="AF616" s="933"/>
      <c r="AG616" s="933"/>
    </row>
    <row r="617" spans="1:33" ht="12.75">
      <c r="A617" s="933"/>
      <c r="B617" s="933"/>
      <c r="C617" s="933"/>
      <c r="D617" s="933"/>
      <c r="E617" s="933"/>
      <c r="F617" s="933"/>
      <c r="G617" s="933"/>
      <c r="H617" s="933"/>
      <c r="I617" s="933"/>
      <c r="J617" s="933"/>
      <c r="K617" s="933"/>
      <c r="L617" s="933"/>
      <c r="M617" s="933"/>
      <c r="N617" s="933"/>
      <c r="O617" s="933"/>
      <c r="P617" s="933"/>
      <c r="Q617" s="933"/>
      <c r="R617" s="933"/>
      <c r="S617" s="933"/>
      <c r="T617" s="933"/>
      <c r="V617" s="933"/>
      <c r="W617" s="933"/>
      <c r="X617" s="945"/>
      <c r="Y617" s="933"/>
      <c r="Z617" s="933"/>
      <c r="AA617" s="933"/>
      <c r="AB617" s="933"/>
      <c r="AC617" s="933"/>
      <c r="AD617" s="933"/>
      <c r="AE617" s="933"/>
      <c r="AF617" s="933"/>
      <c r="AG617" s="933"/>
    </row>
    <row r="618" spans="1:33" ht="12.75">
      <c r="A618" s="933"/>
      <c r="B618" s="933"/>
      <c r="C618" s="933"/>
      <c r="D618" s="933"/>
      <c r="E618" s="933"/>
      <c r="F618" s="933"/>
      <c r="G618" s="933"/>
      <c r="H618" s="933"/>
      <c r="I618" s="933"/>
      <c r="J618" s="933"/>
      <c r="K618" s="933"/>
      <c r="L618" s="933"/>
      <c r="M618" s="933"/>
      <c r="N618" s="933"/>
      <c r="O618" s="933"/>
      <c r="P618" s="933"/>
      <c r="Q618" s="933"/>
      <c r="R618" s="933"/>
      <c r="S618" s="933"/>
      <c r="T618" s="933"/>
      <c r="V618" s="933"/>
      <c r="W618" s="933"/>
      <c r="X618" s="945"/>
      <c r="Y618" s="933"/>
      <c r="Z618" s="933"/>
      <c r="AA618" s="933"/>
      <c r="AB618" s="933"/>
      <c r="AC618" s="933"/>
      <c r="AD618" s="933"/>
      <c r="AE618" s="933"/>
      <c r="AF618" s="933"/>
      <c r="AG618" s="933"/>
    </row>
    <row r="619" spans="1:33" ht="12.75">
      <c r="A619" s="933"/>
      <c r="B619" s="933"/>
      <c r="C619" s="933"/>
      <c r="D619" s="933"/>
      <c r="E619" s="933"/>
      <c r="F619" s="933"/>
      <c r="G619" s="933"/>
      <c r="H619" s="933"/>
      <c r="I619" s="933"/>
      <c r="J619" s="933"/>
      <c r="K619" s="933"/>
      <c r="L619" s="933"/>
      <c r="M619" s="933"/>
      <c r="N619" s="933"/>
      <c r="O619" s="933"/>
      <c r="P619" s="933"/>
      <c r="Q619" s="933"/>
      <c r="R619" s="933"/>
      <c r="S619" s="933"/>
      <c r="T619" s="933"/>
      <c r="V619" s="933"/>
      <c r="W619" s="933"/>
      <c r="X619" s="945"/>
      <c r="Y619" s="933"/>
      <c r="Z619" s="933"/>
      <c r="AA619" s="933"/>
      <c r="AB619" s="933"/>
      <c r="AC619" s="933"/>
      <c r="AD619" s="933"/>
      <c r="AE619" s="933"/>
      <c r="AF619" s="933"/>
      <c r="AG619" s="933"/>
    </row>
    <row r="620" spans="1:33" ht="12.75">
      <c r="A620" s="933"/>
      <c r="B620" s="933"/>
      <c r="C620" s="933"/>
      <c r="D620" s="933"/>
      <c r="E620" s="933"/>
      <c r="F620" s="933"/>
      <c r="G620" s="933"/>
      <c r="H620" s="933"/>
      <c r="I620" s="933"/>
      <c r="J620" s="933"/>
      <c r="K620" s="933"/>
      <c r="L620" s="933"/>
      <c r="M620" s="933"/>
      <c r="N620" s="933"/>
      <c r="O620" s="933"/>
      <c r="P620" s="933"/>
      <c r="Q620" s="933"/>
      <c r="R620" s="933"/>
      <c r="S620" s="933"/>
      <c r="T620" s="933"/>
      <c r="V620" s="933"/>
      <c r="W620" s="933"/>
      <c r="X620" s="945"/>
      <c r="Y620" s="933"/>
      <c r="Z620" s="933"/>
      <c r="AA620" s="933"/>
      <c r="AB620" s="933"/>
      <c r="AC620" s="933"/>
      <c r="AD620" s="933"/>
      <c r="AE620" s="933"/>
      <c r="AF620" s="933"/>
      <c r="AG620" s="933"/>
    </row>
    <row r="621" spans="1:33" ht="12.75">
      <c r="A621" s="933"/>
      <c r="B621" s="933"/>
      <c r="C621" s="933"/>
      <c r="D621" s="933"/>
      <c r="E621" s="933"/>
      <c r="F621" s="933"/>
      <c r="G621" s="933"/>
      <c r="H621" s="933"/>
      <c r="I621" s="933"/>
      <c r="J621" s="933"/>
      <c r="K621" s="933"/>
      <c r="L621" s="933"/>
      <c r="M621" s="933"/>
      <c r="N621" s="933"/>
      <c r="O621" s="933"/>
      <c r="P621" s="933"/>
      <c r="Q621" s="933"/>
      <c r="R621" s="933"/>
      <c r="S621" s="933"/>
      <c r="T621" s="933"/>
      <c r="V621" s="933"/>
      <c r="W621" s="933"/>
      <c r="X621" s="945"/>
      <c r="Y621" s="933"/>
      <c r="Z621" s="933"/>
      <c r="AA621" s="933"/>
      <c r="AB621" s="933"/>
      <c r="AC621" s="933"/>
      <c r="AD621" s="933"/>
      <c r="AE621" s="933"/>
      <c r="AF621" s="933"/>
      <c r="AG621" s="933"/>
    </row>
    <row r="622" spans="1:33" ht="12.75">
      <c r="A622" s="933"/>
      <c r="B622" s="933"/>
      <c r="C622" s="933"/>
      <c r="D622" s="933"/>
      <c r="E622" s="933"/>
      <c r="F622" s="933"/>
      <c r="G622" s="933"/>
      <c r="H622" s="933"/>
      <c r="I622" s="933"/>
      <c r="J622" s="933"/>
      <c r="K622" s="933"/>
      <c r="L622" s="933"/>
      <c r="M622" s="933"/>
      <c r="N622" s="933"/>
      <c r="O622" s="933"/>
      <c r="P622" s="933"/>
      <c r="Q622" s="933"/>
      <c r="R622" s="933"/>
      <c r="S622" s="933"/>
      <c r="T622" s="933"/>
      <c r="V622" s="933"/>
      <c r="W622" s="933"/>
      <c r="X622" s="945"/>
      <c r="Y622" s="933"/>
      <c r="Z622" s="933"/>
      <c r="AA622" s="933"/>
      <c r="AB622" s="933"/>
      <c r="AC622" s="933"/>
      <c r="AD622" s="933"/>
      <c r="AE622" s="933"/>
      <c r="AF622" s="933"/>
      <c r="AG622" s="933"/>
    </row>
    <row r="623" spans="1:33" ht="12.75">
      <c r="A623" s="933"/>
      <c r="B623" s="933"/>
      <c r="C623" s="933"/>
      <c r="D623" s="933"/>
      <c r="E623" s="933"/>
      <c r="F623" s="933"/>
      <c r="G623" s="933"/>
      <c r="H623" s="933"/>
      <c r="I623" s="933"/>
      <c r="J623" s="933"/>
      <c r="K623" s="933"/>
      <c r="L623" s="933"/>
      <c r="M623" s="933"/>
      <c r="N623" s="933"/>
      <c r="O623" s="933"/>
      <c r="P623" s="933"/>
      <c r="Q623" s="933"/>
      <c r="R623" s="933"/>
      <c r="S623" s="933"/>
      <c r="T623" s="933"/>
      <c r="V623" s="933"/>
      <c r="W623" s="933"/>
      <c r="X623" s="945"/>
      <c r="Y623" s="933"/>
      <c r="Z623" s="933"/>
      <c r="AA623" s="933"/>
      <c r="AB623" s="933"/>
      <c r="AC623" s="933"/>
      <c r="AD623" s="933"/>
      <c r="AE623" s="933"/>
      <c r="AF623" s="933"/>
      <c r="AG623" s="933"/>
    </row>
    <row r="624" spans="1:33" ht="12.75">
      <c r="A624" s="933"/>
      <c r="B624" s="933"/>
      <c r="C624" s="933"/>
      <c r="D624" s="933"/>
      <c r="E624" s="933"/>
      <c r="F624" s="933"/>
      <c r="G624" s="933"/>
      <c r="H624" s="933"/>
      <c r="I624" s="933"/>
      <c r="J624" s="933"/>
      <c r="K624" s="933"/>
      <c r="L624" s="933"/>
      <c r="M624" s="933"/>
      <c r="N624" s="933"/>
      <c r="O624" s="933"/>
      <c r="P624" s="933"/>
      <c r="Q624" s="933"/>
      <c r="R624" s="933"/>
      <c r="S624" s="933"/>
      <c r="T624" s="933"/>
      <c r="V624" s="933"/>
      <c r="W624" s="933"/>
      <c r="X624" s="945"/>
      <c r="Y624" s="933"/>
      <c r="Z624" s="933"/>
      <c r="AA624" s="933"/>
      <c r="AB624" s="933"/>
      <c r="AC624" s="933"/>
      <c r="AD624" s="933"/>
      <c r="AE624" s="933"/>
      <c r="AF624" s="933"/>
      <c r="AG624" s="933"/>
    </row>
    <row r="625" spans="1:33" ht="12.75">
      <c r="A625" s="933"/>
      <c r="B625" s="933"/>
      <c r="C625" s="933"/>
      <c r="D625" s="933"/>
      <c r="E625" s="933"/>
      <c r="F625" s="933"/>
      <c r="G625" s="933"/>
      <c r="H625" s="933"/>
      <c r="I625" s="933"/>
      <c r="J625" s="933"/>
      <c r="K625" s="933"/>
      <c r="L625" s="933"/>
      <c r="M625" s="933"/>
      <c r="N625" s="933"/>
      <c r="O625" s="933"/>
      <c r="P625" s="933"/>
      <c r="Q625" s="933"/>
      <c r="R625" s="933"/>
      <c r="S625" s="933"/>
      <c r="T625" s="933"/>
      <c r="V625" s="933"/>
      <c r="W625" s="933"/>
      <c r="X625" s="945"/>
      <c r="Y625" s="933"/>
      <c r="Z625" s="933"/>
      <c r="AA625" s="933"/>
      <c r="AB625" s="933"/>
      <c r="AC625" s="933"/>
      <c r="AD625" s="933"/>
      <c r="AE625" s="933"/>
      <c r="AF625" s="933"/>
      <c r="AG625" s="933"/>
    </row>
    <row r="626" spans="1:33" ht="12.75">
      <c r="A626" s="933"/>
      <c r="B626" s="933"/>
      <c r="C626" s="933"/>
      <c r="D626" s="933"/>
      <c r="E626" s="933"/>
      <c r="F626" s="933"/>
      <c r="G626" s="933"/>
      <c r="H626" s="933"/>
      <c r="I626" s="933"/>
      <c r="J626" s="933"/>
      <c r="K626" s="933"/>
      <c r="L626" s="933"/>
      <c r="M626" s="933"/>
      <c r="N626" s="933"/>
      <c r="O626" s="933"/>
      <c r="P626" s="933"/>
      <c r="Q626" s="933"/>
      <c r="R626" s="933"/>
      <c r="S626" s="933"/>
      <c r="T626" s="933"/>
      <c r="V626" s="933"/>
      <c r="W626" s="933"/>
      <c r="X626" s="945"/>
      <c r="Y626" s="933"/>
      <c r="Z626" s="933"/>
      <c r="AA626" s="933"/>
      <c r="AB626" s="933"/>
      <c r="AC626" s="933"/>
      <c r="AD626" s="933"/>
      <c r="AE626" s="933"/>
      <c r="AF626" s="933"/>
      <c r="AG626" s="933"/>
    </row>
    <row r="627" spans="1:33" ht="12.75">
      <c r="A627" s="933"/>
      <c r="B627" s="933"/>
      <c r="C627" s="933"/>
      <c r="D627" s="933"/>
      <c r="E627" s="933"/>
      <c r="F627" s="933"/>
      <c r="G627" s="933"/>
      <c r="H627" s="933"/>
      <c r="I627" s="933"/>
      <c r="J627" s="933"/>
      <c r="K627" s="933"/>
      <c r="L627" s="933"/>
      <c r="M627" s="933"/>
      <c r="N627" s="933"/>
      <c r="O627" s="933"/>
      <c r="P627" s="933"/>
      <c r="Q627" s="933"/>
      <c r="R627" s="933"/>
      <c r="S627" s="933"/>
      <c r="T627" s="933"/>
      <c r="V627" s="933"/>
      <c r="W627" s="933"/>
      <c r="X627" s="945"/>
      <c r="Y627" s="933"/>
      <c r="Z627" s="933"/>
      <c r="AA627" s="933"/>
      <c r="AB627" s="933"/>
      <c r="AC627" s="933"/>
      <c r="AD627" s="933"/>
      <c r="AE627" s="933"/>
      <c r="AF627" s="933"/>
      <c r="AG627" s="933"/>
    </row>
    <row r="628" spans="1:33" ht="12.75">
      <c r="A628" s="933"/>
      <c r="B628" s="933"/>
      <c r="C628" s="933"/>
      <c r="D628" s="933"/>
      <c r="E628" s="933"/>
      <c r="F628" s="933"/>
      <c r="G628" s="933"/>
      <c r="H628" s="933"/>
      <c r="I628" s="933"/>
      <c r="J628" s="933"/>
      <c r="K628" s="933"/>
      <c r="L628" s="933"/>
      <c r="M628" s="933"/>
      <c r="N628" s="933"/>
      <c r="O628" s="933"/>
      <c r="P628" s="933"/>
      <c r="Q628" s="933"/>
      <c r="R628" s="933"/>
      <c r="S628" s="933"/>
      <c r="T628" s="933"/>
      <c r="V628" s="933"/>
      <c r="W628" s="933"/>
      <c r="X628" s="945"/>
      <c r="Y628" s="933"/>
      <c r="Z628" s="933"/>
      <c r="AA628" s="933"/>
      <c r="AB628" s="933"/>
      <c r="AC628" s="933"/>
      <c r="AD628" s="933"/>
      <c r="AE628" s="933"/>
      <c r="AF628" s="933"/>
      <c r="AG628" s="933"/>
    </row>
    <row r="629" spans="1:33" ht="12.75">
      <c r="A629" s="933"/>
      <c r="B629" s="933"/>
      <c r="C629" s="933"/>
      <c r="D629" s="933"/>
      <c r="E629" s="933"/>
      <c r="F629" s="933"/>
      <c r="G629" s="933"/>
      <c r="H629" s="933"/>
      <c r="I629" s="933"/>
      <c r="J629" s="933"/>
      <c r="K629" s="933"/>
      <c r="L629" s="933"/>
      <c r="M629" s="933"/>
      <c r="N629" s="933"/>
      <c r="O629" s="933"/>
      <c r="P629" s="933"/>
      <c r="Q629" s="933"/>
      <c r="R629" s="933"/>
      <c r="S629" s="933"/>
      <c r="T629" s="933"/>
      <c r="V629" s="933"/>
      <c r="W629" s="933"/>
      <c r="X629" s="945"/>
      <c r="Y629" s="933"/>
      <c r="Z629" s="933"/>
      <c r="AA629" s="933"/>
      <c r="AB629" s="933"/>
      <c r="AC629" s="933"/>
      <c r="AD629" s="933"/>
      <c r="AE629" s="933"/>
      <c r="AF629" s="933"/>
      <c r="AG629" s="933"/>
    </row>
    <row r="630" spans="1:33" ht="12.75">
      <c r="A630" s="933"/>
      <c r="B630" s="933"/>
      <c r="C630" s="933"/>
      <c r="D630" s="933"/>
      <c r="E630" s="933"/>
      <c r="F630" s="933"/>
      <c r="G630" s="933"/>
      <c r="H630" s="933"/>
      <c r="I630" s="933"/>
      <c r="J630" s="933"/>
      <c r="K630" s="933"/>
      <c r="L630" s="933"/>
      <c r="M630" s="933"/>
      <c r="N630" s="933"/>
      <c r="O630" s="933"/>
      <c r="P630" s="933"/>
      <c r="Q630" s="933"/>
      <c r="R630" s="933"/>
      <c r="S630" s="933"/>
      <c r="T630" s="933"/>
      <c r="V630" s="933"/>
      <c r="W630" s="933"/>
      <c r="X630" s="945"/>
      <c r="Y630" s="933"/>
      <c r="Z630" s="933"/>
      <c r="AA630" s="933"/>
      <c r="AB630" s="933"/>
      <c r="AC630" s="933"/>
      <c r="AD630" s="933"/>
      <c r="AE630" s="933"/>
      <c r="AF630" s="933"/>
      <c r="AG630" s="933"/>
    </row>
    <row r="631" spans="1:33" ht="12.75">
      <c r="A631" s="933"/>
      <c r="B631" s="933"/>
      <c r="C631" s="933"/>
      <c r="D631" s="933"/>
      <c r="E631" s="933"/>
      <c r="F631" s="933"/>
      <c r="G631" s="933"/>
      <c r="H631" s="933"/>
      <c r="I631" s="933"/>
      <c r="J631" s="933"/>
      <c r="K631" s="933"/>
      <c r="L631" s="933"/>
      <c r="M631" s="933"/>
      <c r="N631" s="933"/>
      <c r="O631" s="933"/>
      <c r="P631" s="933"/>
      <c r="Q631" s="933"/>
      <c r="R631" s="933"/>
      <c r="S631" s="933"/>
      <c r="T631" s="933"/>
      <c r="V631" s="933"/>
      <c r="W631" s="933"/>
      <c r="X631" s="945"/>
      <c r="Y631" s="933"/>
      <c r="Z631" s="933"/>
      <c r="AA631" s="933"/>
      <c r="AB631" s="933"/>
      <c r="AC631" s="933"/>
      <c r="AD631" s="933"/>
      <c r="AE631" s="933"/>
      <c r="AF631" s="933"/>
      <c r="AG631" s="933"/>
    </row>
    <row r="632" spans="1:33" ht="12.75">
      <c r="A632" s="933"/>
      <c r="B632" s="933"/>
      <c r="C632" s="933"/>
      <c r="D632" s="933"/>
      <c r="E632" s="933"/>
      <c r="F632" s="933"/>
      <c r="G632" s="933"/>
      <c r="H632" s="933"/>
      <c r="I632" s="933"/>
      <c r="J632" s="933"/>
      <c r="K632" s="933"/>
      <c r="L632" s="933"/>
      <c r="M632" s="933"/>
      <c r="N632" s="933"/>
      <c r="O632" s="933"/>
      <c r="P632" s="933"/>
      <c r="Q632" s="933"/>
      <c r="R632" s="933"/>
      <c r="S632" s="933"/>
      <c r="T632" s="933"/>
      <c r="V632" s="933"/>
      <c r="W632" s="933"/>
      <c r="X632" s="945"/>
      <c r="Y632" s="933"/>
      <c r="Z632" s="933"/>
      <c r="AA632" s="933"/>
      <c r="AB632" s="933"/>
      <c r="AC632" s="933"/>
      <c r="AD632" s="933"/>
      <c r="AE632" s="933"/>
      <c r="AF632" s="933"/>
      <c r="AG632" s="933"/>
    </row>
    <row r="633" spans="1:33" ht="12.75">
      <c r="A633" s="933"/>
      <c r="B633" s="933"/>
      <c r="C633" s="933"/>
      <c r="D633" s="933"/>
      <c r="E633" s="933"/>
      <c r="F633" s="933"/>
      <c r="G633" s="933"/>
      <c r="H633" s="933"/>
      <c r="I633" s="933"/>
      <c r="J633" s="933"/>
      <c r="K633" s="933"/>
      <c r="L633" s="933"/>
      <c r="M633" s="933"/>
      <c r="N633" s="933"/>
      <c r="O633" s="933"/>
      <c r="P633" s="933"/>
      <c r="Q633" s="933"/>
      <c r="R633" s="933"/>
      <c r="S633" s="933"/>
      <c r="T633" s="933"/>
      <c r="V633" s="933"/>
      <c r="W633" s="933"/>
      <c r="X633" s="945"/>
      <c r="Y633" s="933"/>
      <c r="Z633" s="933"/>
      <c r="AA633" s="933"/>
      <c r="AB633" s="933"/>
      <c r="AC633" s="933"/>
      <c r="AD633" s="933"/>
      <c r="AE633" s="933"/>
      <c r="AF633" s="933"/>
      <c r="AG633" s="933"/>
    </row>
    <row r="634" spans="1:33" ht="12.75">
      <c r="A634" s="933"/>
      <c r="B634" s="933"/>
      <c r="C634" s="933"/>
      <c r="D634" s="933"/>
      <c r="E634" s="933"/>
      <c r="F634" s="933"/>
      <c r="G634" s="933"/>
      <c r="H634" s="933"/>
      <c r="I634" s="933"/>
      <c r="J634" s="933"/>
      <c r="K634" s="933"/>
      <c r="L634" s="933"/>
      <c r="M634" s="933"/>
      <c r="N634" s="933"/>
      <c r="O634" s="933"/>
      <c r="P634" s="933"/>
      <c r="Q634" s="933"/>
      <c r="R634" s="933"/>
      <c r="S634" s="933"/>
      <c r="T634" s="933"/>
      <c r="V634" s="933"/>
      <c r="W634" s="933"/>
      <c r="X634" s="945"/>
      <c r="Y634" s="933"/>
      <c r="Z634" s="933"/>
      <c r="AA634" s="933"/>
      <c r="AB634" s="933"/>
      <c r="AC634" s="933"/>
      <c r="AD634" s="933"/>
      <c r="AE634" s="933"/>
      <c r="AF634" s="933"/>
      <c r="AG634" s="933"/>
    </row>
    <row r="635" spans="1:33" ht="12.75">
      <c r="A635" s="933"/>
      <c r="B635" s="933"/>
      <c r="C635" s="933"/>
      <c r="D635" s="933"/>
      <c r="E635" s="933"/>
      <c r="F635" s="933"/>
      <c r="G635" s="933"/>
      <c r="H635" s="933"/>
      <c r="I635" s="933"/>
      <c r="J635" s="933"/>
      <c r="K635" s="933"/>
      <c r="L635" s="933"/>
      <c r="M635" s="933"/>
      <c r="N635" s="933"/>
      <c r="O635" s="933"/>
      <c r="P635" s="933"/>
      <c r="Q635" s="933"/>
      <c r="R635" s="933"/>
      <c r="S635" s="933"/>
      <c r="T635" s="933"/>
      <c r="V635" s="933"/>
      <c r="W635" s="933"/>
      <c r="X635" s="945"/>
      <c r="Y635" s="933"/>
      <c r="Z635" s="933"/>
      <c r="AA635" s="933"/>
      <c r="AB635" s="933"/>
      <c r="AC635" s="933"/>
      <c r="AD635" s="933"/>
      <c r="AE635" s="933"/>
      <c r="AF635" s="933"/>
      <c r="AG635" s="933"/>
    </row>
    <row r="636" spans="1:33" ht="12.75">
      <c r="A636" s="933"/>
      <c r="B636" s="933"/>
      <c r="C636" s="933"/>
      <c r="D636" s="933"/>
      <c r="E636" s="933"/>
      <c r="F636" s="933"/>
      <c r="G636" s="933"/>
      <c r="H636" s="933"/>
      <c r="I636" s="933"/>
      <c r="J636" s="933"/>
      <c r="K636" s="933"/>
      <c r="L636" s="933"/>
      <c r="M636" s="933"/>
      <c r="N636" s="933"/>
      <c r="O636" s="933"/>
      <c r="P636" s="933"/>
      <c r="Q636" s="933"/>
      <c r="R636" s="933"/>
      <c r="S636" s="933"/>
      <c r="T636" s="933"/>
      <c r="V636" s="933"/>
      <c r="W636" s="933"/>
      <c r="X636" s="945"/>
      <c r="Y636" s="933"/>
      <c r="Z636" s="933"/>
      <c r="AA636" s="933"/>
      <c r="AB636" s="933"/>
      <c r="AC636" s="933"/>
      <c r="AD636" s="933"/>
      <c r="AE636" s="933"/>
      <c r="AF636" s="933"/>
      <c r="AG636" s="933"/>
    </row>
    <row r="637" spans="1:33" ht="12.75">
      <c r="A637" s="933"/>
      <c r="B637" s="933"/>
      <c r="C637" s="933"/>
      <c r="D637" s="933"/>
      <c r="E637" s="933"/>
      <c r="F637" s="933"/>
      <c r="G637" s="933"/>
      <c r="H637" s="933"/>
      <c r="I637" s="933"/>
      <c r="J637" s="933"/>
      <c r="K637" s="933"/>
      <c r="L637" s="933"/>
      <c r="M637" s="933"/>
      <c r="N637" s="933"/>
      <c r="O637" s="933"/>
      <c r="P637" s="933"/>
      <c r="Q637" s="933"/>
      <c r="R637" s="933"/>
      <c r="S637" s="933"/>
      <c r="T637" s="933"/>
      <c r="V637" s="933"/>
      <c r="W637" s="933"/>
      <c r="X637" s="945"/>
      <c r="Y637" s="933"/>
      <c r="Z637" s="933"/>
      <c r="AA637" s="933"/>
      <c r="AB637" s="933"/>
      <c r="AC637" s="933"/>
      <c r="AD637" s="933"/>
      <c r="AE637" s="933"/>
      <c r="AF637" s="933"/>
      <c r="AG637" s="933"/>
    </row>
    <row r="638" spans="1:33" ht="12.75">
      <c r="A638" s="933"/>
      <c r="B638" s="933"/>
      <c r="C638" s="933"/>
      <c r="D638" s="933"/>
      <c r="E638" s="933"/>
      <c r="F638" s="933"/>
      <c r="G638" s="933"/>
      <c r="H638" s="933"/>
      <c r="I638" s="933"/>
      <c r="J638" s="933"/>
      <c r="K638" s="933"/>
      <c r="L638" s="933"/>
      <c r="M638" s="933"/>
      <c r="N638" s="933"/>
      <c r="O638" s="933"/>
      <c r="P638" s="933"/>
      <c r="Q638" s="933"/>
      <c r="R638" s="933"/>
      <c r="S638" s="933"/>
      <c r="T638" s="933"/>
      <c r="V638" s="933"/>
      <c r="W638" s="933"/>
      <c r="X638" s="945"/>
      <c r="Y638" s="933"/>
      <c r="Z638" s="933"/>
      <c r="AA638" s="933"/>
      <c r="AB638" s="933"/>
      <c r="AC638" s="933"/>
      <c r="AD638" s="933"/>
      <c r="AE638" s="933"/>
      <c r="AF638" s="933"/>
      <c r="AG638" s="933"/>
    </row>
    <row r="639" spans="1:33" ht="12.75">
      <c r="A639" s="933"/>
      <c r="B639" s="933"/>
      <c r="C639" s="933"/>
      <c r="D639" s="933"/>
      <c r="E639" s="933"/>
      <c r="F639" s="933"/>
      <c r="G639" s="933"/>
      <c r="H639" s="933"/>
      <c r="I639" s="933"/>
      <c r="J639" s="933"/>
      <c r="K639" s="933"/>
      <c r="L639" s="933"/>
      <c r="M639" s="933"/>
      <c r="N639" s="933"/>
      <c r="O639" s="933"/>
      <c r="P639" s="933"/>
      <c r="Q639" s="933"/>
      <c r="R639" s="933"/>
      <c r="S639" s="933"/>
      <c r="T639" s="933"/>
      <c r="V639" s="933"/>
      <c r="W639" s="933"/>
      <c r="X639" s="945"/>
      <c r="Y639" s="933"/>
      <c r="Z639" s="933"/>
      <c r="AA639" s="933"/>
      <c r="AB639" s="933"/>
      <c r="AC639" s="933"/>
      <c r="AD639" s="933"/>
      <c r="AE639" s="933"/>
      <c r="AF639" s="933"/>
      <c r="AG639" s="933"/>
    </row>
    <row r="640" spans="1:33" ht="12.75">
      <c r="A640" s="933"/>
      <c r="B640" s="933"/>
      <c r="C640" s="933"/>
      <c r="D640" s="933"/>
      <c r="E640" s="933"/>
      <c r="F640" s="933"/>
      <c r="G640" s="933"/>
      <c r="H640" s="933"/>
      <c r="I640" s="933"/>
      <c r="J640" s="933"/>
      <c r="K640" s="933"/>
      <c r="L640" s="933"/>
      <c r="M640" s="933"/>
      <c r="N640" s="933"/>
      <c r="O640" s="933"/>
      <c r="P640" s="933"/>
      <c r="Q640" s="933"/>
      <c r="R640" s="933"/>
      <c r="S640" s="933"/>
      <c r="T640" s="933"/>
      <c r="V640" s="933"/>
      <c r="W640" s="933"/>
      <c r="X640" s="945"/>
      <c r="Y640" s="933"/>
      <c r="Z640" s="933"/>
      <c r="AA640" s="933"/>
      <c r="AB640" s="933"/>
      <c r="AC640" s="933"/>
      <c r="AD640" s="933"/>
      <c r="AE640" s="933"/>
      <c r="AF640" s="933"/>
      <c r="AG640" s="933"/>
    </row>
    <row r="641" spans="1:33" ht="12.75">
      <c r="A641" s="933"/>
      <c r="B641" s="933"/>
      <c r="C641" s="933"/>
      <c r="D641" s="933"/>
      <c r="E641" s="933"/>
      <c r="F641" s="933"/>
      <c r="G641" s="933"/>
      <c r="H641" s="933"/>
      <c r="I641" s="933"/>
      <c r="J641" s="933"/>
      <c r="K641" s="933"/>
      <c r="L641" s="933"/>
      <c r="M641" s="933"/>
      <c r="N641" s="933"/>
      <c r="O641" s="933"/>
      <c r="P641" s="933"/>
      <c r="Q641" s="933"/>
      <c r="R641" s="933"/>
      <c r="S641" s="933"/>
      <c r="T641" s="933"/>
      <c r="V641" s="933"/>
      <c r="W641" s="933"/>
      <c r="X641" s="945"/>
      <c r="Y641" s="933"/>
      <c r="Z641" s="933"/>
      <c r="AA641" s="933"/>
      <c r="AB641" s="933"/>
      <c r="AC641" s="933"/>
      <c r="AD641" s="933"/>
      <c r="AE641" s="933"/>
      <c r="AF641" s="933"/>
      <c r="AG641" s="933"/>
    </row>
    <row r="642" spans="1:33" ht="12.75">
      <c r="A642" s="933"/>
      <c r="B642" s="933"/>
      <c r="C642" s="933"/>
      <c r="D642" s="933"/>
      <c r="E642" s="933"/>
      <c r="F642" s="933"/>
      <c r="G642" s="933"/>
      <c r="H642" s="933"/>
      <c r="I642" s="933"/>
      <c r="J642" s="933"/>
      <c r="K642" s="933"/>
      <c r="L642" s="933"/>
      <c r="M642" s="933"/>
      <c r="N642" s="933"/>
      <c r="O642" s="933"/>
      <c r="P642" s="933"/>
      <c r="Q642" s="933"/>
      <c r="R642" s="933"/>
      <c r="S642" s="933"/>
      <c r="T642" s="933"/>
      <c r="V642" s="933"/>
      <c r="W642" s="933"/>
      <c r="X642" s="945"/>
      <c r="Y642" s="933"/>
      <c r="Z642" s="933"/>
      <c r="AA642" s="933"/>
      <c r="AB642" s="933"/>
      <c r="AC642" s="933"/>
      <c r="AD642" s="933"/>
      <c r="AE642" s="933"/>
      <c r="AF642" s="933"/>
      <c r="AG642" s="933"/>
    </row>
    <row r="643" spans="1:33" ht="12.75">
      <c r="A643" s="933"/>
      <c r="B643" s="933"/>
      <c r="C643" s="933"/>
      <c r="D643" s="933"/>
      <c r="E643" s="933"/>
      <c r="F643" s="933"/>
      <c r="G643" s="933"/>
      <c r="H643" s="933"/>
      <c r="I643" s="933"/>
      <c r="J643" s="933"/>
      <c r="K643" s="933"/>
      <c r="L643" s="933"/>
      <c r="M643" s="933"/>
      <c r="N643" s="933"/>
      <c r="O643" s="933"/>
      <c r="P643" s="933"/>
      <c r="Q643" s="933"/>
      <c r="R643" s="933"/>
      <c r="S643" s="933"/>
      <c r="T643" s="933"/>
      <c r="V643" s="933"/>
      <c r="W643" s="933"/>
      <c r="X643" s="945"/>
      <c r="Y643" s="933"/>
      <c r="Z643" s="933"/>
      <c r="AA643" s="933"/>
      <c r="AB643" s="933"/>
      <c r="AC643" s="933"/>
      <c r="AD643" s="933"/>
      <c r="AE643" s="933"/>
      <c r="AF643" s="933"/>
      <c r="AG643" s="933"/>
    </row>
    <row r="644" spans="1:33" ht="12.75">
      <c r="A644" s="933"/>
      <c r="B644" s="933"/>
      <c r="C644" s="933"/>
      <c r="D644" s="933"/>
      <c r="E644" s="933"/>
      <c r="F644" s="933"/>
      <c r="G644" s="933"/>
      <c r="H644" s="933"/>
      <c r="I644" s="933"/>
      <c r="J644" s="933"/>
      <c r="K644" s="933"/>
      <c r="L644" s="933"/>
      <c r="M644" s="933"/>
      <c r="N644" s="933"/>
      <c r="O644" s="933"/>
      <c r="P644" s="933"/>
      <c r="Q644" s="933"/>
      <c r="R644" s="933"/>
      <c r="S644" s="933"/>
      <c r="T644" s="933"/>
      <c r="V644" s="933"/>
      <c r="W644" s="933"/>
      <c r="X644" s="945"/>
      <c r="Y644" s="933"/>
      <c r="Z644" s="933"/>
      <c r="AA644" s="933"/>
      <c r="AB644" s="933"/>
      <c r="AC644" s="933"/>
      <c r="AD644" s="933"/>
      <c r="AE644" s="933"/>
      <c r="AF644" s="933"/>
      <c r="AG644" s="933"/>
    </row>
    <row r="645" spans="1:33" ht="12.75">
      <c r="A645" s="933"/>
      <c r="B645" s="933"/>
      <c r="C645" s="933"/>
      <c r="D645" s="933"/>
      <c r="E645" s="933"/>
      <c r="F645" s="933"/>
      <c r="G645" s="933"/>
      <c r="H645" s="933"/>
      <c r="I645" s="933"/>
      <c r="J645" s="933"/>
      <c r="K645" s="933"/>
      <c r="L645" s="933"/>
      <c r="M645" s="933"/>
      <c r="N645" s="933"/>
      <c r="O645" s="933"/>
      <c r="P645" s="933"/>
      <c r="Q645" s="933"/>
      <c r="R645" s="933"/>
      <c r="S645" s="933"/>
      <c r="T645" s="933"/>
      <c r="V645" s="933"/>
      <c r="W645" s="933"/>
      <c r="X645" s="945"/>
      <c r="Y645" s="933"/>
      <c r="Z645" s="933"/>
      <c r="AA645" s="933"/>
      <c r="AB645" s="933"/>
      <c r="AC645" s="933"/>
      <c r="AD645" s="933"/>
      <c r="AE645" s="933"/>
      <c r="AF645" s="933"/>
      <c r="AG645" s="933"/>
    </row>
    <row r="646" spans="1:33" ht="12.75">
      <c r="A646" s="933"/>
      <c r="B646" s="933"/>
      <c r="C646" s="933"/>
      <c r="D646" s="933"/>
      <c r="E646" s="933"/>
      <c r="F646" s="933"/>
      <c r="G646" s="933"/>
      <c r="H646" s="933"/>
      <c r="I646" s="933"/>
      <c r="J646" s="933"/>
      <c r="K646" s="933"/>
      <c r="L646" s="933"/>
      <c r="M646" s="933"/>
      <c r="N646" s="933"/>
      <c r="O646" s="933"/>
      <c r="P646" s="933"/>
      <c r="Q646" s="933"/>
      <c r="R646" s="933"/>
      <c r="S646" s="933"/>
      <c r="T646" s="933"/>
      <c r="V646" s="933"/>
      <c r="W646" s="933"/>
      <c r="X646" s="945"/>
      <c r="Y646" s="933"/>
      <c r="Z646" s="933"/>
      <c r="AA646" s="933"/>
      <c r="AB646" s="933"/>
      <c r="AC646" s="933"/>
      <c r="AD646" s="933"/>
      <c r="AE646" s="933"/>
      <c r="AF646" s="933"/>
      <c r="AG646" s="933"/>
    </row>
    <row r="647" spans="1:33" ht="12.75">
      <c r="A647" s="933"/>
      <c r="B647" s="933"/>
      <c r="C647" s="933"/>
      <c r="D647" s="933"/>
      <c r="E647" s="933"/>
      <c r="F647" s="933"/>
      <c r="G647" s="933"/>
      <c r="H647" s="933"/>
      <c r="I647" s="933"/>
      <c r="J647" s="933"/>
      <c r="K647" s="933"/>
      <c r="L647" s="933"/>
      <c r="M647" s="933"/>
      <c r="N647" s="933"/>
      <c r="O647" s="933"/>
      <c r="P647" s="933"/>
      <c r="Q647" s="933"/>
      <c r="R647" s="933"/>
      <c r="S647" s="933"/>
      <c r="T647" s="933"/>
      <c r="V647" s="933"/>
      <c r="W647" s="933"/>
      <c r="X647" s="945"/>
      <c r="Y647" s="933"/>
      <c r="Z647" s="933"/>
      <c r="AA647" s="933"/>
      <c r="AB647" s="933"/>
      <c r="AC647" s="933"/>
      <c r="AD647" s="933"/>
      <c r="AE647" s="933"/>
      <c r="AF647" s="933"/>
      <c r="AG647" s="933"/>
    </row>
    <row r="648" spans="1:33" ht="12.75">
      <c r="A648" s="933"/>
      <c r="B648" s="933"/>
      <c r="C648" s="933"/>
      <c r="D648" s="933"/>
      <c r="E648" s="933"/>
      <c r="F648" s="933"/>
      <c r="G648" s="933"/>
      <c r="H648" s="933"/>
      <c r="I648" s="933"/>
      <c r="J648" s="933"/>
      <c r="K648" s="933"/>
      <c r="L648" s="933"/>
      <c r="M648" s="933"/>
      <c r="N648" s="933"/>
      <c r="O648" s="933"/>
      <c r="P648" s="933"/>
      <c r="Q648" s="933"/>
      <c r="R648" s="933"/>
      <c r="S648" s="933"/>
      <c r="T648" s="933"/>
      <c r="V648" s="933"/>
      <c r="W648" s="933"/>
      <c r="X648" s="945"/>
      <c r="Y648" s="933"/>
      <c r="Z648" s="933"/>
      <c r="AA648" s="933"/>
      <c r="AB648" s="933"/>
      <c r="AC648" s="933"/>
      <c r="AD648" s="933"/>
      <c r="AE648" s="933"/>
      <c r="AF648" s="933"/>
      <c r="AG648" s="933"/>
    </row>
    <row r="649" spans="1:33" ht="12.75">
      <c r="A649" s="933"/>
      <c r="B649" s="933"/>
      <c r="C649" s="933"/>
      <c r="D649" s="933"/>
      <c r="E649" s="933"/>
      <c r="F649" s="933"/>
      <c r="G649" s="933"/>
      <c r="H649" s="933"/>
      <c r="I649" s="933"/>
      <c r="J649" s="933"/>
      <c r="K649" s="933"/>
      <c r="L649" s="933"/>
      <c r="M649" s="933"/>
      <c r="N649" s="933"/>
      <c r="O649" s="933"/>
      <c r="P649" s="933"/>
      <c r="Q649" s="933"/>
      <c r="R649" s="933"/>
      <c r="S649" s="933"/>
      <c r="T649" s="933"/>
      <c r="V649" s="933"/>
      <c r="W649" s="933"/>
      <c r="X649" s="945"/>
      <c r="Y649" s="933"/>
      <c r="Z649" s="933"/>
      <c r="AA649" s="933"/>
      <c r="AB649" s="933"/>
      <c r="AC649" s="933"/>
      <c r="AD649" s="933"/>
      <c r="AE649" s="933"/>
      <c r="AF649" s="933"/>
      <c r="AG649" s="933"/>
    </row>
    <row r="650" spans="1:33" ht="12.75">
      <c r="A650" s="933"/>
      <c r="B650" s="933"/>
      <c r="C650" s="933"/>
      <c r="D650" s="933"/>
      <c r="E650" s="933"/>
      <c r="F650" s="933"/>
      <c r="G650" s="933"/>
      <c r="H650" s="933"/>
      <c r="I650" s="933"/>
      <c r="J650" s="933"/>
      <c r="K650" s="933"/>
      <c r="L650" s="933"/>
      <c r="M650" s="933"/>
      <c r="N650" s="933"/>
      <c r="O650" s="933"/>
      <c r="P650" s="933"/>
      <c r="Q650" s="933"/>
      <c r="R650" s="933"/>
      <c r="S650" s="933"/>
      <c r="T650" s="933"/>
      <c r="V650" s="933"/>
      <c r="W650" s="933"/>
      <c r="X650" s="945"/>
      <c r="Y650" s="933"/>
      <c r="Z650" s="933"/>
      <c r="AA650" s="933"/>
      <c r="AB650" s="933"/>
      <c r="AC650" s="933"/>
      <c r="AD650" s="933"/>
      <c r="AE650" s="933"/>
      <c r="AF650" s="933"/>
      <c r="AG650" s="933"/>
    </row>
    <row r="651" spans="1:33" ht="12.75">
      <c r="A651" s="933"/>
      <c r="B651" s="933"/>
      <c r="C651" s="933"/>
      <c r="D651" s="933"/>
      <c r="E651" s="933"/>
      <c r="F651" s="933"/>
      <c r="G651" s="933"/>
      <c r="H651" s="933"/>
      <c r="I651" s="933"/>
      <c r="J651" s="933"/>
      <c r="K651" s="933"/>
      <c r="L651" s="933"/>
      <c r="M651" s="933"/>
      <c r="N651" s="933"/>
      <c r="O651" s="933"/>
      <c r="P651" s="933"/>
      <c r="Q651" s="933"/>
      <c r="R651" s="933"/>
      <c r="S651" s="933"/>
      <c r="T651" s="933"/>
      <c r="V651" s="933"/>
      <c r="W651" s="933"/>
      <c r="X651" s="945"/>
      <c r="Y651" s="933"/>
      <c r="Z651" s="933"/>
      <c r="AA651" s="933"/>
      <c r="AB651" s="933"/>
      <c r="AC651" s="933"/>
      <c r="AD651" s="933"/>
      <c r="AE651" s="933"/>
      <c r="AF651" s="933"/>
      <c r="AG651" s="933"/>
    </row>
    <row r="652" spans="1:33" ht="12.75">
      <c r="A652" s="933"/>
      <c r="B652" s="933"/>
      <c r="C652" s="933"/>
      <c r="D652" s="933"/>
      <c r="E652" s="933"/>
      <c r="F652" s="933"/>
      <c r="G652" s="933"/>
      <c r="H652" s="933"/>
      <c r="I652" s="933"/>
      <c r="J652" s="933"/>
      <c r="K652" s="933"/>
      <c r="L652" s="933"/>
      <c r="M652" s="933"/>
      <c r="N652" s="933"/>
      <c r="O652" s="933"/>
      <c r="P652" s="933"/>
      <c r="Q652" s="933"/>
      <c r="R652" s="933"/>
      <c r="S652" s="933"/>
      <c r="T652" s="933"/>
      <c r="V652" s="933"/>
      <c r="W652" s="933"/>
      <c r="X652" s="945"/>
      <c r="Y652" s="933"/>
      <c r="Z652" s="933"/>
      <c r="AA652" s="933"/>
      <c r="AB652" s="933"/>
      <c r="AC652" s="933"/>
      <c r="AD652" s="933"/>
      <c r="AE652" s="933"/>
      <c r="AF652" s="933"/>
      <c r="AG652" s="933"/>
    </row>
    <row r="653" spans="1:33" ht="12.75">
      <c r="A653" s="933"/>
      <c r="B653" s="933"/>
      <c r="C653" s="933"/>
      <c r="D653" s="933"/>
      <c r="E653" s="933"/>
      <c r="F653" s="933"/>
      <c r="G653" s="933"/>
      <c r="H653" s="933"/>
      <c r="I653" s="933"/>
      <c r="J653" s="933"/>
      <c r="K653" s="933"/>
      <c r="L653" s="933"/>
      <c r="M653" s="933"/>
      <c r="N653" s="933"/>
      <c r="O653" s="933"/>
      <c r="P653" s="933"/>
      <c r="Q653" s="933"/>
      <c r="R653" s="933"/>
      <c r="S653" s="933"/>
      <c r="T653" s="933"/>
      <c r="V653" s="933"/>
      <c r="W653" s="933"/>
      <c r="X653" s="945"/>
      <c r="Y653" s="933"/>
      <c r="Z653" s="933"/>
      <c r="AA653" s="933"/>
      <c r="AB653" s="933"/>
      <c r="AC653" s="933"/>
      <c r="AD653" s="933"/>
      <c r="AE653" s="933"/>
      <c r="AF653" s="933"/>
      <c r="AG653" s="933"/>
    </row>
    <row r="654" spans="1:33" ht="12.75">
      <c r="A654" s="933"/>
      <c r="B654" s="933"/>
      <c r="C654" s="933"/>
      <c r="D654" s="933"/>
      <c r="E654" s="933"/>
      <c r="F654" s="933"/>
      <c r="G654" s="933"/>
      <c r="H654" s="933"/>
      <c r="I654" s="933"/>
      <c r="J654" s="933"/>
      <c r="K654" s="933"/>
      <c r="L654" s="933"/>
      <c r="M654" s="933"/>
      <c r="N654" s="933"/>
      <c r="O654" s="933"/>
      <c r="P654" s="933"/>
      <c r="Q654" s="933"/>
      <c r="R654" s="933"/>
      <c r="S654" s="933"/>
      <c r="T654" s="933"/>
      <c r="V654" s="933"/>
      <c r="W654" s="933"/>
      <c r="X654" s="945"/>
      <c r="Y654" s="933"/>
      <c r="Z654" s="933"/>
      <c r="AA654" s="933"/>
      <c r="AB654" s="933"/>
      <c r="AC654" s="933"/>
      <c r="AD654" s="933"/>
      <c r="AE654" s="933"/>
      <c r="AF654" s="933"/>
      <c r="AG654" s="933"/>
    </row>
    <row r="655" spans="1:33" ht="12.75">
      <c r="A655" s="933"/>
      <c r="B655" s="933"/>
      <c r="C655" s="933"/>
      <c r="D655" s="933"/>
      <c r="E655" s="933"/>
      <c r="F655" s="933"/>
      <c r="G655" s="933"/>
      <c r="H655" s="933"/>
      <c r="I655" s="933"/>
      <c r="J655" s="933"/>
      <c r="K655" s="933"/>
      <c r="L655" s="933"/>
      <c r="M655" s="933"/>
      <c r="N655" s="933"/>
      <c r="O655" s="933"/>
      <c r="P655" s="933"/>
      <c r="Q655" s="933"/>
      <c r="R655" s="933"/>
      <c r="S655" s="933"/>
      <c r="T655" s="933"/>
      <c r="V655" s="933"/>
      <c r="W655" s="933"/>
      <c r="X655" s="945"/>
      <c r="Y655" s="933"/>
      <c r="Z655" s="933"/>
      <c r="AA655" s="933"/>
      <c r="AB655" s="933"/>
      <c r="AC655" s="933"/>
      <c r="AD655" s="933"/>
      <c r="AE655" s="933"/>
      <c r="AF655" s="933"/>
      <c r="AG655" s="933"/>
    </row>
    <row r="656" spans="1:33" ht="12.75">
      <c r="A656" s="933"/>
      <c r="B656" s="933"/>
      <c r="C656" s="933"/>
      <c r="D656" s="933"/>
      <c r="E656" s="933"/>
      <c r="F656" s="933"/>
      <c r="G656" s="933"/>
      <c r="H656" s="933"/>
      <c r="I656" s="933"/>
      <c r="J656" s="933"/>
      <c r="K656" s="933"/>
      <c r="L656" s="933"/>
      <c r="M656" s="933"/>
      <c r="N656" s="933"/>
      <c r="O656" s="933"/>
      <c r="P656" s="933"/>
      <c r="Q656" s="933"/>
      <c r="R656" s="933"/>
      <c r="S656" s="933"/>
      <c r="T656" s="933"/>
      <c r="V656" s="933"/>
      <c r="W656" s="933"/>
      <c r="X656" s="945"/>
      <c r="Y656" s="933"/>
      <c r="Z656" s="933"/>
      <c r="AA656" s="933"/>
      <c r="AB656" s="933"/>
      <c r="AC656" s="933"/>
      <c r="AD656" s="933"/>
      <c r="AE656" s="933"/>
      <c r="AF656" s="933"/>
      <c r="AG656" s="933"/>
    </row>
    <row r="657" spans="1:33" ht="12.75">
      <c r="A657" s="933"/>
      <c r="B657" s="933"/>
      <c r="C657" s="933"/>
      <c r="D657" s="933"/>
      <c r="E657" s="933"/>
      <c r="F657" s="933"/>
      <c r="G657" s="933"/>
      <c r="H657" s="933"/>
      <c r="I657" s="933"/>
      <c r="J657" s="933"/>
      <c r="K657" s="933"/>
      <c r="L657" s="933"/>
      <c r="M657" s="933"/>
      <c r="N657" s="933"/>
      <c r="O657" s="933"/>
      <c r="P657" s="933"/>
      <c r="Q657" s="933"/>
      <c r="R657" s="933"/>
      <c r="S657" s="933"/>
      <c r="T657" s="933"/>
      <c r="V657" s="933"/>
      <c r="W657" s="933"/>
      <c r="X657" s="945"/>
      <c r="Y657" s="933"/>
      <c r="Z657" s="933"/>
      <c r="AA657" s="933"/>
      <c r="AB657" s="933"/>
      <c r="AC657" s="933"/>
      <c r="AD657" s="933"/>
      <c r="AE657" s="933"/>
      <c r="AF657" s="933"/>
      <c r="AG657" s="933"/>
    </row>
    <row r="658" spans="1:33" ht="12.75">
      <c r="A658" s="933"/>
      <c r="B658" s="933"/>
      <c r="C658" s="933"/>
      <c r="D658" s="933"/>
      <c r="E658" s="933"/>
      <c r="F658" s="933"/>
      <c r="G658" s="933"/>
      <c r="H658" s="933"/>
      <c r="I658" s="933"/>
      <c r="J658" s="933"/>
      <c r="K658" s="933"/>
      <c r="L658" s="933"/>
      <c r="M658" s="933"/>
      <c r="N658" s="933"/>
      <c r="O658" s="933"/>
      <c r="P658" s="933"/>
      <c r="Q658" s="933"/>
      <c r="R658" s="933"/>
      <c r="S658" s="933"/>
      <c r="T658" s="933"/>
      <c r="V658" s="933"/>
      <c r="W658" s="933"/>
      <c r="X658" s="945"/>
      <c r="Y658" s="933"/>
      <c r="Z658" s="933"/>
      <c r="AA658" s="933"/>
      <c r="AB658" s="933"/>
      <c r="AC658" s="933"/>
      <c r="AD658" s="933"/>
      <c r="AE658" s="933"/>
      <c r="AF658" s="933"/>
      <c r="AG658" s="933"/>
    </row>
    <row r="659" spans="1:33" ht="12.75">
      <c r="A659" s="933"/>
      <c r="B659" s="933"/>
      <c r="C659" s="933"/>
      <c r="D659" s="933"/>
      <c r="E659" s="933"/>
      <c r="F659" s="933"/>
      <c r="G659" s="933"/>
      <c r="H659" s="933"/>
      <c r="I659" s="933"/>
      <c r="J659" s="933"/>
      <c r="K659" s="933"/>
      <c r="L659" s="933"/>
      <c r="M659" s="933"/>
      <c r="N659" s="933"/>
      <c r="O659" s="933"/>
      <c r="P659" s="933"/>
      <c r="Q659" s="933"/>
      <c r="R659" s="933"/>
      <c r="S659" s="933"/>
      <c r="T659" s="933"/>
      <c r="V659" s="933"/>
      <c r="W659" s="933"/>
      <c r="X659" s="945"/>
      <c r="Y659" s="933"/>
      <c r="Z659" s="933"/>
      <c r="AA659" s="933"/>
      <c r="AB659" s="933"/>
      <c r="AC659" s="933"/>
      <c r="AD659" s="933"/>
      <c r="AE659" s="933"/>
      <c r="AF659" s="933"/>
      <c r="AG659" s="933"/>
    </row>
    <row r="660" spans="1:33" ht="12.75">
      <c r="A660" s="933"/>
      <c r="B660" s="933"/>
      <c r="C660" s="933"/>
      <c r="D660" s="933"/>
      <c r="E660" s="933"/>
      <c r="F660" s="933"/>
      <c r="G660" s="933"/>
      <c r="H660" s="933"/>
      <c r="I660" s="933"/>
      <c r="J660" s="933"/>
      <c r="K660" s="933"/>
      <c r="L660" s="933"/>
      <c r="M660" s="933"/>
      <c r="N660" s="933"/>
      <c r="O660" s="933"/>
      <c r="P660" s="933"/>
      <c r="Q660" s="933"/>
      <c r="R660" s="933"/>
      <c r="S660" s="933"/>
      <c r="T660" s="933"/>
      <c r="V660" s="933"/>
      <c r="W660" s="933"/>
      <c r="X660" s="945"/>
      <c r="Y660" s="933"/>
      <c r="Z660" s="933"/>
      <c r="AA660" s="933"/>
      <c r="AB660" s="933"/>
      <c r="AC660" s="933"/>
      <c r="AD660" s="933"/>
      <c r="AE660" s="933"/>
      <c r="AF660" s="933"/>
      <c r="AG660" s="933"/>
    </row>
    <row r="661" spans="1:33" ht="12.75">
      <c r="A661" s="933"/>
      <c r="B661" s="933"/>
      <c r="C661" s="933"/>
      <c r="D661" s="933"/>
      <c r="E661" s="933"/>
      <c r="F661" s="933"/>
      <c r="G661" s="933"/>
      <c r="H661" s="933"/>
      <c r="I661" s="933"/>
      <c r="J661" s="933"/>
      <c r="K661" s="933"/>
      <c r="L661" s="933"/>
      <c r="M661" s="933"/>
      <c r="N661" s="933"/>
      <c r="O661" s="933"/>
      <c r="P661" s="933"/>
      <c r="Q661" s="933"/>
      <c r="R661" s="933"/>
      <c r="S661" s="933"/>
      <c r="T661" s="933"/>
      <c r="V661" s="933"/>
      <c r="W661" s="933"/>
      <c r="X661" s="945"/>
      <c r="Y661" s="933"/>
      <c r="Z661" s="933"/>
      <c r="AA661" s="933"/>
      <c r="AB661" s="933"/>
      <c r="AC661" s="933"/>
      <c r="AD661" s="933"/>
      <c r="AE661" s="933"/>
      <c r="AF661" s="933"/>
      <c r="AG661" s="933"/>
    </row>
    <row r="662" spans="1:33" ht="12.75">
      <c r="A662" s="933"/>
      <c r="B662" s="933"/>
      <c r="C662" s="933"/>
      <c r="D662" s="933"/>
      <c r="E662" s="933"/>
      <c r="F662" s="933"/>
      <c r="G662" s="933"/>
      <c r="H662" s="933"/>
      <c r="I662" s="933"/>
      <c r="J662" s="933"/>
      <c r="K662" s="933"/>
      <c r="L662" s="933"/>
      <c r="M662" s="933"/>
      <c r="N662" s="933"/>
      <c r="O662" s="933"/>
      <c r="P662" s="933"/>
      <c r="Q662" s="933"/>
      <c r="R662" s="933"/>
      <c r="S662" s="933"/>
      <c r="T662" s="933"/>
      <c r="V662" s="933"/>
      <c r="W662" s="933"/>
      <c r="X662" s="945"/>
      <c r="Y662" s="933"/>
      <c r="Z662" s="933"/>
      <c r="AA662" s="933"/>
      <c r="AB662" s="933"/>
      <c r="AC662" s="933"/>
      <c r="AD662" s="933"/>
      <c r="AE662" s="933"/>
      <c r="AF662" s="933"/>
      <c r="AG662" s="933"/>
    </row>
    <row r="663" spans="1:33" ht="12.75">
      <c r="A663" s="933"/>
      <c r="B663" s="933"/>
      <c r="C663" s="933"/>
      <c r="D663" s="933"/>
      <c r="E663" s="933"/>
      <c r="F663" s="933"/>
      <c r="G663" s="933"/>
      <c r="H663" s="933"/>
      <c r="I663" s="933"/>
      <c r="J663" s="933"/>
      <c r="K663" s="933"/>
      <c r="L663" s="933"/>
      <c r="M663" s="933"/>
      <c r="N663" s="933"/>
      <c r="O663" s="933"/>
      <c r="P663" s="933"/>
      <c r="Q663" s="933"/>
      <c r="R663" s="933"/>
      <c r="S663" s="933"/>
      <c r="T663" s="933"/>
      <c r="V663" s="933"/>
      <c r="W663" s="933"/>
      <c r="X663" s="945"/>
      <c r="Y663" s="933"/>
      <c r="Z663" s="933"/>
      <c r="AA663" s="933"/>
      <c r="AB663" s="933"/>
      <c r="AC663" s="933"/>
      <c r="AD663" s="933"/>
      <c r="AE663" s="933"/>
      <c r="AF663" s="933"/>
      <c r="AG663" s="933"/>
    </row>
    <row r="664" spans="1:33" ht="12.75">
      <c r="A664" s="933"/>
      <c r="B664" s="933"/>
      <c r="C664" s="933"/>
      <c r="D664" s="933"/>
      <c r="E664" s="933"/>
      <c r="F664" s="933"/>
      <c r="G664" s="933"/>
      <c r="H664" s="933"/>
      <c r="I664" s="933"/>
      <c r="J664" s="933"/>
      <c r="K664" s="933"/>
      <c r="L664" s="933"/>
      <c r="M664" s="933"/>
      <c r="N664" s="933"/>
      <c r="O664" s="933"/>
      <c r="P664" s="933"/>
      <c r="Q664" s="933"/>
      <c r="R664" s="933"/>
      <c r="S664" s="933"/>
      <c r="T664" s="933"/>
      <c r="V664" s="933"/>
      <c r="W664" s="933"/>
      <c r="X664" s="945"/>
      <c r="Y664" s="933"/>
      <c r="Z664" s="933"/>
      <c r="AA664" s="933"/>
      <c r="AB664" s="933"/>
      <c r="AC664" s="933"/>
      <c r="AD664" s="933"/>
      <c r="AE664" s="933"/>
      <c r="AF664" s="933"/>
      <c r="AG664" s="933"/>
    </row>
    <row r="665" spans="1:33" ht="12.75">
      <c r="A665" s="933"/>
      <c r="B665" s="933"/>
      <c r="C665" s="933"/>
      <c r="D665" s="933"/>
      <c r="E665" s="933"/>
      <c r="F665" s="933"/>
      <c r="G665" s="933"/>
      <c r="H665" s="933"/>
      <c r="I665" s="933"/>
      <c r="J665" s="933"/>
      <c r="K665" s="933"/>
      <c r="L665" s="933"/>
      <c r="M665" s="933"/>
      <c r="N665" s="933"/>
      <c r="O665" s="933"/>
      <c r="P665" s="933"/>
      <c r="Q665" s="933"/>
      <c r="R665" s="933"/>
      <c r="S665" s="933"/>
      <c r="T665" s="933"/>
      <c r="V665" s="933"/>
      <c r="W665" s="933"/>
      <c r="X665" s="945"/>
      <c r="Y665" s="933"/>
      <c r="Z665" s="933"/>
      <c r="AA665" s="933"/>
      <c r="AB665" s="933"/>
      <c r="AC665" s="933"/>
      <c r="AD665" s="933"/>
      <c r="AE665" s="933"/>
      <c r="AF665" s="933"/>
      <c r="AG665" s="933"/>
    </row>
    <row r="666" spans="1:33" ht="12.75">
      <c r="A666" s="933"/>
      <c r="B666" s="933"/>
      <c r="C666" s="933"/>
      <c r="D666" s="933"/>
      <c r="E666" s="933"/>
      <c r="F666" s="933"/>
      <c r="G666" s="933"/>
      <c r="H666" s="933"/>
      <c r="I666" s="933"/>
      <c r="J666" s="933"/>
      <c r="K666" s="933"/>
      <c r="L666" s="933"/>
      <c r="M666" s="933"/>
      <c r="N666" s="933"/>
      <c r="O666" s="933"/>
      <c r="P666" s="933"/>
      <c r="Q666" s="933"/>
      <c r="R666" s="933"/>
      <c r="S666" s="933"/>
      <c r="T666" s="933"/>
      <c r="V666" s="933"/>
      <c r="W666" s="933"/>
      <c r="X666" s="945"/>
      <c r="Y666" s="933"/>
      <c r="Z666" s="933"/>
      <c r="AA666" s="933"/>
      <c r="AB666" s="933"/>
      <c r="AC666" s="933"/>
      <c r="AD666" s="933"/>
      <c r="AE666" s="933"/>
      <c r="AF666" s="933"/>
      <c r="AG666" s="933"/>
    </row>
    <row r="667" spans="1:33" ht="12.75">
      <c r="A667" s="933"/>
      <c r="B667" s="933"/>
      <c r="C667" s="933"/>
      <c r="D667" s="933"/>
      <c r="E667" s="933"/>
      <c r="F667" s="933"/>
      <c r="G667" s="933"/>
      <c r="H667" s="933"/>
      <c r="I667" s="933"/>
      <c r="J667" s="933"/>
      <c r="K667" s="933"/>
      <c r="L667" s="933"/>
      <c r="M667" s="933"/>
      <c r="N667" s="933"/>
      <c r="O667" s="933"/>
      <c r="P667" s="933"/>
      <c r="Q667" s="933"/>
      <c r="R667" s="933"/>
      <c r="S667" s="933"/>
      <c r="T667" s="933"/>
      <c r="V667" s="933"/>
      <c r="W667" s="933"/>
      <c r="X667" s="945"/>
      <c r="Y667" s="933"/>
      <c r="Z667" s="933"/>
      <c r="AA667" s="933"/>
      <c r="AB667" s="933"/>
      <c r="AC667" s="933"/>
      <c r="AD667" s="933"/>
      <c r="AE667" s="933"/>
      <c r="AF667" s="933"/>
      <c r="AG667" s="933"/>
    </row>
    <row r="668" spans="1:33" ht="12.75">
      <c r="A668" s="933"/>
      <c r="B668" s="933"/>
      <c r="C668" s="933"/>
      <c r="D668" s="933"/>
      <c r="E668" s="933"/>
      <c r="F668" s="933"/>
      <c r="G668" s="933"/>
      <c r="H668" s="933"/>
      <c r="I668" s="933"/>
      <c r="J668" s="933"/>
      <c r="K668" s="933"/>
      <c r="L668" s="933"/>
      <c r="M668" s="933"/>
      <c r="N668" s="933"/>
      <c r="O668" s="933"/>
      <c r="P668" s="933"/>
      <c r="Q668" s="933"/>
      <c r="R668" s="933"/>
      <c r="S668" s="933"/>
      <c r="T668" s="933"/>
      <c r="V668" s="933"/>
      <c r="W668" s="933"/>
      <c r="X668" s="945"/>
      <c r="Y668" s="933"/>
      <c r="Z668" s="933"/>
      <c r="AA668" s="933"/>
      <c r="AB668" s="933"/>
      <c r="AC668" s="933"/>
      <c r="AD668" s="933"/>
      <c r="AE668" s="933"/>
      <c r="AF668" s="933"/>
      <c r="AG668" s="933"/>
    </row>
    <row r="669" spans="1:33" ht="12.75">
      <c r="A669" s="933"/>
      <c r="B669" s="933"/>
      <c r="C669" s="933"/>
      <c r="D669" s="933"/>
      <c r="E669" s="933"/>
      <c r="F669" s="933"/>
      <c r="G669" s="933"/>
      <c r="H669" s="933"/>
      <c r="I669" s="933"/>
      <c r="J669" s="933"/>
      <c r="K669" s="933"/>
      <c r="L669" s="933"/>
      <c r="M669" s="933"/>
      <c r="N669" s="933"/>
      <c r="O669" s="933"/>
      <c r="P669" s="933"/>
      <c r="Q669" s="933"/>
      <c r="R669" s="933"/>
      <c r="S669" s="933"/>
      <c r="T669" s="933"/>
      <c r="V669" s="933"/>
      <c r="W669" s="933"/>
      <c r="X669" s="945"/>
      <c r="Y669" s="933"/>
      <c r="Z669" s="933"/>
      <c r="AA669" s="933"/>
      <c r="AB669" s="933"/>
      <c r="AC669" s="933"/>
      <c r="AD669" s="933"/>
      <c r="AE669" s="933"/>
      <c r="AF669" s="933"/>
      <c r="AG669" s="933"/>
    </row>
    <row r="670" spans="1:33" ht="12.75">
      <c r="A670" s="933"/>
      <c r="B670" s="933"/>
      <c r="C670" s="933"/>
      <c r="D670" s="933"/>
      <c r="E670" s="933"/>
      <c r="F670" s="933"/>
      <c r="G670" s="933"/>
      <c r="H670" s="933"/>
      <c r="I670" s="933"/>
      <c r="J670" s="933"/>
      <c r="K670" s="933"/>
      <c r="L670" s="933"/>
      <c r="M670" s="933"/>
      <c r="N670" s="933"/>
      <c r="O670" s="933"/>
      <c r="P670" s="933"/>
      <c r="Q670" s="933"/>
      <c r="R670" s="933"/>
      <c r="S670" s="933"/>
      <c r="T670" s="933"/>
      <c r="V670" s="933"/>
      <c r="W670" s="933"/>
      <c r="X670" s="945"/>
      <c r="Y670" s="933"/>
      <c r="Z670" s="933"/>
      <c r="AA670" s="933"/>
      <c r="AB670" s="933"/>
      <c r="AC670" s="933"/>
      <c r="AD670" s="933"/>
      <c r="AE670" s="933"/>
      <c r="AF670" s="933"/>
      <c r="AG670" s="933"/>
    </row>
    <row r="671" spans="1:33" ht="12.75">
      <c r="A671" s="933"/>
      <c r="B671" s="933"/>
      <c r="C671" s="933"/>
      <c r="D671" s="933"/>
      <c r="E671" s="933"/>
      <c r="F671" s="933"/>
      <c r="G671" s="933"/>
      <c r="H671" s="933"/>
      <c r="I671" s="933"/>
      <c r="J671" s="933"/>
      <c r="K671" s="933"/>
      <c r="L671" s="933"/>
      <c r="M671" s="933"/>
      <c r="N671" s="933"/>
      <c r="O671" s="933"/>
      <c r="P671" s="933"/>
      <c r="Q671" s="933"/>
      <c r="R671" s="933"/>
      <c r="S671" s="933"/>
      <c r="T671" s="933"/>
      <c r="V671" s="933"/>
      <c r="W671" s="933"/>
      <c r="X671" s="945"/>
      <c r="Y671" s="933"/>
      <c r="Z671" s="933"/>
      <c r="AA671" s="933"/>
      <c r="AB671" s="933"/>
      <c r="AC671" s="933"/>
      <c r="AD671" s="933"/>
      <c r="AE671" s="933"/>
      <c r="AF671" s="933"/>
      <c r="AG671" s="933"/>
    </row>
    <row r="672" spans="1:33" ht="12.75">
      <c r="A672" s="933"/>
      <c r="B672" s="933"/>
      <c r="C672" s="933"/>
      <c r="D672" s="933"/>
      <c r="E672" s="933"/>
      <c r="F672" s="933"/>
      <c r="G672" s="933"/>
      <c r="H672" s="933"/>
      <c r="I672" s="933"/>
      <c r="J672" s="933"/>
      <c r="K672" s="933"/>
      <c r="L672" s="933"/>
      <c r="M672" s="933"/>
      <c r="N672" s="933"/>
      <c r="O672" s="933"/>
      <c r="P672" s="933"/>
      <c r="Q672" s="933"/>
      <c r="R672" s="933"/>
      <c r="S672" s="933"/>
      <c r="T672" s="933"/>
      <c r="V672" s="933"/>
      <c r="W672" s="933"/>
      <c r="X672" s="945"/>
      <c r="Y672" s="933"/>
      <c r="Z672" s="933"/>
      <c r="AA672" s="933"/>
      <c r="AB672" s="933"/>
      <c r="AC672" s="933"/>
      <c r="AD672" s="933"/>
      <c r="AE672" s="933"/>
      <c r="AF672" s="933"/>
      <c r="AG672" s="933"/>
    </row>
    <row r="673" spans="1:33" ht="12.75">
      <c r="A673" s="933"/>
      <c r="B673" s="933"/>
      <c r="C673" s="933"/>
      <c r="D673" s="933"/>
      <c r="E673" s="933"/>
      <c r="F673" s="933"/>
      <c r="G673" s="933"/>
      <c r="H673" s="933"/>
      <c r="I673" s="933"/>
      <c r="J673" s="933"/>
      <c r="K673" s="933"/>
      <c r="L673" s="933"/>
      <c r="M673" s="933"/>
      <c r="N673" s="933"/>
      <c r="O673" s="933"/>
      <c r="P673" s="933"/>
      <c r="Q673" s="933"/>
      <c r="R673" s="933"/>
      <c r="S673" s="933"/>
      <c r="T673" s="933"/>
      <c r="V673" s="933"/>
      <c r="W673" s="933"/>
      <c r="X673" s="945"/>
      <c r="Y673" s="933"/>
      <c r="Z673" s="933"/>
      <c r="AA673" s="933"/>
      <c r="AB673" s="933"/>
      <c r="AC673" s="933"/>
      <c r="AD673" s="933"/>
      <c r="AE673" s="933"/>
      <c r="AF673" s="933"/>
      <c r="AG673" s="933"/>
    </row>
    <row r="674" spans="1:33" ht="12.75">
      <c r="A674" s="933"/>
      <c r="B674" s="933"/>
      <c r="C674" s="933"/>
      <c r="D674" s="933"/>
      <c r="E674" s="933"/>
      <c r="F674" s="933"/>
      <c r="G674" s="933"/>
      <c r="H674" s="933"/>
      <c r="I674" s="933"/>
      <c r="J674" s="933"/>
      <c r="K674" s="933"/>
      <c r="L674" s="933"/>
      <c r="M674" s="933"/>
      <c r="N674" s="933"/>
      <c r="O674" s="933"/>
      <c r="P674" s="933"/>
      <c r="Q674" s="933"/>
      <c r="R674" s="933"/>
      <c r="S674" s="933"/>
      <c r="T674" s="933"/>
      <c r="V674" s="933"/>
      <c r="W674" s="933"/>
      <c r="X674" s="945"/>
      <c r="Y674" s="933"/>
      <c r="Z674" s="933"/>
      <c r="AA674" s="933"/>
      <c r="AB674" s="933"/>
      <c r="AC674" s="933"/>
      <c r="AD674" s="933"/>
      <c r="AE674" s="933"/>
      <c r="AF674" s="933"/>
      <c r="AG674" s="933"/>
    </row>
    <row r="675" spans="1:33" ht="12.75">
      <c r="A675" s="933"/>
      <c r="B675" s="933"/>
      <c r="C675" s="933"/>
      <c r="D675" s="933"/>
      <c r="E675" s="933"/>
      <c r="F675" s="933"/>
      <c r="G675" s="933"/>
      <c r="H675" s="933"/>
      <c r="I675" s="933"/>
      <c r="J675" s="933"/>
      <c r="K675" s="933"/>
      <c r="L675" s="933"/>
      <c r="M675" s="933"/>
      <c r="N675" s="933"/>
      <c r="O675" s="933"/>
      <c r="P675" s="933"/>
      <c r="Q675" s="933"/>
      <c r="R675" s="933"/>
      <c r="S675" s="933"/>
      <c r="T675" s="933"/>
      <c r="V675" s="933"/>
      <c r="W675" s="933"/>
      <c r="X675" s="945"/>
      <c r="Y675" s="933"/>
      <c r="Z675" s="933"/>
      <c r="AA675" s="933"/>
      <c r="AB675" s="933"/>
      <c r="AC675" s="933"/>
      <c r="AD675" s="933"/>
      <c r="AE675" s="933"/>
      <c r="AF675" s="933"/>
      <c r="AG675" s="933"/>
    </row>
    <row r="676" spans="1:33" ht="12.75">
      <c r="A676" s="933"/>
      <c r="B676" s="933"/>
      <c r="C676" s="933"/>
      <c r="D676" s="933"/>
      <c r="E676" s="933"/>
      <c r="F676" s="933"/>
      <c r="G676" s="933"/>
      <c r="H676" s="933"/>
      <c r="I676" s="933"/>
      <c r="J676" s="933"/>
      <c r="K676" s="933"/>
      <c r="L676" s="933"/>
      <c r="M676" s="933"/>
      <c r="N676" s="933"/>
      <c r="O676" s="933"/>
      <c r="P676" s="933"/>
      <c r="Q676" s="933"/>
      <c r="R676" s="933"/>
      <c r="S676" s="933"/>
      <c r="T676" s="933"/>
      <c r="V676" s="933"/>
      <c r="W676" s="933"/>
      <c r="X676" s="945"/>
      <c r="Y676" s="933"/>
      <c r="Z676" s="933"/>
      <c r="AA676" s="933"/>
      <c r="AB676" s="933"/>
      <c r="AC676" s="933"/>
      <c r="AD676" s="933"/>
      <c r="AE676" s="933"/>
      <c r="AF676" s="933"/>
      <c r="AG676" s="933"/>
    </row>
    <row r="677" spans="1:33" ht="12.75">
      <c r="A677" s="933"/>
      <c r="B677" s="933"/>
      <c r="C677" s="933"/>
      <c r="D677" s="933"/>
      <c r="E677" s="933"/>
      <c r="F677" s="933"/>
      <c r="G677" s="933"/>
      <c r="H677" s="933"/>
      <c r="I677" s="933"/>
      <c r="J677" s="933"/>
      <c r="K677" s="933"/>
      <c r="L677" s="933"/>
      <c r="M677" s="933"/>
      <c r="N677" s="933"/>
      <c r="O677" s="933"/>
      <c r="P677" s="933"/>
      <c r="Q677" s="933"/>
      <c r="R677" s="933"/>
      <c r="S677" s="933"/>
      <c r="T677" s="933"/>
      <c r="V677" s="933"/>
      <c r="W677" s="933"/>
      <c r="X677" s="945"/>
      <c r="Y677" s="933"/>
      <c r="Z677" s="933"/>
      <c r="AA677" s="933"/>
      <c r="AB677" s="933"/>
      <c r="AC677" s="933"/>
      <c r="AD677" s="933"/>
      <c r="AE677" s="933"/>
      <c r="AF677" s="933"/>
      <c r="AG677" s="933"/>
    </row>
    <row r="678" spans="1:33" ht="12.75">
      <c r="A678" s="933"/>
      <c r="B678" s="933"/>
      <c r="C678" s="933"/>
      <c r="D678" s="933"/>
      <c r="E678" s="933"/>
      <c r="F678" s="933"/>
      <c r="G678" s="933"/>
      <c r="H678" s="933"/>
      <c r="I678" s="933"/>
      <c r="J678" s="933"/>
      <c r="K678" s="933"/>
      <c r="L678" s="933"/>
      <c r="M678" s="933"/>
      <c r="N678" s="933"/>
      <c r="O678" s="933"/>
      <c r="P678" s="933"/>
      <c r="Q678" s="933"/>
      <c r="R678" s="933"/>
      <c r="S678" s="933"/>
      <c r="T678" s="933"/>
      <c r="V678" s="933"/>
      <c r="W678" s="933"/>
      <c r="X678" s="945"/>
      <c r="Y678" s="933"/>
      <c r="Z678" s="933"/>
      <c r="AA678" s="933"/>
      <c r="AB678" s="933"/>
      <c r="AC678" s="933"/>
      <c r="AD678" s="933"/>
      <c r="AE678" s="933"/>
      <c r="AF678" s="933"/>
      <c r="AG678" s="933"/>
    </row>
    <row r="679" spans="1:33" ht="12.75">
      <c r="A679" s="933"/>
      <c r="B679" s="933"/>
      <c r="C679" s="933"/>
      <c r="D679" s="933"/>
      <c r="E679" s="933"/>
      <c r="F679" s="933"/>
      <c r="G679" s="933"/>
      <c r="H679" s="933"/>
      <c r="I679" s="933"/>
      <c r="J679" s="933"/>
      <c r="K679" s="933"/>
      <c r="L679" s="933"/>
      <c r="M679" s="933"/>
      <c r="N679" s="933"/>
      <c r="O679" s="933"/>
      <c r="P679" s="933"/>
      <c r="Q679" s="933"/>
      <c r="R679" s="933"/>
      <c r="S679" s="933"/>
      <c r="T679" s="933"/>
      <c r="V679" s="933"/>
      <c r="W679" s="933"/>
      <c r="X679" s="945"/>
      <c r="Y679" s="933"/>
      <c r="Z679" s="933"/>
      <c r="AA679" s="933"/>
      <c r="AB679" s="933"/>
      <c r="AC679" s="933"/>
      <c r="AD679" s="933"/>
      <c r="AE679" s="933"/>
      <c r="AF679" s="933"/>
      <c r="AG679" s="933"/>
    </row>
    <row r="680" spans="1:33" ht="12.75">
      <c r="A680" s="933"/>
      <c r="B680" s="933"/>
      <c r="C680" s="933"/>
      <c r="D680" s="933"/>
      <c r="E680" s="933"/>
      <c r="F680" s="933"/>
      <c r="G680" s="933"/>
      <c r="H680" s="933"/>
      <c r="I680" s="933"/>
      <c r="J680" s="933"/>
      <c r="K680" s="933"/>
      <c r="L680" s="933"/>
      <c r="M680" s="933"/>
      <c r="N680" s="933"/>
      <c r="O680" s="933"/>
      <c r="P680" s="933"/>
      <c r="Q680" s="933"/>
      <c r="R680" s="933"/>
      <c r="S680" s="933"/>
      <c r="T680" s="933"/>
      <c r="V680" s="933"/>
      <c r="W680" s="933"/>
      <c r="X680" s="945"/>
      <c r="Y680" s="933"/>
      <c r="Z680" s="933"/>
      <c r="AA680" s="933"/>
      <c r="AB680" s="933"/>
      <c r="AC680" s="933"/>
      <c r="AD680" s="933"/>
      <c r="AE680" s="933"/>
      <c r="AF680" s="933"/>
      <c r="AG680" s="933"/>
    </row>
    <row r="681" spans="1:33" ht="12.75">
      <c r="A681" s="933"/>
      <c r="B681" s="933"/>
      <c r="C681" s="933"/>
      <c r="D681" s="933"/>
      <c r="E681" s="933"/>
      <c r="F681" s="933"/>
      <c r="G681" s="933"/>
      <c r="H681" s="933"/>
      <c r="I681" s="933"/>
      <c r="J681" s="933"/>
      <c r="K681" s="933"/>
      <c r="L681" s="933"/>
      <c r="M681" s="933"/>
      <c r="N681" s="933"/>
      <c r="O681" s="933"/>
      <c r="P681" s="933"/>
      <c r="Q681" s="933"/>
      <c r="R681" s="933"/>
      <c r="S681" s="933"/>
      <c r="T681" s="933"/>
      <c r="V681" s="933"/>
      <c r="W681" s="933"/>
      <c r="X681" s="945"/>
      <c r="Y681" s="933"/>
      <c r="Z681" s="933"/>
      <c r="AA681" s="933"/>
      <c r="AB681" s="933"/>
      <c r="AC681" s="933"/>
      <c r="AD681" s="933"/>
      <c r="AE681" s="933"/>
      <c r="AF681" s="933"/>
      <c r="AG681" s="933"/>
    </row>
    <row r="682" spans="1:33" ht="12.75">
      <c r="A682" s="933"/>
      <c r="B682" s="933"/>
      <c r="C682" s="933"/>
      <c r="D682" s="933"/>
      <c r="E682" s="933"/>
      <c r="F682" s="933"/>
      <c r="G682" s="933"/>
      <c r="H682" s="933"/>
      <c r="I682" s="933"/>
      <c r="J682" s="933"/>
      <c r="K682" s="933"/>
      <c r="L682" s="933"/>
      <c r="M682" s="933"/>
      <c r="N682" s="933"/>
      <c r="O682" s="933"/>
      <c r="P682" s="933"/>
      <c r="Q682" s="933"/>
      <c r="R682" s="933"/>
      <c r="S682" s="933"/>
      <c r="T682" s="933"/>
      <c r="V682" s="933"/>
      <c r="W682" s="933"/>
      <c r="X682" s="945"/>
      <c r="Y682" s="933"/>
      <c r="Z682" s="933"/>
      <c r="AA682" s="933"/>
      <c r="AB682" s="933"/>
      <c r="AC682" s="933"/>
      <c r="AD682" s="933"/>
      <c r="AE682" s="933"/>
      <c r="AF682" s="933"/>
      <c r="AG682" s="933"/>
    </row>
    <row r="683" spans="1:33" ht="12.75">
      <c r="A683" s="933"/>
      <c r="B683" s="933"/>
      <c r="C683" s="933"/>
      <c r="D683" s="933"/>
      <c r="E683" s="933"/>
      <c r="F683" s="933"/>
      <c r="G683" s="933"/>
      <c r="H683" s="933"/>
      <c r="I683" s="933"/>
      <c r="J683" s="933"/>
      <c r="K683" s="933"/>
      <c r="L683" s="933"/>
      <c r="M683" s="933"/>
      <c r="N683" s="933"/>
      <c r="O683" s="933"/>
      <c r="P683" s="933"/>
      <c r="Q683" s="933"/>
      <c r="R683" s="933"/>
      <c r="S683" s="933"/>
      <c r="T683" s="933"/>
      <c r="V683" s="933"/>
      <c r="W683" s="933"/>
      <c r="X683" s="945"/>
      <c r="Y683" s="933"/>
      <c r="Z683" s="933"/>
      <c r="AA683" s="933"/>
      <c r="AB683" s="933"/>
      <c r="AC683" s="933"/>
      <c r="AD683" s="933"/>
      <c r="AE683" s="933"/>
      <c r="AF683" s="933"/>
      <c r="AG683" s="933"/>
    </row>
    <row r="684" spans="1:33" ht="12.75">
      <c r="A684" s="933"/>
      <c r="B684" s="933"/>
      <c r="C684" s="933"/>
      <c r="D684" s="933"/>
      <c r="E684" s="933"/>
      <c r="F684" s="933"/>
      <c r="G684" s="933"/>
      <c r="H684" s="933"/>
      <c r="I684" s="933"/>
      <c r="J684" s="933"/>
      <c r="K684" s="933"/>
      <c r="L684" s="933"/>
      <c r="M684" s="933"/>
      <c r="N684" s="933"/>
      <c r="O684" s="933"/>
      <c r="P684" s="933"/>
      <c r="Q684" s="933"/>
      <c r="R684" s="933"/>
      <c r="S684" s="933"/>
      <c r="T684" s="933"/>
      <c r="V684" s="933"/>
      <c r="W684" s="933"/>
      <c r="X684" s="945"/>
      <c r="Y684" s="933"/>
      <c r="Z684" s="933"/>
      <c r="AA684" s="933"/>
      <c r="AB684" s="933"/>
      <c r="AC684" s="933"/>
      <c r="AD684" s="933"/>
      <c r="AE684" s="933"/>
      <c r="AF684" s="933"/>
      <c r="AG684" s="933"/>
    </row>
    <row r="685" spans="1:33" ht="12.75">
      <c r="A685" s="933"/>
      <c r="B685" s="933"/>
      <c r="C685" s="933"/>
      <c r="D685" s="933"/>
      <c r="E685" s="933"/>
      <c r="F685" s="933"/>
      <c r="G685" s="933"/>
      <c r="H685" s="933"/>
      <c r="I685" s="933"/>
      <c r="J685" s="933"/>
      <c r="K685" s="933"/>
      <c r="L685" s="933"/>
      <c r="M685" s="933"/>
      <c r="N685" s="933"/>
      <c r="O685" s="933"/>
      <c r="P685" s="933"/>
      <c r="Q685" s="933"/>
      <c r="R685" s="933"/>
      <c r="S685" s="933"/>
      <c r="T685" s="933"/>
      <c r="V685" s="933"/>
      <c r="W685" s="933"/>
      <c r="X685" s="945"/>
      <c r="Y685" s="933"/>
      <c r="Z685" s="933"/>
      <c r="AA685" s="933"/>
      <c r="AB685" s="933"/>
      <c r="AC685" s="933"/>
      <c r="AD685" s="933"/>
      <c r="AE685" s="933"/>
      <c r="AF685" s="933"/>
      <c r="AG685" s="933"/>
    </row>
    <row r="686" spans="1:33" ht="12.75">
      <c r="A686" s="933"/>
      <c r="B686" s="933"/>
      <c r="C686" s="933"/>
      <c r="D686" s="933"/>
      <c r="E686" s="933"/>
      <c r="F686" s="933"/>
      <c r="G686" s="933"/>
      <c r="H686" s="933"/>
      <c r="I686" s="933"/>
      <c r="J686" s="933"/>
      <c r="K686" s="933"/>
      <c r="L686" s="933"/>
      <c r="M686" s="933"/>
      <c r="N686" s="933"/>
      <c r="O686" s="933"/>
      <c r="P686" s="933"/>
      <c r="Q686" s="933"/>
      <c r="R686" s="933"/>
      <c r="S686" s="933"/>
      <c r="T686" s="933"/>
      <c r="V686" s="933"/>
      <c r="W686" s="933"/>
      <c r="X686" s="945"/>
      <c r="Y686" s="933"/>
      <c r="Z686" s="933"/>
      <c r="AA686" s="933"/>
      <c r="AB686" s="933"/>
      <c r="AC686" s="933"/>
      <c r="AD686" s="933"/>
      <c r="AE686" s="933"/>
      <c r="AF686" s="933"/>
      <c r="AG686" s="933"/>
    </row>
    <row r="687" spans="1:33" ht="12.75">
      <c r="A687" s="933"/>
      <c r="B687" s="933"/>
      <c r="C687" s="933"/>
      <c r="D687" s="933"/>
      <c r="E687" s="933"/>
      <c r="F687" s="933"/>
      <c r="G687" s="933"/>
      <c r="H687" s="933"/>
      <c r="I687" s="933"/>
      <c r="J687" s="933"/>
      <c r="K687" s="933"/>
      <c r="L687" s="933"/>
      <c r="M687" s="933"/>
      <c r="N687" s="933"/>
      <c r="O687" s="933"/>
      <c r="P687" s="933"/>
      <c r="Q687" s="933"/>
      <c r="R687" s="933"/>
      <c r="S687" s="933"/>
      <c r="T687" s="933"/>
      <c r="V687" s="933"/>
      <c r="W687" s="933"/>
      <c r="X687" s="945"/>
      <c r="Y687" s="933"/>
      <c r="Z687" s="933"/>
      <c r="AA687" s="933"/>
      <c r="AB687" s="933"/>
      <c r="AC687" s="933"/>
      <c r="AD687" s="933"/>
      <c r="AE687" s="933"/>
      <c r="AF687" s="933"/>
      <c r="AG687" s="933"/>
    </row>
    <row r="688" spans="1:33" ht="12.75">
      <c r="A688" s="933"/>
      <c r="B688" s="933"/>
      <c r="C688" s="933"/>
      <c r="D688" s="933"/>
      <c r="E688" s="933"/>
      <c r="F688" s="933"/>
      <c r="G688" s="933"/>
      <c r="H688" s="933"/>
      <c r="I688" s="933"/>
      <c r="J688" s="933"/>
      <c r="K688" s="933"/>
      <c r="L688" s="933"/>
      <c r="M688" s="933"/>
      <c r="N688" s="933"/>
      <c r="O688" s="933"/>
      <c r="P688" s="933"/>
      <c r="Q688" s="933"/>
      <c r="R688" s="933"/>
      <c r="S688" s="933"/>
      <c r="T688" s="933"/>
      <c r="V688" s="933"/>
      <c r="W688" s="933"/>
      <c r="X688" s="945"/>
      <c r="Y688" s="933"/>
      <c r="Z688" s="933"/>
      <c r="AA688" s="933"/>
      <c r="AB688" s="933"/>
      <c r="AC688" s="933"/>
      <c r="AD688" s="933"/>
      <c r="AE688" s="933"/>
      <c r="AF688" s="933"/>
      <c r="AG688" s="933"/>
    </row>
    <row r="689" spans="1:33" ht="12.75">
      <c r="A689" s="933"/>
      <c r="B689" s="933"/>
      <c r="C689" s="933"/>
      <c r="D689" s="933"/>
      <c r="E689" s="933"/>
      <c r="F689" s="933"/>
      <c r="G689" s="933"/>
      <c r="H689" s="933"/>
      <c r="I689" s="933"/>
      <c r="J689" s="933"/>
      <c r="K689" s="933"/>
      <c r="L689" s="933"/>
      <c r="M689" s="933"/>
      <c r="N689" s="933"/>
      <c r="O689" s="933"/>
      <c r="P689" s="933"/>
      <c r="Q689" s="933"/>
      <c r="R689" s="933"/>
      <c r="S689" s="933"/>
      <c r="T689" s="933"/>
      <c r="V689" s="933"/>
      <c r="W689" s="933"/>
      <c r="X689" s="945"/>
      <c r="Y689" s="933"/>
      <c r="Z689" s="933"/>
      <c r="AA689" s="933"/>
      <c r="AB689" s="933"/>
      <c r="AC689" s="933"/>
      <c r="AD689" s="933"/>
      <c r="AE689" s="933"/>
      <c r="AF689" s="933"/>
      <c r="AG689" s="933"/>
    </row>
    <row r="690" spans="1:33" ht="12.75">
      <c r="A690" s="933"/>
      <c r="B690" s="933"/>
      <c r="C690" s="933"/>
      <c r="D690" s="933"/>
      <c r="E690" s="933"/>
      <c r="F690" s="933"/>
      <c r="G690" s="933"/>
      <c r="H690" s="933"/>
      <c r="I690" s="933"/>
      <c r="J690" s="933"/>
      <c r="K690" s="933"/>
      <c r="L690" s="933"/>
      <c r="M690" s="933"/>
      <c r="N690" s="933"/>
      <c r="O690" s="933"/>
      <c r="P690" s="933"/>
      <c r="Q690" s="933"/>
      <c r="R690" s="933"/>
      <c r="S690" s="933"/>
      <c r="T690" s="933"/>
      <c r="V690" s="933"/>
      <c r="W690" s="933"/>
      <c r="X690" s="945"/>
      <c r="Y690" s="933"/>
      <c r="Z690" s="933"/>
      <c r="AA690" s="933"/>
      <c r="AB690" s="933"/>
      <c r="AC690" s="933"/>
      <c r="AD690" s="933"/>
      <c r="AE690" s="933"/>
      <c r="AF690" s="933"/>
      <c r="AG690" s="933"/>
    </row>
    <row r="691" spans="1:33" ht="12.75">
      <c r="A691" s="933"/>
      <c r="B691" s="933"/>
      <c r="C691" s="933"/>
      <c r="D691" s="933"/>
      <c r="E691" s="933"/>
      <c r="F691" s="933"/>
      <c r="G691" s="933"/>
      <c r="H691" s="933"/>
      <c r="I691" s="933"/>
      <c r="J691" s="933"/>
      <c r="K691" s="933"/>
      <c r="L691" s="933"/>
      <c r="M691" s="933"/>
      <c r="N691" s="933"/>
      <c r="O691" s="933"/>
      <c r="P691" s="933"/>
      <c r="Q691" s="933"/>
      <c r="R691" s="933"/>
      <c r="S691" s="933"/>
      <c r="T691" s="933"/>
      <c r="V691" s="933"/>
      <c r="W691" s="933"/>
      <c r="X691" s="945"/>
      <c r="Y691" s="933"/>
      <c r="Z691" s="933"/>
      <c r="AA691" s="933"/>
      <c r="AB691" s="933"/>
      <c r="AC691" s="933"/>
      <c r="AD691" s="933"/>
      <c r="AE691" s="933"/>
      <c r="AF691" s="933"/>
      <c r="AG691" s="933"/>
    </row>
    <row r="692" spans="1:33" ht="12.75">
      <c r="A692" s="933"/>
      <c r="B692" s="933"/>
      <c r="C692" s="933"/>
      <c r="D692" s="933"/>
      <c r="E692" s="933"/>
      <c r="F692" s="933"/>
      <c r="G692" s="933"/>
      <c r="H692" s="933"/>
      <c r="I692" s="933"/>
      <c r="J692" s="933"/>
      <c r="K692" s="933"/>
      <c r="L692" s="933"/>
      <c r="M692" s="933"/>
      <c r="N692" s="933"/>
      <c r="O692" s="933"/>
      <c r="P692" s="933"/>
      <c r="Q692" s="933"/>
      <c r="R692" s="933"/>
      <c r="S692" s="933"/>
      <c r="T692" s="933"/>
      <c r="V692" s="933"/>
      <c r="W692" s="933"/>
      <c r="X692" s="945"/>
      <c r="Y692" s="933"/>
      <c r="Z692" s="933"/>
      <c r="AA692" s="933"/>
      <c r="AB692" s="933"/>
      <c r="AC692" s="933"/>
      <c r="AD692" s="933"/>
      <c r="AE692" s="933"/>
      <c r="AF692" s="933"/>
      <c r="AG692" s="933"/>
    </row>
    <row r="693" spans="1:33" ht="12.75">
      <c r="A693" s="933"/>
      <c r="B693" s="933"/>
      <c r="C693" s="933"/>
      <c r="D693" s="933"/>
      <c r="E693" s="933"/>
      <c r="F693" s="933"/>
      <c r="G693" s="933"/>
      <c r="H693" s="933"/>
      <c r="I693" s="933"/>
      <c r="J693" s="933"/>
      <c r="K693" s="933"/>
      <c r="L693" s="933"/>
      <c r="M693" s="933"/>
      <c r="N693" s="933"/>
      <c r="O693" s="933"/>
      <c r="P693" s="933"/>
      <c r="Q693" s="933"/>
      <c r="R693" s="933"/>
      <c r="S693" s="933"/>
      <c r="T693" s="933"/>
      <c r="V693" s="933"/>
      <c r="W693" s="933"/>
      <c r="X693" s="945"/>
      <c r="Y693" s="933"/>
      <c r="Z693" s="933"/>
      <c r="AA693" s="933"/>
      <c r="AB693" s="933"/>
      <c r="AC693" s="933"/>
      <c r="AD693" s="933"/>
      <c r="AE693" s="933"/>
      <c r="AF693" s="933"/>
      <c r="AG693" s="933"/>
    </row>
    <row r="694" spans="1:33" ht="12.75">
      <c r="A694" s="933"/>
      <c r="B694" s="933"/>
      <c r="C694" s="933"/>
      <c r="D694" s="933"/>
      <c r="E694" s="933"/>
      <c r="F694" s="933"/>
      <c r="G694" s="933"/>
      <c r="H694" s="933"/>
      <c r="I694" s="933"/>
      <c r="J694" s="933"/>
      <c r="K694" s="933"/>
      <c r="L694" s="933"/>
      <c r="M694" s="933"/>
      <c r="N694" s="933"/>
      <c r="O694" s="933"/>
      <c r="P694" s="933"/>
      <c r="Q694" s="933"/>
      <c r="R694" s="933"/>
      <c r="S694" s="933"/>
      <c r="T694" s="933"/>
      <c r="V694" s="933"/>
      <c r="W694" s="933"/>
      <c r="X694" s="945"/>
      <c r="Y694" s="933"/>
      <c r="Z694" s="933"/>
      <c r="AA694" s="933"/>
      <c r="AB694" s="933"/>
      <c r="AC694" s="933"/>
      <c r="AD694" s="933"/>
      <c r="AE694" s="933"/>
      <c r="AF694" s="933"/>
      <c r="AG694" s="933"/>
    </row>
    <row r="695" spans="1:33" ht="12.75">
      <c r="A695" s="933"/>
      <c r="B695" s="933"/>
      <c r="C695" s="933"/>
      <c r="D695" s="933"/>
      <c r="E695" s="933"/>
      <c r="F695" s="933"/>
      <c r="G695" s="933"/>
      <c r="H695" s="933"/>
      <c r="I695" s="933"/>
      <c r="J695" s="933"/>
      <c r="K695" s="933"/>
      <c r="L695" s="933"/>
      <c r="M695" s="933"/>
      <c r="N695" s="933"/>
      <c r="O695" s="933"/>
      <c r="P695" s="933"/>
      <c r="Q695" s="933"/>
      <c r="R695" s="933"/>
      <c r="S695" s="933"/>
      <c r="T695" s="933"/>
      <c r="V695" s="933"/>
      <c r="W695" s="933"/>
      <c r="X695" s="945"/>
      <c r="Y695" s="933"/>
      <c r="Z695" s="933"/>
      <c r="AA695" s="933"/>
      <c r="AB695" s="933"/>
      <c r="AC695" s="933"/>
      <c r="AD695" s="933"/>
      <c r="AE695" s="933"/>
      <c r="AF695" s="933"/>
      <c r="AG695" s="933"/>
    </row>
    <row r="696" spans="1:33" ht="12.75">
      <c r="A696" s="933"/>
      <c r="B696" s="933"/>
      <c r="C696" s="933"/>
      <c r="D696" s="933"/>
      <c r="E696" s="933"/>
      <c r="F696" s="933"/>
      <c r="G696" s="933"/>
      <c r="H696" s="933"/>
      <c r="I696" s="933"/>
      <c r="J696" s="933"/>
      <c r="K696" s="933"/>
      <c r="L696" s="933"/>
      <c r="M696" s="933"/>
      <c r="N696" s="933"/>
      <c r="O696" s="933"/>
      <c r="P696" s="933"/>
      <c r="Q696" s="933"/>
      <c r="R696" s="933"/>
      <c r="S696" s="933"/>
      <c r="T696" s="933"/>
      <c r="V696" s="933"/>
      <c r="W696" s="933"/>
      <c r="X696" s="945"/>
      <c r="Y696" s="933"/>
      <c r="Z696" s="933"/>
      <c r="AA696" s="933"/>
      <c r="AB696" s="933"/>
      <c r="AC696" s="933"/>
      <c r="AD696" s="933"/>
      <c r="AE696" s="933"/>
      <c r="AF696" s="933"/>
      <c r="AG696" s="933"/>
    </row>
    <row r="697" spans="1:33" ht="12.75">
      <c r="A697" s="933"/>
      <c r="B697" s="933"/>
      <c r="C697" s="933"/>
      <c r="D697" s="933"/>
      <c r="E697" s="933"/>
      <c r="F697" s="933"/>
      <c r="G697" s="933"/>
      <c r="H697" s="933"/>
      <c r="I697" s="933"/>
      <c r="J697" s="933"/>
      <c r="K697" s="933"/>
      <c r="L697" s="933"/>
      <c r="M697" s="933"/>
      <c r="N697" s="933"/>
      <c r="O697" s="933"/>
      <c r="P697" s="933"/>
      <c r="Q697" s="933"/>
      <c r="R697" s="933"/>
      <c r="S697" s="933"/>
      <c r="T697" s="933"/>
      <c r="V697" s="933"/>
      <c r="W697" s="933"/>
      <c r="X697" s="945"/>
      <c r="Y697" s="933"/>
      <c r="Z697" s="933"/>
      <c r="AA697" s="933"/>
      <c r="AB697" s="933"/>
      <c r="AC697" s="933"/>
      <c r="AD697" s="933"/>
      <c r="AE697" s="933"/>
      <c r="AF697" s="933"/>
      <c r="AG697" s="933"/>
    </row>
    <row r="698" spans="1:33" ht="12.75">
      <c r="A698" s="933"/>
      <c r="B698" s="933"/>
      <c r="C698" s="933"/>
      <c r="D698" s="933"/>
      <c r="E698" s="933"/>
      <c r="F698" s="933"/>
      <c r="G698" s="933"/>
      <c r="H698" s="933"/>
      <c r="I698" s="933"/>
      <c r="J698" s="933"/>
      <c r="K698" s="933"/>
      <c r="L698" s="933"/>
      <c r="M698" s="933"/>
      <c r="N698" s="933"/>
      <c r="O698" s="933"/>
      <c r="P698" s="933"/>
      <c r="Q698" s="933"/>
      <c r="R698" s="933"/>
      <c r="S698" s="933"/>
      <c r="T698" s="933"/>
      <c r="V698" s="933"/>
      <c r="W698" s="933"/>
      <c r="X698" s="945"/>
      <c r="Y698" s="933"/>
      <c r="Z698" s="933"/>
      <c r="AA698" s="933"/>
      <c r="AB698" s="933"/>
      <c r="AC698" s="933"/>
      <c r="AD698" s="933"/>
      <c r="AE698" s="933"/>
      <c r="AF698" s="933"/>
      <c r="AG698" s="933"/>
    </row>
    <row r="699" spans="1:33" ht="12.75">
      <c r="A699" s="933"/>
      <c r="B699" s="933"/>
      <c r="C699" s="933"/>
      <c r="D699" s="933"/>
      <c r="E699" s="933"/>
      <c r="F699" s="933"/>
      <c r="G699" s="933"/>
      <c r="H699" s="933"/>
      <c r="I699" s="933"/>
      <c r="J699" s="933"/>
      <c r="K699" s="933"/>
      <c r="L699" s="933"/>
      <c r="M699" s="933"/>
      <c r="N699" s="933"/>
      <c r="O699" s="933"/>
      <c r="P699" s="933"/>
      <c r="Q699" s="933"/>
      <c r="R699" s="933"/>
      <c r="S699" s="933"/>
      <c r="T699" s="933"/>
      <c r="V699" s="933"/>
      <c r="W699" s="933"/>
      <c r="X699" s="945"/>
      <c r="Y699" s="933"/>
      <c r="Z699" s="933"/>
      <c r="AA699" s="933"/>
      <c r="AB699" s="933"/>
      <c r="AC699" s="933"/>
      <c r="AD699" s="933"/>
      <c r="AE699" s="933"/>
      <c r="AF699" s="933"/>
      <c r="AG699" s="933"/>
    </row>
    <row r="700" spans="1:33" ht="12.75">
      <c r="A700" s="933"/>
      <c r="B700" s="933"/>
      <c r="C700" s="933"/>
      <c r="D700" s="933"/>
      <c r="E700" s="933"/>
      <c r="F700" s="933"/>
      <c r="G700" s="933"/>
      <c r="H700" s="933"/>
      <c r="I700" s="933"/>
      <c r="J700" s="933"/>
      <c r="K700" s="933"/>
      <c r="L700" s="933"/>
      <c r="M700" s="933"/>
      <c r="N700" s="933"/>
      <c r="O700" s="933"/>
      <c r="P700" s="933"/>
      <c r="Q700" s="933"/>
      <c r="R700" s="933"/>
      <c r="S700" s="933"/>
      <c r="T700" s="933"/>
      <c r="V700" s="933"/>
      <c r="W700" s="933"/>
      <c r="X700" s="945"/>
      <c r="Y700" s="933"/>
      <c r="Z700" s="933"/>
      <c r="AA700" s="933"/>
      <c r="AB700" s="933"/>
      <c r="AC700" s="933"/>
      <c r="AD700" s="933"/>
      <c r="AE700" s="933"/>
      <c r="AF700" s="933"/>
      <c r="AG700" s="933"/>
    </row>
    <row r="701" spans="1:33" ht="12.75">
      <c r="A701" s="933"/>
      <c r="B701" s="933"/>
      <c r="C701" s="933"/>
      <c r="D701" s="933"/>
      <c r="E701" s="933"/>
      <c r="F701" s="933"/>
      <c r="G701" s="933"/>
      <c r="H701" s="933"/>
      <c r="I701" s="933"/>
      <c r="J701" s="933"/>
      <c r="K701" s="933"/>
      <c r="L701" s="933"/>
      <c r="M701" s="933"/>
      <c r="N701" s="933"/>
      <c r="O701" s="933"/>
      <c r="P701" s="933"/>
      <c r="Q701" s="933"/>
      <c r="R701" s="933"/>
      <c r="S701" s="933"/>
      <c r="T701" s="933"/>
      <c r="V701" s="933"/>
      <c r="W701" s="933"/>
      <c r="X701" s="945"/>
      <c r="Y701" s="933"/>
      <c r="Z701" s="933"/>
      <c r="AA701" s="933"/>
      <c r="AB701" s="933"/>
      <c r="AC701" s="933"/>
      <c r="AD701" s="933"/>
      <c r="AE701" s="933"/>
      <c r="AF701" s="933"/>
      <c r="AG701" s="933"/>
    </row>
    <row r="702" spans="1:33" ht="12.75">
      <c r="A702" s="933"/>
      <c r="B702" s="933"/>
      <c r="C702" s="933"/>
      <c r="D702" s="933"/>
      <c r="E702" s="933"/>
      <c r="F702" s="933"/>
      <c r="G702" s="933"/>
      <c r="H702" s="933"/>
      <c r="I702" s="933"/>
      <c r="J702" s="933"/>
      <c r="K702" s="933"/>
      <c r="L702" s="933"/>
      <c r="M702" s="933"/>
      <c r="N702" s="933"/>
      <c r="O702" s="933"/>
      <c r="P702" s="933"/>
      <c r="Q702" s="933"/>
      <c r="R702" s="933"/>
      <c r="S702" s="933"/>
      <c r="T702" s="933"/>
      <c r="V702" s="933"/>
      <c r="W702" s="933"/>
      <c r="X702" s="945"/>
      <c r="Y702" s="933"/>
      <c r="Z702" s="933"/>
      <c r="AA702" s="933"/>
      <c r="AB702" s="933"/>
      <c r="AC702" s="933"/>
      <c r="AD702" s="933"/>
      <c r="AE702" s="933"/>
      <c r="AF702" s="933"/>
      <c r="AG702" s="933"/>
    </row>
    <row r="703" spans="1:33" ht="12.75">
      <c r="A703" s="933"/>
      <c r="B703" s="933"/>
      <c r="C703" s="933"/>
      <c r="D703" s="933"/>
      <c r="E703" s="933"/>
      <c r="F703" s="933"/>
      <c r="G703" s="933"/>
      <c r="H703" s="933"/>
      <c r="I703" s="933"/>
      <c r="J703" s="933"/>
      <c r="K703" s="933"/>
      <c r="L703" s="933"/>
      <c r="M703" s="933"/>
      <c r="N703" s="933"/>
      <c r="O703" s="933"/>
      <c r="P703" s="933"/>
      <c r="Q703" s="933"/>
      <c r="R703" s="933"/>
      <c r="S703" s="933"/>
      <c r="T703" s="933"/>
      <c r="V703" s="933"/>
      <c r="W703" s="933"/>
      <c r="X703" s="945"/>
      <c r="Y703" s="933"/>
      <c r="Z703" s="933"/>
      <c r="AA703" s="933"/>
      <c r="AB703" s="933"/>
      <c r="AC703" s="933"/>
      <c r="AD703" s="933"/>
      <c r="AE703" s="933"/>
      <c r="AF703" s="933"/>
      <c r="AG703" s="933"/>
    </row>
    <row r="704" spans="1:33" ht="12.75">
      <c r="A704" s="933"/>
      <c r="B704" s="933"/>
      <c r="C704" s="933"/>
      <c r="D704" s="933"/>
      <c r="E704" s="933"/>
      <c r="F704" s="933"/>
      <c r="G704" s="933"/>
      <c r="H704" s="933"/>
      <c r="I704" s="933"/>
      <c r="J704" s="933"/>
      <c r="K704" s="933"/>
      <c r="L704" s="933"/>
      <c r="M704" s="933"/>
      <c r="N704" s="933"/>
      <c r="O704" s="933"/>
      <c r="P704" s="933"/>
      <c r="Q704" s="933"/>
      <c r="R704" s="933"/>
      <c r="S704" s="933"/>
      <c r="T704" s="933"/>
      <c r="V704" s="933"/>
      <c r="W704" s="933"/>
      <c r="X704" s="945"/>
      <c r="Y704" s="933"/>
      <c r="Z704" s="933"/>
      <c r="AA704" s="933"/>
      <c r="AB704" s="933"/>
      <c r="AC704" s="933"/>
      <c r="AD704" s="933"/>
      <c r="AE704" s="933"/>
      <c r="AF704" s="933"/>
      <c r="AG704" s="933"/>
    </row>
    <row r="705" spans="1:33" ht="12.75">
      <c r="A705" s="933"/>
      <c r="B705" s="933"/>
      <c r="C705" s="933"/>
      <c r="D705" s="933"/>
      <c r="E705" s="933"/>
      <c r="F705" s="933"/>
      <c r="G705" s="933"/>
      <c r="H705" s="933"/>
      <c r="I705" s="933"/>
      <c r="J705" s="933"/>
      <c r="K705" s="933"/>
      <c r="L705" s="933"/>
      <c r="M705" s="933"/>
      <c r="N705" s="933"/>
      <c r="O705" s="933"/>
      <c r="P705" s="933"/>
      <c r="Q705" s="933"/>
      <c r="R705" s="933"/>
      <c r="S705" s="933"/>
      <c r="T705" s="933"/>
      <c r="V705" s="933"/>
      <c r="W705" s="933"/>
      <c r="X705" s="945"/>
      <c r="Y705" s="933"/>
      <c r="Z705" s="933"/>
      <c r="AA705" s="933"/>
      <c r="AB705" s="933"/>
      <c r="AC705" s="933"/>
      <c r="AD705" s="933"/>
      <c r="AE705" s="933"/>
      <c r="AF705" s="933"/>
      <c r="AG705" s="933"/>
    </row>
    <row r="706" spans="1:33" ht="12.75">
      <c r="A706" s="933"/>
      <c r="B706" s="933"/>
      <c r="C706" s="933"/>
      <c r="D706" s="933"/>
      <c r="E706" s="933"/>
      <c r="F706" s="933"/>
      <c r="G706" s="933"/>
      <c r="H706" s="933"/>
      <c r="I706" s="933"/>
      <c r="J706" s="933"/>
      <c r="K706" s="933"/>
      <c r="L706" s="933"/>
      <c r="M706" s="933"/>
      <c r="N706" s="933"/>
      <c r="O706" s="933"/>
      <c r="P706" s="933"/>
      <c r="Q706" s="933"/>
      <c r="R706" s="933"/>
      <c r="S706" s="933"/>
      <c r="T706" s="933"/>
      <c r="V706" s="933"/>
      <c r="W706" s="933"/>
      <c r="X706" s="945"/>
      <c r="Y706" s="933"/>
      <c r="Z706" s="933"/>
      <c r="AA706" s="933"/>
      <c r="AB706" s="933"/>
      <c r="AC706" s="933"/>
      <c r="AD706" s="933"/>
      <c r="AE706" s="933"/>
      <c r="AF706" s="933"/>
      <c r="AG706" s="933"/>
    </row>
    <row r="707" spans="1:33" ht="12.75">
      <c r="A707" s="933"/>
      <c r="B707" s="933"/>
      <c r="C707" s="933"/>
      <c r="D707" s="933"/>
      <c r="E707" s="933"/>
      <c r="F707" s="933"/>
      <c r="G707" s="933"/>
      <c r="H707" s="933"/>
      <c r="I707" s="933"/>
      <c r="J707" s="933"/>
      <c r="K707" s="933"/>
      <c r="L707" s="933"/>
      <c r="M707" s="933"/>
      <c r="N707" s="933"/>
      <c r="O707" s="933"/>
      <c r="P707" s="933"/>
      <c r="Q707" s="933"/>
      <c r="R707" s="933"/>
      <c r="S707" s="933"/>
      <c r="T707" s="933"/>
      <c r="V707" s="933"/>
      <c r="W707" s="933"/>
      <c r="X707" s="945"/>
      <c r="Y707" s="933"/>
      <c r="Z707" s="933"/>
      <c r="AA707" s="933"/>
      <c r="AB707" s="933"/>
      <c r="AC707" s="933"/>
      <c r="AD707" s="933"/>
      <c r="AE707" s="933"/>
      <c r="AF707" s="933"/>
      <c r="AG707" s="933"/>
    </row>
    <row r="708" spans="1:33" ht="12.75">
      <c r="A708" s="933"/>
      <c r="B708" s="933"/>
      <c r="C708" s="933"/>
      <c r="D708" s="933"/>
      <c r="E708" s="933"/>
      <c r="F708" s="933"/>
      <c r="G708" s="933"/>
      <c r="H708" s="933"/>
      <c r="I708" s="933"/>
      <c r="J708" s="933"/>
      <c r="K708" s="933"/>
      <c r="L708" s="933"/>
      <c r="M708" s="933"/>
      <c r="N708" s="933"/>
      <c r="O708" s="933"/>
      <c r="P708" s="933"/>
      <c r="Q708" s="933"/>
      <c r="R708" s="933"/>
      <c r="S708" s="933"/>
      <c r="T708" s="933"/>
      <c r="V708" s="933"/>
      <c r="W708" s="933"/>
      <c r="X708" s="945"/>
      <c r="Y708" s="933"/>
      <c r="Z708" s="933"/>
      <c r="AA708" s="933"/>
      <c r="AB708" s="933"/>
      <c r="AC708" s="933"/>
      <c r="AD708" s="933"/>
      <c r="AE708" s="933"/>
      <c r="AF708" s="933"/>
      <c r="AG708" s="933"/>
    </row>
    <row r="709" spans="1:33" ht="12.75">
      <c r="A709" s="933"/>
      <c r="B709" s="933"/>
      <c r="C709" s="933"/>
      <c r="D709" s="933"/>
      <c r="E709" s="933"/>
      <c r="F709" s="933"/>
      <c r="G709" s="933"/>
      <c r="H709" s="933"/>
      <c r="I709" s="933"/>
      <c r="J709" s="933"/>
      <c r="K709" s="933"/>
      <c r="L709" s="933"/>
      <c r="M709" s="933"/>
      <c r="N709" s="933"/>
      <c r="O709" s="933"/>
      <c r="P709" s="933"/>
      <c r="Q709" s="933"/>
      <c r="R709" s="933"/>
      <c r="S709" s="933"/>
      <c r="T709" s="933"/>
      <c r="V709" s="933"/>
      <c r="W709" s="933"/>
      <c r="X709" s="945"/>
      <c r="Y709" s="933"/>
      <c r="Z709" s="933"/>
      <c r="AA709" s="933"/>
      <c r="AB709" s="933"/>
      <c r="AC709" s="933"/>
      <c r="AD709" s="933"/>
      <c r="AE709" s="933"/>
      <c r="AF709" s="933"/>
      <c r="AG709" s="933"/>
    </row>
    <row r="710" spans="1:33" ht="12.75">
      <c r="A710" s="933"/>
      <c r="B710" s="933"/>
      <c r="C710" s="933"/>
      <c r="D710" s="933"/>
      <c r="E710" s="933"/>
      <c r="F710" s="933"/>
      <c r="G710" s="933"/>
      <c r="H710" s="933"/>
      <c r="I710" s="933"/>
      <c r="J710" s="933"/>
      <c r="K710" s="933"/>
      <c r="L710" s="933"/>
      <c r="M710" s="933"/>
      <c r="N710" s="933"/>
      <c r="O710" s="933"/>
      <c r="P710" s="933"/>
      <c r="Q710" s="933"/>
      <c r="R710" s="933"/>
      <c r="S710" s="933"/>
      <c r="T710" s="933"/>
      <c r="V710" s="933"/>
      <c r="W710" s="933"/>
      <c r="X710" s="945"/>
      <c r="Y710" s="933"/>
      <c r="Z710" s="933"/>
      <c r="AA710" s="933"/>
      <c r="AB710" s="933"/>
      <c r="AC710" s="933"/>
      <c r="AD710" s="933"/>
      <c r="AE710" s="933"/>
      <c r="AF710" s="933"/>
      <c r="AG710" s="933"/>
    </row>
    <row r="711" spans="1:33" ht="12.75">
      <c r="A711" s="933"/>
      <c r="B711" s="933"/>
      <c r="C711" s="933"/>
      <c r="D711" s="933"/>
      <c r="E711" s="933"/>
      <c r="F711" s="933"/>
      <c r="G711" s="933"/>
      <c r="H711" s="933"/>
      <c r="I711" s="933"/>
      <c r="J711" s="933"/>
      <c r="K711" s="933"/>
      <c r="L711" s="933"/>
      <c r="M711" s="933"/>
      <c r="N711" s="933"/>
      <c r="O711" s="933"/>
      <c r="P711" s="933"/>
      <c r="Q711" s="933"/>
      <c r="R711" s="933"/>
      <c r="S711" s="933"/>
      <c r="T711" s="933"/>
      <c r="V711" s="933"/>
      <c r="W711" s="933"/>
      <c r="X711" s="945"/>
      <c r="Y711" s="933"/>
      <c r="Z711" s="933"/>
      <c r="AA711" s="933"/>
      <c r="AB711" s="933"/>
      <c r="AC711" s="933"/>
      <c r="AD711" s="933"/>
      <c r="AE711" s="933"/>
      <c r="AF711" s="933"/>
      <c r="AG711" s="933"/>
    </row>
    <row r="712" spans="1:33" ht="12.75">
      <c r="A712" s="933"/>
      <c r="B712" s="933"/>
      <c r="C712" s="933"/>
      <c r="D712" s="933"/>
      <c r="E712" s="933"/>
      <c r="F712" s="933"/>
      <c r="G712" s="933"/>
      <c r="H712" s="933"/>
      <c r="I712" s="933"/>
      <c r="J712" s="933"/>
      <c r="K712" s="933"/>
      <c r="L712" s="933"/>
      <c r="M712" s="933"/>
      <c r="N712" s="933"/>
      <c r="O712" s="933"/>
      <c r="P712" s="933"/>
      <c r="Q712" s="933"/>
      <c r="R712" s="933"/>
      <c r="S712" s="933"/>
      <c r="T712" s="933"/>
      <c r="V712" s="933"/>
      <c r="W712" s="933"/>
      <c r="X712" s="945"/>
      <c r="Y712" s="933"/>
      <c r="Z712" s="933"/>
      <c r="AA712" s="933"/>
      <c r="AB712" s="933"/>
      <c r="AC712" s="933"/>
      <c r="AD712" s="933"/>
      <c r="AE712" s="933"/>
      <c r="AF712" s="933"/>
      <c r="AG712" s="933"/>
    </row>
    <row r="713" spans="1:33" ht="12.75">
      <c r="A713" s="933"/>
      <c r="B713" s="933"/>
      <c r="C713" s="933"/>
      <c r="D713" s="933"/>
      <c r="E713" s="933"/>
      <c r="F713" s="933"/>
      <c r="G713" s="933"/>
      <c r="H713" s="933"/>
      <c r="I713" s="933"/>
      <c r="J713" s="933"/>
      <c r="K713" s="933"/>
      <c r="L713" s="933"/>
      <c r="M713" s="933"/>
      <c r="N713" s="933"/>
      <c r="O713" s="933"/>
      <c r="P713" s="933"/>
      <c r="Q713" s="933"/>
      <c r="R713" s="933"/>
      <c r="S713" s="933"/>
      <c r="T713" s="933"/>
      <c r="V713" s="933"/>
      <c r="W713" s="933"/>
      <c r="X713" s="945"/>
      <c r="Y713" s="933"/>
      <c r="Z713" s="933"/>
      <c r="AA713" s="933"/>
      <c r="AB713" s="933"/>
      <c r="AC713" s="933"/>
      <c r="AD713" s="933"/>
      <c r="AE713" s="933"/>
      <c r="AF713" s="933"/>
      <c r="AG713" s="933"/>
    </row>
    <row r="714" spans="1:33" ht="12.75">
      <c r="A714" s="933"/>
      <c r="B714" s="933"/>
      <c r="C714" s="933"/>
      <c r="D714" s="933"/>
      <c r="E714" s="933"/>
      <c r="F714" s="933"/>
      <c r="G714" s="933"/>
      <c r="H714" s="933"/>
      <c r="I714" s="933"/>
      <c r="J714" s="933"/>
      <c r="K714" s="933"/>
      <c r="L714" s="933"/>
      <c r="M714" s="933"/>
      <c r="N714" s="933"/>
      <c r="O714" s="933"/>
      <c r="P714" s="933"/>
      <c r="Q714" s="933"/>
      <c r="R714" s="933"/>
      <c r="S714" s="933"/>
      <c r="T714" s="933"/>
      <c r="V714" s="933"/>
      <c r="W714" s="933"/>
      <c r="X714" s="945"/>
      <c r="Y714" s="933"/>
      <c r="Z714" s="933"/>
      <c r="AA714" s="933"/>
      <c r="AB714" s="933"/>
      <c r="AC714" s="933"/>
      <c r="AD714" s="933"/>
      <c r="AE714" s="933"/>
      <c r="AF714" s="933"/>
      <c r="AG714" s="933"/>
    </row>
    <row r="715" spans="1:33" ht="12.75">
      <c r="A715" s="933"/>
      <c r="B715" s="933"/>
      <c r="C715" s="933"/>
      <c r="D715" s="933"/>
      <c r="E715" s="933"/>
      <c r="F715" s="933"/>
      <c r="G715" s="933"/>
      <c r="H715" s="933"/>
      <c r="I715" s="933"/>
      <c r="J715" s="933"/>
      <c r="K715" s="933"/>
      <c r="L715" s="933"/>
      <c r="M715" s="933"/>
      <c r="N715" s="933"/>
      <c r="O715" s="933"/>
      <c r="P715" s="933"/>
      <c r="Q715" s="933"/>
      <c r="R715" s="933"/>
      <c r="S715" s="933"/>
      <c r="T715" s="933"/>
      <c r="V715" s="933"/>
      <c r="W715" s="933"/>
      <c r="X715" s="945"/>
      <c r="Y715" s="933"/>
      <c r="Z715" s="933"/>
      <c r="AA715" s="933"/>
      <c r="AB715" s="933"/>
      <c r="AC715" s="933"/>
      <c r="AD715" s="933"/>
      <c r="AE715" s="933"/>
      <c r="AF715" s="933"/>
      <c r="AG715" s="933"/>
    </row>
    <row r="716" spans="1:33" ht="12.75">
      <c r="A716" s="933"/>
      <c r="B716" s="933"/>
      <c r="C716" s="933"/>
      <c r="D716" s="933"/>
      <c r="E716" s="933"/>
      <c r="F716" s="933"/>
      <c r="G716" s="933"/>
      <c r="H716" s="933"/>
      <c r="I716" s="933"/>
      <c r="J716" s="933"/>
      <c r="K716" s="933"/>
      <c r="L716" s="933"/>
      <c r="M716" s="933"/>
      <c r="N716" s="933"/>
      <c r="O716" s="933"/>
      <c r="P716" s="933"/>
      <c r="Q716" s="933"/>
      <c r="R716" s="933"/>
      <c r="S716" s="933"/>
      <c r="T716" s="933"/>
      <c r="V716" s="933"/>
      <c r="W716" s="933"/>
      <c r="X716" s="945"/>
      <c r="Y716" s="933"/>
      <c r="Z716" s="933"/>
      <c r="AA716" s="933"/>
      <c r="AB716" s="933"/>
      <c r="AC716" s="933"/>
      <c r="AD716" s="933"/>
      <c r="AE716" s="933"/>
      <c r="AF716" s="933"/>
      <c r="AG716" s="933"/>
    </row>
    <row r="717" spans="1:33" ht="12.75">
      <c r="A717" s="933"/>
      <c r="B717" s="933"/>
      <c r="C717" s="933"/>
      <c r="D717" s="933"/>
      <c r="E717" s="933"/>
      <c r="F717" s="933"/>
      <c r="G717" s="933"/>
      <c r="H717" s="933"/>
      <c r="I717" s="933"/>
      <c r="J717" s="933"/>
      <c r="K717" s="933"/>
      <c r="L717" s="933"/>
      <c r="M717" s="933"/>
      <c r="N717" s="933"/>
      <c r="O717" s="933"/>
      <c r="P717" s="933"/>
      <c r="Q717" s="933"/>
      <c r="R717" s="933"/>
      <c r="S717" s="933"/>
      <c r="T717" s="933"/>
      <c r="V717" s="933"/>
      <c r="W717" s="933"/>
      <c r="X717" s="945"/>
      <c r="Y717" s="933"/>
      <c r="Z717" s="933"/>
      <c r="AA717" s="933"/>
      <c r="AB717" s="933"/>
      <c r="AC717" s="933"/>
      <c r="AD717" s="933"/>
      <c r="AE717" s="933"/>
      <c r="AF717" s="933"/>
      <c r="AG717" s="933"/>
    </row>
    <row r="718" spans="1:33" ht="12.75">
      <c r="A718" s="933"/>
      <c r="B718" s="933"/>
      <c r="C718" s="933"/>
      <c r="D718" s="933"/>
      <c r="E718" s="933"/>
      <c r="F718" s="933"/>
      <c r="G718" s="933"/>
      <c r="H718" s="933"/>
      <c r="I718" s="933"/>
      <c r="J718" s="933"/>
      <c r="K718" s="933"/>
      <c r="L718" s="933"/>
      <c r="M718" s="933"/>
      <c r="N718" s="933"/>
      <c r="O718" s="933"/>
      <c r="P718" s="933"/>
      <c r="Q718" s="933"/>
      <c r="R718" s="933"/>
      <c r="S718" s="933"/>
      <c r="T718" s="933"/>
      <c r="V718" s="933"/>
      <c r="W718" s="933"/>
      <c r="X718" s="945"/>
      <c r="Y718" s="933"/>
      <c r="Z718" s="933"/>
      <c r="AA718" s="933"/>
      <c r="AB718" s="933"/>
      <c r="AC718" s="933"/>
      <c r="AD718" s="933"/>
      <c r="AE718" s="933"/>
      <c r="AF718" s="933"/>
      <c r="AG718" s="933"/>
    </row>
    <row r="719" spans="1:33" ht="12.75">
      <c r="A719" s="933"/>
      <c r="B719" s="933"/>
      <c r="C719" s="933"/>
      <c r="D719" s="933"/>
      <c r="E719" s="933"/>
      <c r="F719" s="933"/>
      <c r="G719" s="933"/>
      <c r="H719" s="933"/>
      <c r="I719" s="933"/>
      <c r="J719" s="933"/>
      <c r="K719" s="933"/>
      <c r="L719" s="933"/>
      <c r="M719" s="933"/>
      <c r="N719" s="933"/>
      <c r="O719" s="933"/>
      <c r="P719" s="933"/>
      <c r="Q719" s="933"/>
      <c r="R719" s="933"/>
      <c r="S719" s="933"/>
      <c r="T719" s="933"/>
      <c r="V719" s="933"/>
      <c r="W719" s="933"/>
      <c r="X719" s="945"/>
      <c r="Y719" s="933"/>
      <c r="Z719" s="933"/>
      <c r="AA719" s="933"/>
      <c r="AB719" s="933"/>
      <c r="AC719" s="933"/>
      <c r="AD719" s="933"/>
      <c r="AE719" s="933"/>
      <c r="AF719" s="933"/>
      <c r="AG719" s="933"/>
    </row>
    <row r="720" spans="1:33" ht="12.75">
      <c r="A720" s="933"/>
      <c r="B720" s="933"/>
      <c r="C720" s="933"/>
      <c r="D720" s="933"/>
      <c r="E720" s="933"/>
      <c r="F720" s="933"/>
      <c r="G720" s="933"/>
      <c r="H720" s="933"/>
      <c r="I720" s="933"/>
      <c r="J720" s="933"/>
      <c r="K720" s="933"/>
      <c r="L720" s="933"/>
      <c r="M720" s="933"/>
      <c r="N720" s="933"/>
      <c r="O720" s="933"/>
      <c r="P720" s="933"/>
      <c r="Q720" s="933"/>
      <c r="R720" s="933"/>
      <c r="S720" s="933"/>
      <c r="T720" s="933"/>
      <c r="V720" s="933"/>
      <c r="W720" s="933"/>
      <c r="X720" s="945"/>
      <c r="Y720" s="933"/>
      <c r="Z720" s="933"/>
      <c r="AA720" s="933"/>
      <c r="AB720" s="933"/>
      <c r="AC720" s="933"/>
      <c r="AD720" s="933"/>
      <c r="AE720" s="933"/>
      <c r="AF720" s="933"/>
      <c r="AG720" s="933"/>
    </row>
    <row r="721" spans="1:33" ht="12.75">
      <c r="A721" s="933"/>
      <c r="B721" s="933"/>
      <c r="C721" s="933"/>
      <c r="D721" s="933"/>
      <c r="E721" s="933"/>
      <c r="F721" s="933"/>
      <c r="G721" s="933"/>
      <c r="H721" s="933"/>
      <c r="I721" s="933"/>
      <c r="J721" s="933"/>
      <c r="K721" s="933"/>
      <c r="L721" s="933"/>
      <c r="M721" s="933"/>
      <c r="N721" s="933"/>
      <c r="O721" s="933"/>
      <c r="P721" s="933"/>
      <c r="Q721" s="933"/>
      <c r="R721" s="933"/>
      <c r="S721" s="933"/>
      <c r="T721" s="933"/>
      <c r="V721" s="933"/>
      <c r="W721" s="933"/>
      <c r="X721" s="945"/>
      <c r="Y721" s="933"/>
      <c r="Z721" s="933"/>
      <c r="AA721" s="933"/>
      <c r="AB721" s="933"/>
      <c r="AC721" s="933"/>
      <c r="AD721" s="933"/>
      <c r="AE721" s="933"/>
      <c r="AF721" s="933"/>
      <c r="AG721" s="933"/>
    </row>
    <row r="722" spans="1:33" ht="12.75">
      <c r="A722" s="933"/>
      <c r="B722" s="933"/>
      <c r="C722" s="933"/>
      <c r="D722" s="933"/>
      <c r="E722" s="933"/>
      <c r="F722" s="933"/>
      <c r="G722" s="933"/>
      <c r="H722" s="933"/>
      <c r="I722" s="933"/>
      <c r="J722" s="933"/>
      <c r="K722" s="933"/>
      <c r="L722" s="933"/>
      <c r="M722" s="933"/>
      <c r="N722" s="933"/>
      <c r="O722" s="933"/>
      <c r="P722" s="933"/>
      <c r="Q722" s="933"/>
      <c r="R722" s="933"/>
      <c r="S722" s="933"/>
      <c r="T722" s="933"/>
      <c r="V722" s="933"/>
      <c r="W722" s="933"/>
      <c r="X722" s="945"/>
      <c r="Y722" s="933"/>
      <c r="Z722" s="933"/>
      <c r="AA722" s="933"/>
      <c r="AB722" s="933"/>
      <c r="AC722" s="933"/>
      <c r="AD722" s="933"/>
      <c r="AE722" s="933"/>
      <c r="AF722" s="933"/>
      <c r="AG722" s="933"/>
    </row>
    <row r="723" spans="1:33" ht="12.75">
      <c r="A723" s="933"/>
      <c r="B723" s="933"/>
      <c r="C723" s="933"/>
      <c r="D723" s="933"/>
      <c r="E723" s="933"/>
      <c r="F723" s="933"/>
      <c r="G723" s="933"/>
      <c r="H723" s="933"/>
      <c r="I723" s="933"/>
      <c r="J723" s="933"/>
      <c r="K723" s="933"/>
      <c r="L723" s="933"/>
      <c r="M723" s="933"/>
      <c r="N723" s="933"/>
      <c r="O723" s="933"/>
      <c r="P723" s="933"/>
      <c r="Q723" s="933"/>
      <c r="R723" s="933"/>
      <c r="S723" s="933"/>
      <c r="T723" s="933"/>
      <c r="V723" s="933"/>
      <c r="W723" s="933"/>
      <c r="X723" s="945"/>
      <c r="Y723" s="933"/>
      <c r="Z723" s="933"/>
      <c r="AA723" s="933"/>
      <c r="AB723" s="933"/>
      <c r="AC723" s="933"/>
      <c r="AD723" s="933"/>
      <c r="AE723" s="933"/>
      <c r="AF723" s="933"/>
      <c r="AG723" s="933"/>
    </row>
    <row r="724" spans="1:33" ht="12.75">
      <c r="A724" s="933"/>
      <c r="B724" s="933"/>
      <c r="C724" s="933"/>
      <c r="D724" s="933"/>
      <c r="E724" s="933"/>
      <c r="F724" s="933"/>
      <c r="G724" s="933"/>
      <c r="H724" s="933"/>
      <c r="I724" s="933"/>
      <c r="J724" s="933"/>
      <c r="K724" s="933"/>
      <c r="L724" s="933"/>
      <c r="M724" s="933"/>
      <c r="N724" s="933"/>
      <c r="O724" s="933"/>
      <c r="P724" s="933"/>
      <c r="Q724" s="933"/>
      <c r="R724" s="933"/>
      <c r="S724" s="933"/>
      <c r="T724" s="933"/>
      <c r="V724" s="933"/>
      <c r="W724" s="933"/>
      <c r="X724" s="945"/>
      <c r="Y724" s="933"/>
      <c r="Z724" s="933"/>
      <c r="AA724" s="933"/>
      <c r="AB724" s="933"/>
      <c r="AC724" s="933"/>
      <c r="AD724" s="933"/>
      <c r="AE724" s="933"/>
      <c r="AF724" s="933"/>
      <c r="AG724" s="933"/>
    </row>
    <row r="725" spans="1:33" ht="12.75">
      <c r="A725" s="933"/>
      <c r="B725" s="933"/>
      <c r="C725" s="933"/>
      <c r="D725" s="933"/>
      <c r="E725" s="933"/>
      <c r="F725" s="933"/>
      <c r="G725" s="933"/>
      <c r="H725" s="933"/>
      <c r="I725" s="933"/>
      <c r="J725" s="933"/>
      <c r="K725" s="933"/>
      <c r="L725" s="933"/>
      <c r="M725" s="933"/>
      <c r="N725" s="933"/>
      <c r="O725" s="933"/>
      <c r="P725" s="933"/>
      <c r="Q725" s="933"/>
      <c r="R725" s="933"/>
      <c r="S725" s="933"/>
      <c r="T725" s="933"/>
      <c r="V725" s="933"/>
      <c r="W725" s="933"/>
      <c r="X725" s="945"/>
      <c r="Y725" s="933"/>
      <c r="Z725" s="933"/>
      <c r="AA725" s="933"/>
      <c r="AB725" s="933"/>
      <c r="AC725" s="933"/>
      <c r="AD725" s="933"/>
      <c r="AE725" s="933"/>
      <c r="AF725" s="933"/>
      <c r="AG725" s="933"/>
    </row>
    <row r="726" spans="1:33" ht="12.75">
      <c r="A726" s="933"/>
      <c r="B726" s="933"/>
      <c r="C726" s="933"/>
      <c r="D726" s="933"/>
      <c r="E726" s="933"/>
      <c r="F726" s="933"/>
      <c r="G726" s="933"/>
      <c r="H726" s="933"/>
      <c r="I726" s="933"/>
      <c r="J726" s="933"/>
      <c r="K726" s="933"/>
      <c r="L726" s="933"/>
      <c r="M726" s="933"/>
      <c r="N726" s="933"/>
      <c r="O726" s="933"/>
      <c r="P726" s="933"/>
      <c r="Q726" s="933"/>
      <c r="R726" s="933"/>
      <c r="S726" s="933"/>
      <c r="T726" s="933"/>
      <c r="V726" s="933"/>
      <c r="W726" s="933"/>
      <c r="X726" s="945"/>
      <c r="Y726" s="933"/>
      <c r="Z726" s="933"/>
      <c r="AA726" s="933"/>
      <c r="AB726" s="933"/>
      <c r="AC726" s="933"/>
      <c r="AD726" s="933"/>
      <c r="AE726" s="933"/>
      <c r="AF726" s="933"/>
      <c r="AG726" s="933"/>
    </row>
    <row r="727" spans="1:33" ht="12.75">
      <c r="A727" s="933"/>
      <c r="B727" s="933"/>
      <c r="C727" s="933"/>
      <c r="D727" s="933"/>
      <c r="E727" s="933"/>
      <c r="F727" s="933"/>
      <c r="G727" s="933"/>
      <c r="H727" s="933"/>
      <c r="I727" s="933"/>
      <c r="J727" s="933"/>
      <c r="K727" s="933"/>
      <c r="L727" s="933"/>
      <c r="M727" s="933"/>
      <c r="N727" s="933"/>
      <c r="O727" s="933"/>
      <c r="P727" s="933"/>
      <c r="Q727" s="933"/>
      <c r="R727" s="933"/>
      <c r="S727" s="933"/>
      <c r="T727" s="933"/>
      <c r="V727" s="933"/>
      <c r="W727" s="933"/>
      <c r="X727" s="945"/>
      <c r="Y727" s="933"/>
      <c r="Z727" s="933"/>
      <c r="AA727" s="933"/>
      <c r="AB727" s="933"/>
      <c r="AC727" s="933"/>
      <c r="AD727" s="933"/>
      <c r="AE727" s="933"/>
      <c r="AF727" s="933"/>
      <c r="AG727" s="933"/>
    </row>
    <row r="728" spans="1:33" ht="12.75">
      <c r="A728" s="933"/>
      <c r="B728" s="933"/>
      <c r="C728" s="933"/>
      <c r="D728" s="933"/>
      <c r="E728" s="933"/>
      <c r="F728" s="933"/>
      <c r="G728" s="933"/>
      <c r="H728" s="933"/>
      <c r="I728" s="933"/>
      <c r="J728" s="933"/>
      <c r="K728" s="933"/>
      <c r="L728" s="933"/>
      <c r="M728" s="933"/>
      <c r="N728" s="933"/>
      <c r="O728" s="933"/>
      <c r="P728" s="933"/>
      <c r="Q728" s="933"/>
      <c r="R728" s="933"/>
      <c r="S728" s="933"/>
      <c r="T728" s="933"/>
      <c r="V728" s="933"/>
      <c r="W728" s="933"/>
      <c r="X728" s="945"/>
      <c r="Y728" s="933"/>
      <c r="Z728" s="933"/>
      <c r="AA728" s="933"/>
      <c r="AB728" s="933"/>
      <c r="AC728" s="933"/>
      <c r="AD728" s="933"/>
      <c r="AE728" s="933"/>
      <c r="AF728" s="933"/>
      <c r="AG728" s="933"/>
    </row>
    <row r="729" spans="1:33" ht="12.75">
      <c r="A729" s="933"/>
      <c r="B729" s="933"/>
      <c r="C729" s="933"/>
      <c r="D729" s="933"/>
      <c r="E729" s="933"/>
      <c r="F729" s="933"/>
      <c r="G729" s="933"/>
      <c r="H729" s="933"/>
      <c r="I729" s="933"/>
      <c r="J729" s="933"/>
      <c r="K729" s="933"/>
      <c r="L729" s="933"/>
      <c r="M729" s="933"/>
      <c r="N729" s="933"/>
      <c r="O729" s="933"/>
      <c r="P729" s="933"/>
      <c r="Q729" s="933"/>
      <c r="R729" s="933"/>
      <c r="S729" s="933"/>
      <c r="T729" s="933"/>
      <c r="V729" s="933"/>
      <c r="W729" s="933"/>
      <c r="X729" s="945"/>
      <c r="Y729" s="933"/>
      <c r="Z729" s="933"/>
      <c r="AA729" s="933"/>
      <c r="AB729" s="933"/>
      <c r="AC729" s="933"/>
      <c r="AD729" s="933"/>
      <c r="AE729" s="933"/>
      <c r="AF729" s="933"/>
      <c r="AG729" s="933"/>
    </row>
    <row r="730" spans="1:33" ht="12.75">
      <c r="A730" s="933"/>
      <c r="B730" s="933"/>
      <c r="C730" s="933"/>
      <c r="D730" s="933"/>
      <c r="E730" s="933"/>
      <c r="F730" s="933"/>
      <c r="G730" s="933"/>
      <c r="H730" s="933"/>
      <c r="I730" s="933"/>
      <c r="J730" s="933"/>
      <c r="K730" s="933"/>
      <c r="L730" s="933"/>
      <c r="M730" s="933"/>
      <c r="N730" s="933"/>
      <c r="O730" s="933"/>
      <c r="P730" s="933"/>
      <c r="Q730" s="933"/>
      <c r="R730" s="933"/>
      <c r="S730" s="933"/>
      <c r="T730" s="933"/>
      <c r="V730" s="933"/>
      <c r="W730" s="933"/>
      <c r="X730" s="945"/>
      <c r="Y730" s="933"/>
      <c r="Z730" s="933"/>
      <c r="AA730" s="933"/>
      <c r="AB730" s="933"/>
      <c r="AC730" s="933"/>
      <c r="AD730" s="933"/>
      <c r="AE730" s="933"/>
      <c r="AF730" s="933"/>
      <c r="AG730" s="933"/>
    </row>
    <row r="731" spans="1:33" ht="12.75">
      <c r="A731" s="933"/>
      <c r="B731" s="933"/>
      <c r="C731" s="933"/>
      <c r="D731" s="933"/>
      <c r="E731" s="933"/>
      <c r="F731" s="933"/>
      <c r="G731" s="933"/>
      <c r="H731" s="933"/>
      <c r="I731" s="933"/>
      <c r="J731" s="933"/>
      <c r="K731" s="933"/>
      <c r="L731" s="933"/>
      <c r="M731" s="933"/>
      <c r="N731" s="933"/>
      <c r="O731" s="933"/>
      <c r="P731" s="933"/>
      <c r="Q731" s="933"/>
      <c r="R731" s="933"/>
      <c r="S731" s="933"/>
      <c r="T731" s="933"/>
      <c r="V731" s="933"/>
      <c r="W731" s="933"/>
      <c r="X731" s="945"/>
      <c r="Y731" s="933"/>
      <c r="Z731" s="933"/>
      <c r="AA731" s="933"/>
      <c r="AB731" s="933"/>
      <c r="AC731" s="933"/>
      <c r="AD731" s="933"/>
      <c r="AE731" s="933"/>
      <c r="AF731" s="933"/>
      <c r="AG731" s="933"/>
    </row>
    <row r="732" spans="1:33" ht="12.75">
      <c r="A732" s="933"/>
      <c r="B732" s="933"/>
      <c r="C732" s="933"/>
      <c r="D732" s="933"/>
      <c r="E732" s="933"/>
      <c r="F732" s="933"/>
      <c r="G732" s="933"/>
      <c r="H732" s="933"/>
      <c r="I732" s="933"/>
      <c r="J732" s="933"/>
      <c r="K732" s="933"/>
      <c r="L732" s="933"/>
      <c r="M732" s="933"/>
      <c r="N732" s="933"/>
      <c r="O732" s="933"/>
      <c r="P732" s="933"/>
      <c r="Q732" s="933"/>
      <c r="R732" s="933"/>
      <c r="S732" s="933"/>
      <c r="T732" s="933"/>
      <c r="V732" s="933"/>
      <c r="W732" s="933"/>
      <c r="X732" s="945"/>
      <c r="Y732" s="933"/>
      <c r="Z732" s="933"/>
      <c r="AA732" s="933"/>
      <c r="AB732" s="933"/>
      <c r="AC732" s="933"/>
      <c r="AD732" s="933"/>
      <c r="AE732" s="933"/>
      <c r="AF732" s="933"/>
      <c r="AG732" s="933"/>
    </row>
    <row r="733" spans="1:33" ht="12.75">
      <c r="A733" s="933"/>
      <c r="B733" s="933"/>
      <c r="C733" s="933"/>
      <c r="D733" s="933"/>
      <c r="E733" s="933"/>
      <c r="F733" s="933"/>
      <c r="G733" s="933"/>
      <c r="H733" s="933"/>
      <c r="I733" s="933"/>
      <c r="J733" s="933"/>
      <c r="K733" s="933"/>
      <c r="L733" s="933"/>
      <c r="M733" s="933"/>
      <c r="N733" s="933"/>
      <c r="O733" s="933"/>
      <c r="P733" s="933"/>
      <c r="Q733" s="933"/>
      <c r="R733" s="933"/>
      <c r="S733" s="933"/>
      <c r="T733" s="933"/>
      <c r="V733" s="933"/>
      <c r="W733" s="933"/>
      <c r="X733" s="945"/>
      <c r="Y733" s="933"/>
      <c r="Z733" s="933"/>
      <c r="AA733" s="933"/>
      <c r="AB733" s="933"/>
      <c r="AC733" s="933"/>
      <c r="AD733" s="933"/>
      <c r="AE733" s="933"/>
      <c r="AF733" s="933"/>
      <c r="AG733" s="933"/>
    </row>
    <row r="734" spans="1:33" ht="12.75">
      <c r="A734" s="933"/>
      <c r="B734" s="933"/>
      <c r="C734" s="933"/>
      <c r="D734" s="933"/>
      <c r="E734" s="933"/>
      <c r="F734" s="933"/>
      <c r="G734" s="933"/>
      <c r="H734" s="933"/>
      <c r="I734" s="933"/>
      <c r="J734" s="933"/>
      <c r="K734" s="933"/>
      <c r="L734" s="933"/>
      <c r="M734" s="933"/>
      <c r="N734" s="933"/>
      <c r="O734" s="933"/>
      <c r="P734" s="933"/>
      <c r="Q734" s="933"/>
      <c r="R734" s="933"/>
      <c r="S734" s="933"/>
      <c r="T734" s="933"/>
      <c r="V734" s="933"/>
      <c r="W734" s="933"/>
      <c r="X734" s="945"/>
      <c r="Y734" s="933"/>
      <c r="Z734" s="933"/>
      <c r="AA734" s="933"/>
      <c r="AB734" s="933"/>
      <c r="AC734" s="933"/>
      <c r="AD734" s="933"/>
      <c r="AE734" s="933"/>
      <c r="AF734" s="933"/>
      <c r="AG734" s="933"/>
    </row>
    <row r="735" spans="1:33" ht="12.75">
      <c r="A735" s="933"/>
      <c r="B735" s="933"/>
      <c r="C735" s="933"/>
      <c r="D735" s="933"/>
      <c r="E735" s="933"/>
      <c r="F735" s="933"/>
      <c r="G735" s="933"/>
      <c r="H735" s="933"/>
      <c r="I735" s="933"/>
      <c r="J735" s="933"/>
      <c r="K735" s="933"/>
      <c r="L735" s="933"/>
      <c r="M735" s="933"/>
      <c r="N735" s="933"/>
      <c r="O735" s="933"/>
      <c r="P735" s="933"/>
      <c r="Q735" s="933"/>
      <c r="R735" s="933"/>
      <c r="S735" s="933"/>
      <c r="T735" s="933"/>
      <c r="V735" s="933"/>
      <c r="W735" s="933"/>
      <c r="X735" s="945"/>
      <c r="Y735" s="933"/>
      <c r="Z735" s="933"/>
      <c r="AA735" s="933"/>
      <c r="AB735" s="933"/>
      <c r="AC735" s="933"/>
      <c r="AD735" s="933"/>
      <c r="AE735" s="933"/>
      <c r="AF735" s="933"/>
      <c r="AG735" s="933"/>
    </row>
    <row r="736" spans="1:33" ht="12.75">
      <c r="A736" s="933"/>
      <c r="B736" s="933"/>
      <c r="C736" s="933"/>
      <c r="D736" s="933"/>
      <c r="E736" s="933"/>
      <c r="F736" s="933"/>
      <c r="G736" s="933"/>
      <c r="H736" s="933"/>
      <c r="I736" s="933"/>
      <c r="J736" s="933"/>
      <c r="K736" s="933"/>
      <c r="L736" s="933"/>
      <c r="M736" s="933"/>
      <c r="N736" s="933"/>
      <c r="O736" s="933"/>
      <c r="P736" s="933"/>
      <c r="Q736" s="933"/>
      <c r="R736" s="933"/>
      <c r="S736" s="933"/>
      <c r="T736" s="933"/>
      <c r="V736" s="933"/>
      <c r="W736" s="933"/>
      <c r="X736" s="945"/>
      <c r="Y736" s="933"/>
      <c r="Z736" s="933"/>
      <c r="AA736" s="933"/>
      <c r="AB736" s="933"/>
      <c r="AC736" s="933"/>
      <c r="AD736" s="933"/>
      <c r="AE736" s="933"/>
      <c r="AF736" s="933"/>
      <c r="AG736" s="933"/>
    </row>
    <row r="737" spans="1:33" ht="12.75">
      <c r="A737" s="933"/>
      <c r="B737" s="933"/>
      <c r="C737" s="933"/>
      <c r="D737" s="933"/>
      <c r="E737" s="933"/>
      <c r="F737" s="933"/>
      <c r="G737" s="933"/>
      <c r="H737" s="933"/>
      <c r="I737" s="933"/>
      <c r="J737" s="933"/>
      <c r="K737" s="933"/>
      <c r="L737" s="933"/>
      <c r="M737" s="933"/>
      <c r="N737" s="933"/>
      <c r="O737" s="933"/>
      <c r="P737" s="933"/>
      <c r="Q737" s="933"/>
      <c r="R737" s="933"/>
      <c r="S737" s="933"/>
      <c r="T737" s="933"/>
      <c r="V737" s="933"/>
      <c r="W737" s="933"/>
      <c r="X737" s="945"/>
      <c r="Y737" s="933"/>
      <c r="Z737" s="933"/>
      <c r="AA737" s="933"/>
      <c r="AB737" s="933"/>
      <c r="AC737" s="933"/>
      <c r="AD737" s="933"/>
      <c r="AE737" s="933"/>
      <c r="AF737" s="933"/>
      <c r="AG737" s="933"/>
    </row>
    <row r="738" spans="1:33" ht="12.75">
      <c r="A738" s="933"/>
      <c r="B738" s="933"/>
      <c r="C738" s="933"/>
      <c r="D738" s="933"/>
      <c r="E738" s="933"/>
      <c r="F738" s="933"/>
      <c r="G738" s="933"/>
      <c r="H738" s="933"/>
      <c r="I738" s="933"/>
      <c r="J738" s="933"/>
      <c r="K738" s="933"/>
      <c r="L738" s="933"/>
      <c r="M738" s="933"/>
      <c r="N738" s="933"/>
      <c r="O738" s="933"/>
      <c r="P738" s="933"/>
      <c r="Q738" s="933"/>
      <c r="R738" s="933"/>
      <c r="S738" s="933"/>
      <c r="T738" s="933"/>
      <c r="V738" s="933"/>
      <c r="W738" s="933"/>
      <c r="X738" s="945"/>
      <c r="Y738" s="933"/>
      <c r="Z738" s="933"/>
      <c r="AA738" s="933"/>
      <c r="AB738" s="933"/>
      <c r="AC738" s="933"/>
      <c r="AD738" s="933"/>
      <c r="AE738" s="933"/>
      <c r="AF738" s="933"/>
      <c r="AG738" s="933"/>
    </row>
    <row r="739" spans="1:33" ht="12.75">
      <c r="A739" s="933"/>
      <c r="B739" s="933"/>
      <c r="C739" s="933"/>
      <c r="D739" s="933"/>
      <c r="E739" s="933"/>
      <c r="F739" s="933"/>
      <c r="G739" s="933"/>
      <c r="H739" s="933"/>
      <c r="I739" s="933"/>
      <c r="J739" s="933"/>
      <c r="K739" s="933"/>
      <c r="L739" s="933"/>
      <c r="M739" s="933"/>
      <c r="N739" s="933"/>
      <c r="O739" s="933"/>
      <c r="P739" s="933"/>
      <c r="Q739" s="933"/>
      <c r="R739" s="933"/>
      <c r="S739" s="933"/>
      <c r="T739" s="933"/>
      <c r="V739" s="933"/>
      <c r="W739" s="933"/>
      <c r="X739" s="945"/>
      <c r="Y739" s="933"/>
      <c r="Z739" s="933"/>
      <c r="AA739" s="933"/>
      <c r="AB739" s="933"/>
      <c r="AC739" s="933"/>
      <c r="AD739" s="933"/>
      <c r="AE739" s="933"/>
      <c r="AF739" s="933"/>
      <c r="AG739" s="933"/>
    </row>
    <row r="740" spans="1:33" ht="12.75">
      <c r="A740" s="933"/>
      <c r="B740" s="933"/>
      <c r="C740" s="933"/>
      <c r="D740" s="933"/>
      <c r="E740" s="933"/>
      <c r="F740" s="933"/>
      <c r="G740" s="933"/>
      <c r="H740" s="933"/>
      <c r="I740" s="933"/>
      <c r="J740" s="933"/>
      <c r="K740" s="933"/>
      <c r="L740" s="933"/>
      <c r="M740" s="933"/>
      <c r="N740" s="933"/>
      <c r="O740" s="933"/>
      <c r="P740" s="933"/>
      <c r="Q740" s="933"/>
      <c r="R740" s="933"/>
      <c r="S740" s="933"/>
      <c r="T740" s="933"/>
      <c r="V740" s="933"/>
      <c r="W740" s="933"/>
      <c r="X740" s="945"/>
      <c r="Y740" s="933"/>
      <c r="Z740" s="933"/>
      <c r="AA740" s="933"/>
      <c r="AB740" s="933"/>
      <c r="AC740" s="933"/>
      <c r="AD740" s="933"/>
      <c r="AE740" s="933"/>
      <c r="AF740" s="933"/>
      <c r="AG740" s="933"/>
    </row>
    <row r="741" spans="1:33" ht="12.75">
      <c r="A741" s="933"/>
      <c r="B741" s="933"/>
      <c r="C741" s="933"/>
      <c r="D741" s="933"/>
      <c r="E741" s="933"/>
      <c r="F741" s="933"/>
      <c r="G741" s="933"/>
      <c r="H741" s="933"/>
      <c r="I741" s="933"/>
      <c r="J741" s="933"/>
      <c r="K741" s="933"/>
      <c r="L741" s="933"/>
      <c r="M741" s="933"/>
      <c r="N741" s="933"/>
      <c r="O741" s="933"/>
      <c r="P741" s="933"/>
      <c r="Q741" s="933"/>
      <c r="R741" s="933"/>
      <c r="S741" s="933"/>
      <c r="T741" s="933"/>
      <c r="V741" s="933"/>
      <c r="W741" s="933"/>
      <c r="X741" s="945"/>
      <c r="Y741" s="933"/>
      <c r="Z741" s="933"/>
      <c r="AA741" s="933"/>
      <c r="AB741" s="933"/>
      <c r="AC741" s="933"/>
      <c r="AD741" s="933"/>
      <c r="AE741" s="933"/>
      <c r="AF741" s="933"/>
      <c r="AG741" s="933"/>
    </row>
    <row r="742" spans="1:33" ht="12.75">
      <c r="A742" s="933"/>
      <c r="B742" s="933"/>
      <c r="C742" s="933"/>
      <c r="D742" s="933"/>
      <c r="E742" s="933"/>
      <c r="F742" s="933"/>
      <c r="G742" s="933"/>
      <c r="H742" s="933"/>
      <c r="I742" s="933"/>
      <c r="J742" s="933"/>
      <c r="K742" s="933"/>
      <c r="L742" s="933"/>
      <c r="M742" s="933"/>
      <c r="N742" s="933"/>
      <c r="O742" s="933"/>
      <c r="P742" s="933"/>
      <c r="Q742" s="933"/>
      <c r="R742" s="933"/>
      <c r="S742" s="933"/>
      <c r="T742" s="933"/>
      <c r="V742" s="933"/>
      <c r="W742" s="933"/>
      <c r="X742" s="945"/>
      <c r="Y742" s="933"/>
      <c r="Z742" s="933"/>
      <c r="AA742" s="933"/>
      <c r="AB742" s="933"/>
      <c r="AC742" s="933"/>
      <c r="AD742" s="933"/>
      <c r="AE742" s="933"/>
      <c r="AF742" s="933"/>
      <c r="AG742" s="933"/>
    </row>
    <row r="743" spans="1:33" ht="12.75">
      <c r="A743" s="933"/>
      <c r="B743" s="933"/>
      <c r="C743" s="933"/>
      <c r="D743" s="933"/>
      <c r="E743" s="933"/>
      <c r="F743" s="933"/>
      <c r="G743" s="933"/>
      <c r="H743" s="933"/>
      <c r="I743" s="933"/>
      <c r="J743" s="933"/>
      <c r="K743" s="933"/>
      <c r="L743" s="933"/>
      <c r="M743" s="933"/>
      <c r="N743" s="933"/>
      <c r="O743" s="933"/>
      <c r="P743" s="933"/>
      <c r="Q743" s="933"/>
      <c r="R743" s="933"/>
      <c r="S743" s="933"/>
      <c r="T743" s="933"/>
      <c r="V743" s="933"/>
      <c r="W743" s="933"/>
      <c r="X743" s="945"/>
      <c r="Y743" s="933"/>
      <c r="Z743" s="933"/>
      <c r="AA743" s="933"/>
      <c r="AB743" s="933"/>
      <c r="AC743" s="933"/>
      <c r="AD743" s="933"/>
      <c r="AE743" s="933"/>
      <c r="AF743" s="933"/>
      <c r="AG743" s="933"/>
    </row>
    <row r="744" spans="1:33" ht="12.75">
      <c r="A744" s="933"/>
      <c r="B744" s="933"/>
      <c r="C744" s="933"/>
      <c r="D744" s="933"/>
      <c r="E744" s="933"/>
      <c r="F744" s="933"/>
      <c r="G744" s="933"/>
      <c r="H744" s="933"/>
      <c r="I744" s="933"/>
      <c r="J744" s="933"/>
      <c r="K744" s="933"/>
      <c r="L744" s="933"/>
      <c r="M744" s="933"/>
      <c r="N744" s="933"/>
      <c r="O744" s="933"/>
      <c r="P744" s="933"/>
      <c r="Q744" s="933"/>
      <c r="R744" s="933"/>
      <c r="S744" s="933"/>
      <c r="T744" s="933"/>
      <c r="V744" s="933"/>
      <c r="W744" s="933"/>
      <c r="X744" s="945"/>
      <c r="Y744" s="933"/>
      <c r="Z744" s="933"/>
      <c r="AA744" s="933"/>
      <c r="AB744" s="933"/>
      <c r="AC744" s="933"/>
      <c r="AD744" s="933"/>
      <c r="AE744" s="933"/>
      <c r="AF744" s="933"/>
      <c r="AG744" s="933"/>
    </row>
    <row r="745" spans="1:33" ht="12.75">
      <c r="A745" s="933"/>
      <c r="B745" s="933"/>
      <c r="C745" s="933"/>
      <c r="D745" s="933"/>
      <c r="E745" s="933"/>
      <c r="F745" s="933"/>
      <c r="G745" s="933"/>
      <c r="H745" s="933"/>
      <c r="I745" s="933"/>
      <c r="J745" s="933"/>
      <c r="K745" s="933"/>
      <c r="L745" s="933"/>
      <c r="M745" s="933"/>
      <c r="N745" s="933"/>
      <c r="O745" s="933"/>
      <c r="P745" s="933"/>
      <c r="Q745" s="933"/>
      <c r="R745" s="933"/>
      <c r="S745" s="933"/>
      <c r="T745" s="933"/>
      <c r="V745" s="933"/>
      <c r="W745" s="933"/>
      <c r="X745" s="945"/>
      <c r="Y745" s="933"/>
      <c r="Z745" s="933"/>
      <c r="AA745" s="933"/>
      <c r="AB745" s="933"/>
      <c r="AC745" s="933"/>
      <c r="AD745" s="933"/>
      <c r="AE745" s="933"/>
      <c r="AF745" s="933"/>
      <c r="AG745" s="933"/>
    </row>
    <row r="746" spans="1:33" ht="12.75">
      <c r="A746" s="933"/>
      <c r="B746" s="933"/>
      <c r="C746" s="933"/>
      <c r="D746" s="933"/>
      <c r="E746" s="933"/>
      <c r="F746" s="933"/>
      <c r="G746" s="933"/>
      <c r="H746" s="933"/>
      <c r="I746" s="933"/>
      <c r="J746" s="933"/>
      <c r="K746" s="933"/>
      <c r="L746" s="933"/>
      <c r="M746" s="933"/>
      <c r="N746" s="933"/>
      <c r="O746" s="933"/>
      <c r="P746" s="933"/>
      <c r="Q746" s="933"/>
      <c r="R746" s="933"/>
      <c r="S746" s="933"/>
      <c r="T746" s="933"/>
      <c r="V746" s="933"/>
      <c r="W746" s="933"/>
      <c r="X746" s="945"/>
      <c r="Y746" s="933"/>
      <c r="Z746" s="933"/>
      <c r="AA746" s="933"/>
      <c r="AB746" s="933"/>
      <c r="AC746" s="933"/>
      <c r="AD746" s="933"/>
      <c r="AE746" s="933"/>
      <c r="AF746" s="933"/>
      <c r="AG746" s="933"/>
    </row>
    <row r="747" spans="1:33" ht="12.75">
      <c r="A747" s="933"/>
      <c r="B747" s="933"/>
      <c r="C747" s="933"/>
      <c r="D747" s="933"/>
      <c r="E747" s="933"/>
      <c r="F747" s="933"/>
      <c r="G747" s="933"/>
      <c r="H747" s="933"/>
      <c r="I747" s="933"/>
      <c r="J747" s="933"/>
      <c r="K747" s="933"/>
      <c r="L747" s="933"/>
      <c r="M747" s="933"/>
      <c r="N747" s="933"/>
      <c r="O747" s="933"/>
      <c r="P747" s="933"/>
      <c r="Q747" s="933"/>
      <c r="R747" s="933"/>
      <c r="S747" s="933"/>
      <c r="T747" s="933"/>
      <c r="V747" s="933"/>
      <c r="W747" s="933"/>
      <c r="X747" s="945"/>
      <c r="Y747" s="933"/>
      <c r="Z747" s="933"/>
      <c r="AA747" s="933"/>
      <c r="AB747" s="933"/>
      <c r="AC747" s="933"/>
      <c r="AD747" s="933"/>
      <c r="AE747" s="933"/>
      <c r="AF747" s="933"/>
      <c r="AG747" s="933"/>
    </row>
    <row r="748" spans="1:33" ht="12.75">
      <c r="A748" s="933"/>
      <c r="B748" s="933"/>
      <c r="C748" s="933"/>
      <c r="D748" s="933"/>
      <c r="E748" s="933"/>
      <c r="F748" s="933"/>
      <c r="G748" s="933"/>
      <c r="H748" s="933"/>
      <c r="I748" s="933"/>
      <c r="J748" s="933"/>
      <c r="K748" s="933"/>
      <c r="L748" s="933"/>
      <c r="M748" s="933"/>
      <c r="N748" s="933"/>
      <c r="O748" s="933"/>
      <c r="P748" s="933"/>
      <c r="Q748" s="933"/>
      <c r="R748" s="933"/>
      <c r="S748" s="933"/>
      <c r="T748" s="933"/>
      <c r="V748" s="933"/>
      <c r="W748" s="933"/>
      <c r="X748" s="945"/>
      <c r="Y748" s="933"/>
      <c r="Z748" s="933"/>
      <c r="AA748" s="933"/>
      <c r="AB748" s="933"/>
      <c r="AC748" s="933"/>
      <c r="AD748" s="933"/>
      <c r="AE748" s="933"/>
      <c r="AF748" s="933"/>
      <c r="AG748" s="933"/>
    </row>
    <row r="749" spans="1:33" ht="12.75">
      <c r="A749" s="933"/>
      <c r="B749" s="933"/>
      <c r="C749" s="933"/>
      <c r="D749" s="933"/>
      <c r="E749" s="933"/>
      <c r="F749" s="933"/>
      <c r="G749" s="933"/>
      <c r="H749" s="933"/>
      <c r="I749" s="933"/>
      <c r="J749" s="933"/>
      <c r="K749" s="933"/>
      <c r="L749" s="933"/>
      <c r="M749" s="933"/>
      <c r="N749" s="933"/>
      <c r="O749" s="933"/>
      <c r="P749" s="933"/>
      <c r="Q749" s="933"/>
      <c r="R749" s="933"/>
      <c r="S749" s="933"/>
      <c r="T749" s="933"/>
      <c r="V749" s="933"/>
      <c r="W749" s="933"/>
      <c r="X749" s="945"/>
      <c r="Y749" s="933"/>
      <c r="Z749" s="933"/>
      <c r="AA749" s="933"/>
      <c r="AB749" s="933"/>
      <c r="AC749" s="933"/>
      <c r="AD749" s="933"/>
      <c r="AE749" s="933"/>
      <c r="AF749" s="933"/>
      <c r="AG749" s="933"/>
    </row>
    <row r="750" spans="1:33" ht="12.75">
      <c r="A750" s="933"/>
      <c r="B750" s="933"/>
      <c r="C750" s="933"/>
      <c r="D750" s="933"/>
      <c r="E750" s="933"/>
      <c r="F750" s="933"/>
      <c r="G750" s="933"/>
      <c r="H750" s="933"/>
      <c r="I750" s="933"/>
      <c r="J750" s="933"/>
      <c r="K750" s="933"/>
      <c r="L750" s="933"/>
      <c r="M750" s="933"/>
      <c r="N750" s="933"/>
      <c r="O750" s="933"/>
      <c r="P750" s="933"/>
      <c r="Q750" s="933"/>
      <c r="R750" s="933"/>
      <c r="S750" s="933"/>
      <c r="T750" s="933"/>
      <c r="V750" s="933"/>
      <c r="W750" s="933"/>
      <c r="X750" s="945"/>
      <c r="Y750" s="933"/>
      <c r="Z750" s="933"/>
      <c r="AA750" s="933"/>
      <c r="AB750" s="933"/>
      <c r="AC750" s="933"/>
      <c r="AD750" s="933"/>
      <c r="AE750" s="933"/>
      <c r="AF750" s="933"/>
      <c r="AG750" s="933"/>
    </row>
    <row r="751" spans="1:33" ht="12.75">
      <c r="A751" s="933"/>
      <c r="B751" s="933"/>
      <c r="C751" s="933"/>
      <c r="D751" s="933"/>
      <c r="E751" s="933"/>
      <c r="F751" s="933"/>
      <c r="G751" s="933"/>
      <c r="H751" s="933"/>
      <c r="I751" s="933"/>
      <c r="J751" s="933"/>
      <c r="K751" s="933"/>
      <c r="L751" s="933"/>
      <c r="M751" s="933"/>
      <c r="N751" s="933"/>
      <c r="O751" s="933"/>
      <c r="P751" s="933"/>
      <c r="Q751" s="933"/>
      <c r="R751" s="933"/>
      <c r="S751" s="933"/>
      <c r="T751" s="933"/>
      <c r="V751" s="933"/>
      <c r="W751" s="933"/>
      <c r="X751" s="945"/>
      <c r="Y751" s="933"/>
      <c r="Z751" s="933"/>
      <c r="AA751" s="933"/>
      <c r="AB751" s="933"/>
      <c r="AC751" s="933"/>
      <c r="AD751" s="933"/>
      <c r="AE751" s="933"/>
      <c r="AF751" s="933"/>
      <c r="AG751" s="933"/>
    </row>
    <row r="752" spans="1:33" ht="12.75">
      <c r="A752" s="933"/>
      <c r="B752" s="933"/>
      <c r="C752" s="933"/>
      <c r="D752" s="933"/>
      <c r="E752" s="933"/>
      <c r="F752" s="933"/>
      <c r="G752" s="933"/>
      <c r="H752" s="933"/>
      <c r="I752" s="933"/>
      <c r="J752" s="933"/>
      <c r="K752" s="933"/>
      <c r="L752" s="933"/>
      <c r="M752" s="933"/>
      <c r="N752" s="933"/>
      <c r="O752" s="933"/>
      <c r="P752" s="933"/>
      <c r="Q752" s="933"/>
      <c r="R752" s="933"/>
      <c r="S752" s="933"/>
      <c r="T752" s="933"/>
      <c r="V752" s="933"/>
      <c r="W752" s="933"/>
      <c r="X752" s="945"/>
      <c r="Y752" s="933"/>
      <c r="Z752" s="933"/>
      <c r="AA752" s="933"/>
      <c r="AB752" s="933"/>
      <c r="AC752" s="933"/>
      <c r="AD752" s="933"/>
      <c r="AE752" s="933"/>
      <c r="AF752" s="933"/>
      <c r="AG752" s="933"/>
    </row>
    <row r="753" spans="1:33" ht="12.75">
      <c r="A753" s="933"/>
      <c r="B753" s="933"/>
      <c r="C753" s="933"/>
      <c r="D753" s="933"/>
      <c r="E753" s="933"/>
      <c r="F753" s="933"/>
      <c r="G753" s="933"/>
      <c r="H753" s="933"/>
      <c r="I753" s="933"/>
      <c r="J753" s="933"/>
      <c r="K753" s="933"/>
      <c r="L753" s="933"/>
      <c r="M753" s="933"/>
      <c r="N753" s="933"/>
      <c r="O753" s="933"/>
      <c r="P753" s="933"/>
      <c r="Q753" s="933"/>
      <c r="R753" s="933"/>
      <c r="S753" s="933"/>
      <c r="T753" s="933"/>
      <c r="V753" s="933"/>
      <c r="W753" s="933"/>
      <c r="X753" s="945"/>
      <c r="Y753" s="933"/>
      <c r="Z753" s="933"/>
      <c r="AA753" s="933"/>
      <c r="AB753" s="933"/>
      <c r="AC753" s="933"/>
      <c r="AD753" s="933"/>
      <c r="AE753" s="933"/>
      <c r="AF753" s="933"/>
      <c r="AG753" s="933"/>
    </row>
    <row r="754" spans="1:33" ht="12.75">
      <c r="A754" s="933"/>
      <c r="B754" s="933"/>
      <c r="C754" s="933"/>
      <c r="D754" s="933"/>
      <c r="E754" s="933"/>
      <c r="F754" s="933"/>
      <c r="G754" s="933"/>
      <c r="H754" s="933"/>
      <c r="I754" s="933"/>
      <c r="J754" s="933"/>
      <c r="K754" s="933"/>
      <c r="L754" s="933"/>
      <c r="M754" s="933"/>
      <c r="N754" s="933"/>
      <c r="O754" s="933"/>
      <c r="P754" s="933"/>
      <c r="Q754" s="933"/>
      <c r="R754" s="933"/>
      <c r="S754" s="933"/>
      <c r="T754" s="933"/>
      <c r="V754" s="933"/>
      <c r="W754" s="933"/>
      <c r="X754" s="945"/>
      <c r="Y754" s="933"/>
      <c r="Z754" s="933"/>
      <c r="AA754" s="933"/>
      <c r="AB754" s="933"/>
      <c r="AC754" s="933"/>
      <c r="AD754" s="933"/>
      <c r="AE754" s="933"/>
      <c r="AF754" s="933"/>
      <c r="AG754" s="933"/>
    </row>
    <row r="755" spans="1:33" ht="12.75">
      <c r="A755" s="933"/>
      <c r="B755" s="933"/>
      <c r="C755" s="933"/>
      <c r="D755" s="933"/>
      <c r="E755" s="933"/>
      <c r="F755" s="933"/>
      <c r="G755" s="933"/>
      <c r="H755" s="933"/>
      <c r="I755" s="933"/>
      <c r="J755" s="933"/>
      <c r="K755" s="933"/>
      <c r="L755" s="933"/>
      <c r="M755" s="933"/>
      <c r="N755" s="933"/>
      <c r="O755" s="933"/>
      <c r="P755" s="933"/>
      <c r="Q755" s="933"/>
      <c r="R755" s="933"/>
      <c r="S755" s="933"/>
      <c r="T755" s="933"/>
      <c r="V755" s="933"/>
      <c r="W755" s="933"/>
      <c r="X755" s="945"/>
      <c r="Y755" s="933"/>
      <c r="Z755" s="933"/>
      <c r="AA755" s="933"/>
      <c r="AB755" s="933"/>
      <c r="AC755" s="933"/>
      <c r="AD755" s="933"/>
      <c r="AE755" s="933"/>
      <c r="AF755" s="933"/>
      <c r="AG755" s="933"/>
    </row>
    <row r="756" spans="1:33" ht="12.75">
      <c r="A756" s="933"/>
      <c r="B756" s="933"/>
      <c r="C756" s="933"/>
      <c r="D756" s="933"/>
      <c r="E756" s="933"/>
      <c r="F756" s="933"/>
      <c r="G756" s="933"/>
      <c r="H756" s="933"/>
      <c r="I756" s="933"/>
      <c r="J756" s="933"/>
      <c r="K756" s="933"/>
      <c r="L756" s="933"/>
      <c r="M756" s="933"/>
      <c r="N756" s="933"/>
      <c r="O756" s="933"/>
      <c r="P756" s="933"/>
      <c r="Q756" s="933"/>
      <c r="R756" s="933"/>
      <c r="S756" s="933"/>
      <c r="T756" s="933"/>
      <c r="V756" s="933"/>
      <c r="W756" s="933"/>
      <c r="X756" s="945"/>
      <c r="Y756" s="933"/>
      <c r="Z756" s="933"/>
      <c r="AA756" s="933"/>
      <c r="AB756" s="933"/>
      <c r="AC756" s="933"/>
      <c r="AD756" s="933"/>
      <c r="AE756" s="933"/>
      <c r="AF756" s="933"/>
      <c r="AG756" s="933"/>
    </row>
    <row r="757" spans="1:33" ht="12.75">
      <c r="A757" s="933"/>
      <c r="B757" s="933"/>
      <c r="C757" s="933"/>
      <c r="D757" s="933"/>
      <c r="E757" s="933"/>
      <c r="F757" s="933"/>
      <c r="G757" s="933"/>
      <c r="H757" s="933"/>
      <c r="I757" s="933"/>
      <c r="J757" s="933"/>
      <c r="K757" s="933"/>
      <c r="L757" s="933"/>
      <c r="M757" s="933"/>
      <c r="N757" s="933"/>
      <c r="O757" s="933"/>
      <c r="P757" s="933"/>
      <c r="Q757" s="933"/>
      <c r="R757" s="933"/>
      <c r="S757" s="933"/>
      <c r="T757" s="933"/>
      <c r="V757" s="933"/>
      <c r="W757" s="933"/>
      <c r="X757" s="945"/>
      <c r="Y757" s="933"/>
      <c r="Z757" s="933"/>
      <c r="AA757" s="933"/>
      <c r="AB757" s="933"/>
      <c r="AC757" s="933"/>
      <c r="AD757" s="933"/>
      <c r="AE757" s="933"/>
      <c r="AF757" s="933"/>
      <c r="AG757" s="933"/>
    </row>
    <row r="758" spans="1:33" ht="12.75">
      <c r="A758" s="933"/>
      <c r="B758" s="933"/>
      <c r="C758" s="933"/>
      <c r="D758" s="933"/>
      <c r="E758" s="933"/>
      <c r="F758" s="933"/>
      <c r="G758" s="933"/>
      <c r="H758" s="933"/>
      <c r="I758" s="933"/>
      <c r="J758" s="933"/>
      <c r="K758" s="933"/>
      <c r="L758" s="933"/>
      <c r="M758" s="933"/>
      <c r="N758" s="933"/>
      <c r="O758" s="933"/>
      <c r="P758" s="933"/>
      <c r="Q758" s="933"/>
      <c r="R758" s="933"/>
      <c r="S758" s="933"/>
      <c r="T758" s="933"/>
      <c r="V758" s="933"/>
      <c r="W758" s="933"/>
      <c r="X758" s="945"/>
      <c r="Y758" s="933"/>
      <c r="Z758" s="933"/>
      <c r="AA758" s="933"/>
      <c r="AB758" s="933"/>
      <c r="AC758" s="933"/>
      <c r="AD758" s="933"/>
      <c r="AE758" s="933"/>
      <c r="AF758" s="933"/>
      <c r="AG758" s="933"/>
    </row>
    <row r="759" spans="1:33" ht="12.75">
      <c r="A759" s="933"/>
      <c r="B759" s="933"/>
      <c r="C759" s="933"/>
      <c r="D759" s="933"/>
      <c r="E759" s="933"/>
      <c r="F759" s="933"/>
      <c r="G759" s="933"/>
      <c r="H759" s="933"/>
      <c r="I759" s="933"/>
      <c r="J759" s="933"/>
      <c r="K759" s="933"/>
      <c r="L759" s="933"/>
      <c r="M759" s="933"/>
      <c r="N759" s="933"/>
      <c r="O759" s="933"/>
      <c r="P759" s="933"/>
      <c r="Q759" s="933"/>
      <c r="R759" s="933"/>
      <c r="S759" s="933"/>
      <c r="T759" s="933"/>
      <c r="V759" s="933"/>
      <c r="W759" s="933"/>
      <c r="X759" s="945"/>
      <c r="Y759" s="933"/>
      <c r="Z759" s="933"/>
      <c r="AA759" s="933"/>
      <c r="AB759" s="933"/>
      <c r="AC759" s="933"/>
      <c r="AD759" s="933"/>
      <c r="AE759" s="933"/>
      <c r="AF759" s="933"/>
      <c r="AG759" s="933"/>
    </row>
    <row r="760" spans="1:33" ht="12.75">
      <c r="A760" s="933"/>
      <c r="B760" s="933"/>
      <c r="C760" s="933"/>
      <c r="D760" s="933"/>
      <c r="E760" s="933"/>
      <c r="F760" s="933"/>
      <c r="G760" s="933"/>
      <c r="H760" s="933"/>
      <c r="I760" s="933"/>
      <c r="J760" s="933"/>
      <c r="K760" s="933"/>
      <c r="L760" s="933"/>
      <c r="M760" s="933"/>
      <c r="N760" s="933"/>
      <c r="O760" s="933"/>
      <c r="P760" s="933"/>
      <c r="Q760" s="933"/>
      <c r="R760" s="933"/>
      <c r="S760" s="933"/>
      <c r="T760" s="933"/>
      <c r="V760" s="933"/>
      <c r="W760" s="933"/>
      <c r="X760" s="945"/>
      <c r="Y760" s="933"/>
      <c r="Z760" s="933"/>
      <c r="AA760" s="933"/>
      <c r="AB760" s="933"/>
      <c r="AC760" s="933"/>
      <c r="AD760" s="933"/>
      <c r="AE760" s="933"/>
      <c r="AF760" s="933"/>
      <c r="AG760" s="933"/>
    </row>
    <row r="761" spans="1:33" ht="12.75">
      <c r="A761" s="933"/>
      <c r="B761" s="933"/>
      <c r="C761" s="933"/>
      <c r="D761" s="933"/>
      <c r="E761" s="933"/>
      <c r="F761" s="933"/>
      <c r="G761" s="933"/>
      <c r="H761" s="933"/>
      <c r="I761" s="933"/>
      <c r="J761" s="933"/>
      <c r="K761" s="933"/>
      <c r="L761" s="933"/>
      <c r="M761" s="933"/>
      <c r="N761" s="933"/>
      <c r="O761" s="933"/>
      <c r="P761" s="933"/>
      <c r="Q761" s="933"/>
      <c r="R761" s="933"/>
      <c r="S761" s="933"/>
      <c r="T761" s="933"/>
      <c r="V761" s="933"/>
      <c r="W761" s="933"/>
      <c r="X761" s="945"/>
      <c r="Y761" s="933"/>
      <c r="Z761" s="933"/>
      <c r="AA761" s="933"/>
      <c r="AB761" s="933"/>
      <c r="AC761" s="933"/>
      <c r="AD761" s="933"/>
      <c r="AE761" s="933"/>
      <c r="AF761" s="933"/>
      <c r="AG761" s="933"/>
    </row>
    <row r="762" spans="1:33" ht="12.75">
      <c r="A762" s="933"/>
      <c r="B762" s="933"/>
      <c r="C762" s="933"/>
      <c r="D762" s="933"/>
      <c r="E762" s="933"/>
      <c r="F762" s="933"/>
      <c r="G762" s="933"/>
      <c r="H762" s="933"/>
      <c r="I762" s="933"/>
      <c r="J762" s="933"/>
      <c r="K762" s="933"/>
      <c r="L762" s="933"/>
      <c r="M762" s="933"/>
      <c r="N762" s="933"/>
      <c r="O762" s="933"/>
      <c r="P762" s="933"/>
      <c r="Q762" s="933"/>
      <c r="R762" s="933"/>
      <c r="S762" s="933"/>
      <c r="T762" s="933"/>
      <c r="V762" s="933"/>
      <c r="W762" s="933"/>
      <c r="X762" s="945"/>
      <c r="Y762" s="933"/>
      <c r="Z762" s="933"/>
      <c r="AA762" s="933"/>
      <c r="AB762" s="933"/>
      <c r="AC762" s="933"/>
      <c r="AD762" s="933"/>
      <c r="AE762" s="933"/>
      <c r="AF762" s="933"/>
      <c r="AG762" s="933"/>
    </row>
    <row r="763" spans="1:33" ht="12.75">
      <c r="A763" s="933"/>
      <c r="B763" s="933"/>
      <c r="C763" s="933"/>
      <c r="D763" s="933"/>
      <c r="E763" s="933"/>
      <c r="F763" s="933"/>
      <c r="G763" s="933"/>
      <c r="H763" s="933"/>
      <c r="I763" s="933"/>
      <c r="J763" s="933"/>
      <c r="K763" s="933"/>
      <c r="L763" s="933"/>
      <c r="M763" s="933"/>
      <c r="N763" s="933"/>
      <c r="O763" s="933"/>
      <c r="P763" s="933"/>
      <c r="Q763" s="933"/>
      <c r="R763" s="933"/>
      <c r="S763" s="933"/>
      <c r="T763" s="933"/>
      <c r="V763" s="933"/>
      <c r="W763" s="933"/>
      <c r="X763" s="945"/>
      <c r="Y763" s="933"/>
      <c r="Z763" s="933"/>
      <c r="AA763" s="933"/>
      <c r="AB763" s="933"/>
      <c r="AC763" s="933"/>
      <c r="AD763" s="933"/>
      <c r="AE763" s="933"/>
      <c r="AF763" s="933"/>
      <c r="AG763" s="933"/>
    </row>
    <row r="764" spans="1:33" ht="12.75">
      <c r="A764" s="933"/>
      <c r="B764" s="933"/>
      <c r="C764" s="933"/>
      <c r="D764" s="933"/>
      <c r="E764" s="933"/>
      <c r="F764" s="933"/>
      <c r="G764" s="933"/>
      <c r="H764" s="933"/>
      <c r="I764" s="933"/>
      <c r="J764" s="933"/>
      <c r="K764" s="933"/>
      <c r="L764" s="933"/>
      <c r="M764" s="933"/>
      <c r="N764" s="933"/>
      <c r="O764" s="933"/>
      <c r="P764" s="933"/>
      <c r="Q764" s="933"/>
      <c r="R764" s="933"/>
      <c r="S764" s="933"/>
      <c r="T764" s="933"/>
      <c r="V764" s="933"/>
      <c r="W764" s="933"/>
      <c r="X764" s="945"/>
      <c r="Y764" s="933"/>
      <c r="Z764" s="933"/>
      <c r="AA764" s="933"/>
      <c r="AB764" s="933"/>
      <c r="AC764" s="933"/>
      <c r="AD764" s="933"/>
      <c r="AE764" s="933"/>
      <c r="AF764" s="933"/>
      <c r="AG764" s="933"/>
    </row>
    <row r="765" spans="1:33" ht="12.75">
      <c r="A765" s="933"/>
      <c r="B765" s="933"/>
      <c r="C765" s="933"/>
      <c r="D765" s="933"/>
      <c r="E765" s="933"/>
      <c r="F765" s="933"/>
      <c r="G765" s="933"/>
      <c r="H765" s="933"/>
      <c r="I765" s="933"/>
      <c r="J765" s="933"/>
      <c r="K765" s="933"/>
      <c r="L765" s="933"/>
      <c r="M765" s="933"/>
      <c r="N765" s="933"/>
      <c r="O765" s="933"/>
      <c r="P765" s="933"/>
      <c r="Q765" s="933"/>
      <c r="R765" s="933"/>
      <c r="S765" s="933"/>
      <c r="T765" s="933"/>
      <c r="V765" s="933"/>
      <c r="W765" s="933"/>
      <c r="X765" s="945"/>
      <c r="Y765" s="933"/>
      <c r="Z765" s="933"/>
      <c r="AA765" s="933"/>
      <c r="AB765" s="933"/>
      <c r="AC765" s="933"/>
      <c r="AD765" s="933"/>
      <c r="AE765" s="933"/>
      <c r="AF765" s="933"/>
      <c r="AG765" s="933"/>
    </row>
    <row r="766" spans="1:33" ht="12.75">
      <c r="A766" s="933"/>
      <c r="B766" s="933"/>
      <c r="C766" s="933"/>
      <c r="D766" s="933"/>
      <c r="E766" s="933"/>
      <c r="F766" s="933"/>
      <c r="G766" s="933"/>
      <c r="H766" s="933"/>
      <c r="I766" s="933"/>
      <c r="J766" s="933"/>
      <c r="K766" s="933"/>
      <c r="L766" s="933"/>
      <c r="M766" s="933"/>
      <c r="N766" s="933"/>
      <c r="O766" s="933"/>
      <c r="P766" s="933"/>
      <c r="Q766" s="933"/>
      <c r="R766" s="933"/>
      <c r="S766" s="933"/>
      <c r="T766" s="933"/>
      <c r="V766" s="933"/>
      <c r="W766" s="933"/>
      <c r="X766" s="945"/>
      <c r="Y766" s="933"/>
      <c r="Z766" s="933"/>
      <c r="AA766" s="933"/>
      <c r="AB766" s="933"/>
      <c r="AC766" s="933"/>
      <c r="AD766" s="933"/>
      <c r="AE766" s="933"/>
      <c r="AF766" s="933"/>
      <c r="AG766" s="933"/>
    </row>
    <row r="767" spans="1:33" ht="12.75">
      <c r="A767" s="933"/>
      <c r="B767" s="933"/>
      <c r="C767" s="933"/>
      <c r="D767" s="933"/>
      <c r="E767" s="933"/>
      <c r="F767" s="933"/>
      <c r="G767" s="933"/>
      <c r="H767" s="933"/>
      <c r="I767" s="933"/>
      <c r="J767" s="933"/>
      <c r="K767" s="933"/>
      <c r="L767" s="933"/>
      <c r="M767" s="933"/>
      <c r="N767" s="933"/>
      <c r="O767" s="933"/>
      <c r="P767" s="933"/>
      <c r="Q767" s="933"/>
      <c r="R767" s="933"/>
      <c r="S767" s="933"/>
      <c r="T767" s="933"/>
      <c r="V767" s="933"/>
      <c r="W767" s="933"/>
      <c r="X767" s="945"/>
      <c r="Y767" s="933"/>
      <c r="Z767" s="933"/>
      <c r="AA767" s="933"/>
      <c r="AB767" s="933"/>
      <c r="AC767" s="933"/>
      <c r="AD767" s="933"/>
      <c r="AE767" s="933"/>
      <c r="AF767" s="933"/>
      <c r="AG767" s="933"/>
    </row>
    <row r="768" spans="1:33" ht="12.75">
      <c r="A768" s="933"/>
      <c r="B768" s="933"/>
      <c r="C768" s="933"/>
      <c r="D768" s="933"/>
      <c r="E768" s="933"/>
      <c r="F768" s="933"/>
      <c r="G768" s="933"/>
      <c r="H768" s="933"/>
      <c r="I768" s="933"/>
      <c r="J768" s="933"/>
      <c r="K768" s="933"/>
      <c r="L768" s="933"/>
      <c r="M768" s="933"/>
      <c r="N768" s="933"/>
      <c r="O768" s="933"/>
      <c r="P768" s="933"/>
      <c r="Q768" s="933"/>
      <c r="R768" s="933"/>
      <c r="S768" s="933"/>
      <c r="T768" s="933"/>
      <c r="V768" s="933"/>
      <c r="W768" s="933"/>
      <c r="X768" s="945"/>
      <c r="Y768" s="933"/>
      <c r="Z768" s="933"/>
      <c r="AA768" s="933"/>
      <c r="AB768" s="933"/>
      <c r="AC768" s="933"/>
      <c r="AD768" s="933"/>
      <c r="AE768" s="933"/>
      <c r="AF768" s="933"/>
      <c r="AG768" s="933"/>
    </row>
    <row r="769" spans="1:33" ht="12.75">
      <c r="A769" s="933"/>
      <c r="B769" s="933"/>
      <c r="C769" s="933"/>
      <c r="D769" s="933"/>
      <c r="E769" s="933"/>
      <c r="F769" s="933"/>
      <c r="G769" s="933"/>
      <c r="H769" s="933"/>
      <c r="I769" s="933"/>
      <c r="J769" s="933"/>
      <c r="K769" s="933"/>
      <c r="L769" s="933"/>
      <c r="M769" s="933"/>
      <c r="N769" s="933"/>
      <c r="O769" s="933"/>
      <c r="P769" s="933"/>
      <c r="Q769" s="933"/>
      <c r="R769" s="933"/>
      <c r="S769" s="933"/>
      <c r="T769" s="933"/>
      <c r="V769" s="933"/>
      <c r="W769" s="933"/>
      <c r="X769" s="945"/>
      <c r="Y769" s="933"/>
      <c r="Z769" s="933"/>
      <c r="AA769" s="933"/>
      <c r="AB769" s="933"/>
      <c r="AC769" s="933"/>
      <c r="AD769" s="933"/>
      <c r="AE769" s="933"/>
      <c r="AF769" s="933"/>
      <c r="AG769" s="933"/>
    </row>
    <row r="770" spans="1:33" ht="12.75">
      <c r="A770" s="933"/>
      <c r="B770" s="933"/>
      <c r="C770" s="933"/>
      <c r="D770" s="933"/>
      <c r="E770" s="933"/>
      <c r="F770" s="933"/>
      <c r="G770" s="933"/>
      <c r="H770" s="933"/>
      <c r="I770" s="933"/>
      <c r="J770" s="933"/>
      <c r="K770" s="933"/>
      <c r="L770" s="933"/>
      <c r="M770" s="933"/>
      <c r="N770" s="933"/>
      <c r="O770" s="933"/>
      <c r="P770" s="933"/>
      <c r="Q770" s="933"/>
      <c r="R770" s="933"/>
      <c r="S770" s="933"/>
      <c r="T770" s="933"/>
      <c r="V770" s="933"/>
      <c r="W770" s="933"/>
      <c r="X770" s="945"/>
      <c r="Y770" s="933"/>
      <c r="Z770" s="933"/>
      <c r="AA770" s="933"/>
      <c r="AB770" s="933"/>
      <c r="AC770" s="933"/>
      <c r="AD770" s="933"/>
      <c r="AE770" s="933"/>
      <c r="AF770" s="933"/>
      <c r="AG770" s="933"/>
    </row>
    <row r="771" spans="1:33" ht="12.75">
      <c r="A771" s="933"/>
      <c r="B771" s="933"/>
      <c r="C771" s="933"/>
      <c r="D771" s="933"/>
      <c r="E771" s="933"/>
      <c r="F771" s="933"/>
      <c r="G771" s="933"/>
      <c r="H771" s="933"/>
      <c r="I771" s="933"/>
      <c r="J771" s="933"/>
      <c r="K771" s="933"/>
      <c r="L771" s="933"/>
      <c r="M771" s="933"/>
      <c r="N771" s="933"/>
      <c r="O771" s="933"/>
      <c r="P771" s="933"/>
      <c r="Q771" s="933"/>
      <c r="R771" s="933"/>
      <c r="S771" s="933"/>
      <c r="T771" s="933"/>
      <c r="V771" s="933"/>
      <c r="W771" s="933"/>
      <c r="X771" s="945"/>
      <c r="Y771" s="933"/>
      <c r="Z771" s="933"/>
      <c r="AA771" s="933"/>
      <c r="AB771" s="933"/>
      <c r="AC771" s="933"/>
      <c r="AD771" s="933"/>
      <c r="AE771" s="933"/>
      <c r="AF771" s="933"/>
      <c r="AG771" s="933"/>
    </row>
    <row r="772" spans="1:33" ht="12.75">
      <c r="A772" s="933"/>
      <c r="B772" s="933"/>
      <c r="C772" s="933"/>
      <c r="D772" s="933"/>
      <c r="E772" s="933"/>
      <c r="F772" s="933"/>
      <c r="G772" s="933"/>
      <c r="H772" s="933"/>
      <c r="I772" s="933"/>
      <c r="J772" s="933"/>
      <c r="K772" s="933"/>
      <c r="L772" s="933"/>
      <c r="M772" s="933"/>
      <c r="N772" s="933"/>
      <c r="O772" s="933"/>
      <c r="P772" s="933"/>
      <c r="Q772" s="933"/>
      <c r="R772" s="933"/>
      <c r="S772" s="933"/>
      <c r="T772" s="933"/>
      <c r="V772" s="933"/>
      <c r="W772" s="933"/>
      <c r="X772" s="945"/>
      <c r="Y772" s="933"/>
      <c r="Z772" s="933"/>
      <c r="AA772" s="933"/>
      <c r="AB772" s="933"/>
      <c r="AC772" s="933"/>
      <c r="AD772" s="933"/>
      <c r="AE772" s="933"/>
      <c r="AF772" s="933"/>
      <c r="AG772" s="933"/>
    </row>
    <row r="773" spans="1:33" ht="12.75">
      <c r="A773" s="933"/>
      <c r="B773" s="933"/>
      <c r="C773" s="933"/>
      <c r="D773" s="933"/>
      <c r="E773" s="933"/>
      <c r="F773" s="933"/>
      <c r="G773" s="933"/>
      <c r="H773" s="933"/>
      <c r="I773" s="933"/>
      <c r="J773" s="933"/>
      <c r="K773" s="933"/>
      <c r="L773" s="933"/>
      <c r="M773" s="933"/>
      <c r="N773" s="933"/>
      <c r="O773" s="933"/>
      <c r="P773" s="933"/>
      <c r="Q773" s="933"/>
      <c r="R773" s="933"/>
      <c r="S773" s="933"/>
      <c r="T773" s="933"/>
      <c r="V773" s="933"/>
      <c r="W773" s="933"/>
      <c r="X773" s="945"/>
      <c r="Y773" s="933"/>
      <c r="Z773" s="933"/>
      <c r="AA773" s="933"/>
      <c r="AB773" s="933"/>
      <c r="AC773" s="933"/>
      <c r="AD773" s="933"/>
      <c r="AE773" s="933"/>
      <c r="AF773" s="933"/>
      <c r="AG773" s="933"/>
    </row>
    <row r="774" spans="1:33" ht="12.75">
      <c r="A774" s="933"/>
      <c r="B774" s="933"/>
      <c r="C774" s="933"/>
      <c r="D774" s="933"/>
      <c r="E774" s="933"/>
      <c r="F774" s="933"/>
      <c r="G774" s="933"/>
      <c r="H774" s="933"/>
      <c r="I774" s="933"/>
      <c r="J774" s="933"/>
      <c r="K774" s="933"/>
      <c r="L774" s="933"/>
      <c r="M774" s="933"/>
      <c r="N774" s="933"/>
      <c r="O774" s="933"/>
      <c r="P774" s="933"/>
      <c r="Q774" s="933"/>
      <c r="R774" s="933"/>
      <c r="S774" s="933"/>
      <c r="T774" s="933"/>
      <c r="V774" s="933"/>
      <c r="W774" s="933"/>
      <c r="X774" s="945"/>
      <c r="Y774" s="933"/>
      <c r="Z774" s="933"/>
      <c r="AA774" s="933"/>
      <c r="AB774" s="933"/>
      <c r="AC774" s="933"/>
      <c r="AD774" s="933"/>
      <c r="AE774" s="933"/>
      <c r="AF774" s="933"/>
      <c r="AG774" s="933"/>
    </row>
    <row r="775" spans="1:33" ht="12.75">
      <c r="A775" s="933"/>
      <c r="B775" s="933"/>
      <c r="C775" s="933"/>
      <c r="D775" s="933"/>
      <c r="E775" s="933"/>
      <c r="F775" s="933"/>
      <c r="G775" s="933"/>
      <c r="H775" s="933"/>
      <c r="I775" s="933"/>
      <c r="J775" s="933"/>
      <c r="K775" s="933"/>
      <c r="L775" s="933"/>
      <c r="M775" s="933"/>
      <c r="N775" s="933"/>
      <c r="O775" s="933"/>
      <c r="P775" s="933"/>
      <c r="Q775" s="933"/>
      <c r="R775" s="933"/>
      <c r="S775" s="933"/>
      <c r="T775" s="933"/>
      <c r="V775" s="933"/>
      <c r="W775" s="933"/>
      <c r="X775" s="945"/>
      <c r="Y775" s="933"/>
      <c r="Z775" s="933"/>
      <c r="AA775" s="933"/>
      <c r="AB775" s="933"/>
      <c r="AC775" s="933"/>
      <c r="AD775" s="933"/>
      <c r="AE775" s="933"/>
      <c r="AF775" s="933"/>
      <c r="AG775" s="933"/>
    </row>
    <row r="776" spans="1:33" ht="12.75">
      <c r="A776" s="933"/>
      <c r="B776" s="933"/>
      <c r="C776" s="933"/>
      <c r="D776" s="933"/>
      <c r="E776" s="933"/>
      <c r="F776" s="933"/>
      <c r="G776" s="933"/>
      <c r="H776" s="933"/>
      <c r="I776" s="933"/>
      <c r="J776" s="933"/>
      <c r="K776" s="933"/>
      <c r="L776" s="933"/>
      <c r="M776" s="933"/>
      <c r="N776" s="933"/>
      <c r="O776" s="933"/>
      <c r="P776" s="933"/>
      <c r="Q776" s="933"/>
      <c r="R776" s="933"/>
      <c r="S776" s="933"/>
      <c r="T776" s="933"/>
      <c r="V776" s="933"/>
      <c r="W776" s="933"/>
      <c r="X776" s="945"/>
      <c r="Y776" s="933"/>
      <c r="Z776" s="933"/>
      <c r="AA776" s="933"/>
      <c r="AB776" s="933"/>
      <c r="AC776" s="933"/>
      <c r="AD776" s="933"/>
      <c r="AE776" s="933"/>
      <c r="AF776" s="933"/>
      <c r="AG776" s="933"/>
    </row>
    <row r="777" spans="1:33" ht="12.75">
      <c r="A777" s="933"/>
      <c r="B777" s="933"/>
      <c r="C777" s="933"/>
      <c r="D777" s="933"/>
      <c r="E777" s="933"/>
      <c r="F777" s="933"/>
      <c r="G777" s="933"/>
      <c r="H777" s="933"/>
      <c r="I777" s="933"/>
      <c r="J777" s="933"/>
      <c r="K777" s="933"/>
      <c r="L777" s="933"/>
      <c r="M777" s="933"/>
      <c r="N777" s="933"/>
      <c r="O777" s="933"/>
      <c r="P777" s="933"/>
      <c r="Q777" s="933"/>
      <c r="R777" s="933"/>
      <c r="S777" s="933"/>
      <c r="T777" s="933"/>
      <c r="V777" s="933"/>
      <c r="W777" s="933"/>
      <c r="X777" s="945"/>
      <c r="Y777" s="933"/>
      <c r="Z777" s="933"/>
      <c r="AA777" s="933"/>
      <c r="AB777" s="933"/>
      <c r="AC777" s="933"/>
      <c r="AD777" s="933"/>
      <c r="AE777" s="933"/>
      <c r="AF777" s="933"/>
      <c r="AG777" s="933"/>
    </row>
    <row r="778" spans="1:33" ht="12.75">
      <c r="A778" s="933"/>
      <c r="B778" s="933"/>
      <c r="C778" s="933"/>
      <c r="D778" s="933"/>
      <c r="E778" s="933"/>
      <c r="F778" s="933"/>
      <c r="G778" s="933"/>
      <c r="H778" s="933"/>
      <c r="I778" s="933"/>
      <c r="J778" s="933"/>
      <c r="K778" s="933"/>
      <c r="L778" s="933"/>
      <c r="M778" s="933"/>
      <c r="N778" s="933"/>
      <c r="O778" s="933"/>
      <c r="P778" s="933"/>
      <c r="Q778" s="933"/>
      <c r="R778" s="933"/>
      <c r="S778" s="933"/>
      <c r="T778" s="933"/>
      <c r="V778" s="933"/>
      <c r="W778" s="933"/>
      <c r="X778" s="945"/>
      <c r="Y778" s="933"/>
      <c r="Z778" s="933"/>
      <c r="AA778" s="933"/>
      <c r="AB778" s="933"/>
      <c r="AC778" s="933"/>
      <c r="AD778" s="933"/>
      <c r="AE778" s="933"/>
      <c r="AF778" s="933"/>
      <c r="AG778" s="933"/>
    </row>
    <row r="779" spans="1:33" ht="12.75">
      <c r="A779" s="933"/>
      <c r="B779" s="933"/>
      <c r="C779" s="933"/>
      <c r="D779" s="933"/>
      <c r="E779" s="933"/>
      <c r="F779" s="933"/>
      <c r="G779" s="933"/>
      <c r="H779" s="933"/>
      <c r="I779" s="933"/>
      <c r="J779" s="933"/>
      <c r="K779" s="933"/>
      <c r="L779" s="933"/>
      <c r="M779" s="933"/>
      <c r="N779" s="933"/>
      <c r="O779" s="933"/>
      <c r="P779" s="933"/>
      <c r="Q779" s="933"/>
      <c r="R779" s="933"/>
      <c r="S779" s="933"/>
      <c r="T779" s="933"/>
      <c r="V779" s="933"/>
      <c r="W779" s="933"/>
      <c r="X779" s="945"/>
      <c r="Y779" s="933"/>
      <c r="Z779" s="933"/>
      <c r="AA779" s="933"/>
      <c r="AB779" s="933"/>
      <c r="AC779" s="933"/>
      <c r="AD779" s="933"/>
      <c r="AE779" s="933"/>
      <c r="AF779" s="933"/>
      <c r="AG779" s="933"/>
    </row>
    <row r="780" spans="1:33" ht="12.75">
      <c r="A780" s="933"/>
      <c r="B780" s="933"/>
      <c r="C780" s="933"/>
      <c r="D780" s="933"/>
      <c r="E780" s="933"/>
      <c r="F780" s="933"/>
      <c r="G780" s="933"/>
      <c r="H780" s="933"/>
      <c r="I780" s="933"/>
      <c r="J780" s="933"/>
      <c r="K780" s="933"/>
      <c r="L780" s="933"/>
      <c r="M780" s="933"/>
      <c r="N780" s="933"/>
      <c r="O780" s="933"/>
      <c r="P780" s="933"/>
      <c r="Q780" s="933"/>
      <c r="R780" s="933"/>
      <c r="S780" s="933"/>
      <c r="T780" s="933"/>
      <c r="V780" s="933"/>
      <c r="W780" s="933"/>
      <c r="X780" s="945"/>
      <c r="Y780" s="933"/>
      <c r="Z780" s="933"/>
      <c r="AA780" s="933"/>
      <c r="AB780" s="933"/>
      <c r="AC780" s="933"/>
      <c r="AD780" s="933"/>
      <c r="AE780" s="933"/>
      <c r="AF780" s="933"/>
      <c r="AG780" s="933"/>
    </row>
    <row r="781" spans="1:33" ht="12.75">
      <c r="A781" s="933"/>
      <c r="B781" s="933"/>
      <c r="C781" s="933"/>
      <c r="D781" s="933"/>
      <c r="E781" s="933"/>
      <c r="F781" s="933"/>
      <c r="G781" s="933"/>
      <c r="H781" s="933"/>
      <c r="I781" s="933"/>
      <c r="J781" s="933"/>
      <c r="K781" s="933"/>
      <c r="L781" s="933"/>
      <c r="M781" s="933"/>
      <c r="N781" s="933"/>
      <c r="O781" s="933"/>
      <c r="P781" s="933"/>
      <c r="Q781" s="933"/>
      <c r="R781" s="933"/>
      <c r="S781" s="933"/>
      <c r="T781" s="933"/>
      <c r="V781" s="933"/>
      <c r="W781" s="933"/>
      <c r="X781" s="945"/>
      <c r="Y781" s="933"/>
      <c r="Z781" s="933"/>
      <c r="AA781" s="933"/>
      <c r="AB781" s="933"/>
      <c r="AC781" s="933"/>
      <c r="AD781" s="933"/>
      <c r="AE781" s="933"/>
      <c r="AF781" s="933"/>
      <c r="AG781" s="933"/>
    </row>
    <row r="782" spans="1:33" ht="12.75">
      <c r="A782" s="933"/>
      <c r="B782" s="933"/>
      <c r="C782" s="933"/>
      <c r="D782" s="933"/>
      <c r="E782" s="933"/>
      <c r="F782" s="933"/>
      <c r="G782" s="933"/>
      <c r="H782" s="933"/>
      <c r="I782" s="933"/>
      <c r="J782" s="933"/>
      <c r="K782" s="933"/>
      <c r="L782" s="933"/>
      <c r="M782" s="933"/>
      <c r="N782" s="933"/>
      <c r="O782" s="933"/>
      <c r="P782" s="933"/>
      <c r="Q782" s="933"/>
      <c r="R782" s="933"/>
      <c r="S782" s="933"/>
      <c r="T782" s="933"/>
      <c r="V782" s="933"/>
      <c r="W782" s="933"/>
      <c r="X782" s="945"/>
      <c r="Y782" s="933"/>
      <c r="Z782" s="933"/>
      <c r="AA782" s="933"/>
      <c r="AB782" s="933"/>
      <c r="AC782" s="933"/>
      <c r="AD782" s="933"/>
      <c r="AE782" s="933"/>
      <c r="AF782" s="933"/>
      <c r="AG782" s="933"/>
    </row>
    <row r="783" spans="1:33" ht="12.75">
      <c r="A783" s="933"/>
      <c r="B783" s="933"/>
      <c r="C783" s="933"/>
      <c r="D783" s="933"/>
      <c r="E783" s="933"/>
      <c r="F783" s="933"/>
      <c r="G783" s="933"/>
      <c r="H783" s="933"/>
      <c r="I783" s="933"/>
      <c r="J783" s="933"/>
      <c r="K783" s="933"/>
      <c r="L783" s="933"/>
      <c r="M783" s="933"/>
      <c r="N783" s="933"/>
      <c r="O783" s="933"/>
      <c r="P783" s="933"/>
      <c r="Q783" s="933"/>
      <c r="R783" s="933"/>
      <c r="S783" s="933"/>
      <c r="T783" s="933"/>
      <c r="V783" s="933"/>
      <c r="W783" s="933"/>
      <c r="X783" s="945"/>
      <c r="Y783" s="933"/>
      <c r="Z783" s="933"/>
      <c r="AA783" s="933"/>
      <c r="AB783" s="933"/>
      <c r="AC783" s="933"/>
      <c r="AD783" s="933"/>
      <c r="AE783" s="933"/>
      <c r="AF783" s="933"/>
      <c r="AG783" s="933"/>
    </row>
    <row r="784" spans="1:33" ht="12.75">
      <c r="A784" s="933"/>
      <c r="B784" s="933"/>
      <c r="C784" s="933"/>
      <c r="D784" s="933"/>
      <c r="E784" s="933"/>
      <c r="F784" s="933"/>
      <c r="G784" s="933"/>
      <c r="H784" s="933"/>
      <c r="I784" s="933"/>
      <c r="J784" s="933"/>
      <c r="K784" s="933"/>
      <c r="L784" s="933"/>
      <c r="M784" s="933"/>
      <c r="N784" s="933"/>
      <c r="O784" s="933"/>
      <c r="P784" s="933"/>
      <c r="Q784" s="933"/>
      <c r="R784" s="933"/>
      <c r="S784" s="933"/>
      <c r="T784" s="933"/>
      <c r="V784" s="933"/>
      <c r="W784" s="933"/>
      <c r="X784" s="945"/>
      <c r="Y784" s="933"/>
      <c r="Z784" s="933"/>
      <c r="AA784" s="933"/>
      <c r="AB784" s="933"/>
      <c r="AC784" s="933"/>
      <c r="AD784" s="933"/>
      <c r="AE784" s="933"/>
      <c r="AF784" s="933"/>
      <c r="AG784" s="933"/>
    </row>
    <row r="785" spans="1:33" ht="12.75">
      <c r="A785" s="933"/>
      <c r="B785" s="933"/>
      <c r="C785" s="933"/>
      <c r="D785" s="933"/>
      <c r="E785" s="933"/>
      <c r="F785" s="933"/>
      <c r="G785" s="933"/>
      <c r="H785" s="933"/>
      <c r="I785" s="933"/>
      <c r="J785" s="933"/>
      <c r="K785" s="933"/>
      <c r="L785" s="933"/>
      <c r="M785" s="933"/>
      <c r="N785" s="933"/>
      <c r="O785" s="933"/>
      <c r="P785" s="933"/>
      <c r="Q785" s="933"/>
      <c r="R785" s="933"/>
      <c r="S785" s="933"/>
      <c r="T785" s="933"/>
      <c r="V785" s="933"/>
      <c r="W785" s="933"/>
      <c r="X785" s="945"/>
      <c r="Y785" s="933"/>
      <c r="Z785" s="933"/>
      <c r="AA785" s="933"/>
      <c r="AB785" s="933"/>
      <c r="AC785" s="933"/>
      <c r="AD785" s="933"/>
      <c r="AE785" s="933"/>
      <c r="AF785" s="933"/>
      <c r="AG785" s="933"/>
    </row>
    <row r="786" spans="1:33" ht="12.75">
      <c r="A786" s="933"/>
      <c r="B786" s="933"/>
      <c r="C786" s="933"/>
      <c r="D786" s="933"/>
      <c r="E786" s="933"/>
      <c r="F786" s="933"/>
      <c r="G786" s="933"/>
      <c r="H786" s="933"/>
      <c r="I786" s="933"/>
      <c r="J786" s="933"/>
      <c r="K786" s="933"/>
      <c r="L786" s="933"/>
      <c r="M786" s="933"/>
      <c r="N786" s="933"/>
      <c r="O786" s="933"/>
      <c r="P786" s="933"/>
      <c r="Q786" s="933"/>
      <c r="R786" s="933"/>
      <c r="S786" s="933"/>
      <c r="T786" s="933"/>
      <c r="V786" s="933"/>
      <c r="W786" s="933"/>
      <c r="X786" s="945"/>
      <c r="Y786" s="933"/>
      <c r="Z786" s="933"/>
      <c r="AA786" s="933"/>
      <c r="AB786" s="933"/>
      <c r="AC786" s="933"/>
      <c r="AD786" s="933"/>
      <c r="AE786" s="933"/>
      <c r="AF786" s="933"/>
      <c r="AG786" s="933"/>
    </row>
    <row r="787" spans="1:33" ht="12.75">
      <c r="A787" s="933"/>
      <c r="B787" s="933"/>
      <c r="C787" s="933"/>
      <c r="D787" s="933"/>
      <c r="E787" s="933"/>
      <c r="F787" s="933"/>
      <c r="G787" s="933"/>
      <c r="H787" s="933"/>
      <c r="I787" s="933"/>
      <c r="J787" s="933"/>
      <c r="K787" s="933"/>
      <c r="L787" s="933"/>
      <c r="M787" s="933"/>
      <c r="N787" s="933"/>
      <c r="O787" s="933"/>
      <c r="P787" s="933"/>
      <c r="Q787" s="933"/>
      <c r="R787" s="933"/>
      <c r="S787" s="933"/>
      <c r="T787" s="933"/>
      <c r="V787" s="933"/>
      <c r="W787" s="933"/>
      <c r="X787" s="945"/>
      <c r="Y787" s="933"/>
      <c r="Z787" s="933"/>
      <c r="AA787" s="933"/>
      <c r="AB787" s="933"/>
      <c r="AC787" s="933"/>
      <c r="AD787" s="933"/>
      <c r="AE787" s="933"/>
      <c r="AF787" s="933"/>
      <c r="AG787" s="933"/>
    </row>
    <row r="788" spans="1:33" ht="12.75">
      <c r="A788" s="933"/>
      <c r="B788" s="933"/>
      <c r="C788" s="933"/>
      <c r="D788" s="933"/>
      <c r="E788" s="933"/>
      <c r="F788" s="933"/>
      <c r="G788" s="933"/>
      <c r="H788" s="933"/>
      <c r="I788" s="933"/>
      <c r="J788" s="933"/>
      <c r="K788" s="933"/>
      <c r="L788" s="933"/>
      <c r="M788" s="933"/>
      <c r="N788" s="933"/>
      <c r="O788" s="933"/>
      <c r="P788" s="933"/>
      <c r="Q788" s="933"/>
      <c r="R788" s="933"/>
      <c r="S788" s="933"/>
      <c r="T788" s="933"/>
      <c r="V788" s="933"/>
      <c r="W788" s="933"/>
      <c r="X788" s="945"/>
      <c r="Y788" s="933"/>
      <c r="Z788" s="933"/>
      <c r="AA788" s="933"/>
      <c r="AB788" s="933"/>
      <c r="AC788" s="933"/>
      <c r="AD788" s="933"/>
      <c r="AE788" s="933"/>
      <c r="AF788" s="933"/>
      <c r="AG788" s="933"/>
    </row>
    <row r="789" spans="1:33" ht="12.75">
      <c r="A789" s="933"/>
      <c r="B789" s="933"/>
      <c r="C789" s="933"/>
      <c r="D789" s="933"/>
      <c r="E789" s="933"/>
      <c r="F789" s="933"/>
      <c r="G789" s="933"/>
      <c r="H789" s="933"/>
      <c r="I789" s="933"/>
      <c r="J789" s="933"/>
      <c r="K789" s="933"/>
      <c r="L789" s="933"/>
      <c r="M789" s="933"/>
      <c r="N789" s="933"/>
      <c r="O789" s="933"/>
      <c r="P789" s="933"/>
      <c r="Q789" s="933"/>
      <c r="R789" s="933"/>
      <c r="S789" s="933"/>
      <c r="T789" s="933"/>
      <c r="V789" s="933"/>
      <c r="W789" s="933"/>
      <c r="X789" s="945"/>
      <c r="Y789" s="933"/>
      <c r="Z789" s="933"/>
      <c r="AA789" s="933"/>
      <c r="AB789" s="933"/>
      <c r="AC789" s="933"/>
      <c r="AD789" s="933"/>
      <c r="AE789" s="933"/>
      <c r="AF789" s="933"/>
      <c r="AG789" s="933"/>
    </row>
    <row r="790" spans="1:33" ht="12.75">
      <c r="A790" s="933"/>
      <c r="B790" s="933"/>
      <c r="C790" s="933"/>
      <c r="D790" s="933"/>
      <c r="E790" s="933"/>
      <c r="F790" s="933"/>
      <c r="G790" s="933"/>
      <c r="H790" s="933"/>
      <c r="I790" s="933"/>
      <c r="J790" s="933"/>
      <c r="K790" s="933"/>
      <c r="L790" s="933"/>
      <c r="M790" s="933"/>
      <c r="N790" s="933"/>
      <c r="O790" s="933"/>
      <c r="P790" s="933"/>
      <c r="Q790" s="933"/>
      <c r="R790" s="933"/>
      <c r="S790" s="933"/>
      <c r="T790" s="933"/>
      <c r="V790" s="933"/>
      <c r="W790" s="933"/>
      <c r="X790" s="945"/>
      <c r="Y790" s="933"/>
      <c r="Z790" s="933"/>
      <c r="AA790" s="933"/>
      <c r="AB790" s="933"/>
      <c r="AC790" s="933"/>
      <c r="AD790" s="933"/>
      <c r="AE790" s="933"/>
      <c r="AF790" s="933"/>
      <c r="AG790" s="933"/>
    </row>
    <row r="791" spans="1:33" ht="12.75">
      <c r="A791" s="933"/>
      <c r="B791" s="933"/>
      <c r="C791" s="933"/>
      <c r="D791" s="933"/>
      <c r="E791" s="933"/>
      <c r="F791" s="933"/>
      <c r="G791" s="933"/>
      <c r="H791" s="933"/>
      <c r="I791" s="933"/>
      <c r="J791" s="933"/>
      <c r="K791" s="933"/>
      <c r="L791" s="933"/>
      <c r="M791" s="933"/>
      <c r="N791" s="933"/>
      <c r="O791" s="933"/>
      <c r="P791" s="933"/>
      <c r="Q791" s="933"/>
      <c r="R791" s="933"/>
      <c r="S791" s="933"/>
      <c r="T791" s="933"/>
      <c r="V791" s="933"/>
      <c r="W791" s="933"/>
      <c r="X791" s="945"/>
      <c r="Y791" s="933"/>
      <c r="Z791" s="933"/>
      <c r="AA791" s="933"/>
      <c r="AB791" s="933"/>
      <c r="AC791" s="933"/>
      <c r="AD791" s="933"/>
      <c r="AE791" s="933"/>
      <c r="AF791" s="933"/>
      <c r="AG791" s="933"/>
    </row>
    <row r="792" spans="1:33" ht="12.75">
      <c r="A792" s="933"/>
      <c r="B792" s="933"/>
      <c r="C792" s="933"/>
      <c r="D792" s="933"/>
      <c r="E792" s="933"/>
      <c r="F792" s="933"/>
      <c r="G792" s="933"/>
      <c r="H792" s="933"/>
      <c r="I792" s="933"/>
      <c r="J792" s="933"/>
      <c r="K792" s="933"/>
      <c r="L792" s="933"/>
      <c r="M792" s="933"/>
      <c r="N792" s="933"/>
      <c r="O792" s="933"/>
      <c r="P792" s="933"/>
      <c r="Q792" s="933"/>
      <c r="R792" s="933"/>
      <c r="S792" s="933"/>
      <c r="T792" s="933"/>
      <c r="V792" s="933"/>
      <c r="W792" s="933"/>
      <c r="X792" s="945"/>
      <c r="Y792" s="933"/>
      <c r="Z792" s="933"/>
      <c r="AA792" s="933"/>
      <c r="AB792" s="933"/>
      <c r="AC792" s="933"/>
      <c r="AD792" s="933"/>
      <c r="AE792" s="933"/>
      <c r="AF792" s="933"/>
      <c r="AG792" s="933"/>
    </row>
    <row r="793" spans="1:33" ht="12.75">
      <c r="A793" s="933"/>
      <c r="B793" s="933"/>
      <c r="C793" s="933"/>
      <c r="D793" s="933"/>
      <c r="E793" s="933"/>
      <c r="F793" s="933"/>
      <c r="G793" s="933"/>
      <c r="H793" s="933"/>
      <c r="I793" s="933"/>
      <c r="J793" s="933"/>
      <c r="K793" s="933"/>
      <c r="L793" s="933"/>
      <c r="M793" s="933"/>
      <c r="N793" s="933"/>
      <c r="O793" s="933"/>
      <c r="P793" s="933"/>
      <c r="Q793" s="933"/>
      <c r="R793" s="933"/>
      <c r="S793" s="933"/>
      <c r="T793" s="933"/>
      <c r="V793" s="933"/>
      <c r="W793" s="933"/>
      <c r="X793" s="945"/>
      <c r="Y793" s="933"/>
      <c r="Z793" s="933"/>
      <c r="AA793" s="933"/>
      <c r="AB793" s="933"/>
      <c r="AC793" s="933"/>
      <c r="AD793" s="933"/>
      <c r="AE793" s="933"/>
      <c r="AF793" s="933"/>
      <c r="AG793" s="933"/>
    </row>
    <row r="794" spans="1:33" ht="12.75">
      <c r="A794" s="933"/>
      <c r="B794" s="933"/>
      <c r="C794" s="933"/>
      <c r="D794" s="933"/>
      <c r="E794" s="933"/>
      <c r="F794" s="933"/>
      <c r="G794" s="933"/>
      <c r="H794" s="933"/>
      <c r="I794" s="933"/>
      <c r="J794" s="933"/>
      <c r="K794" s="933"/>
      <c r="L794" s="933"/>
      <c r="M794" s="933"/>
      <c r="N794" s="933"/>
      <c r="O794" s="933"/>
      <c r="P794" s="933"/>
      <c r="Q794" s="933"/>
      <c r="R794" s="933"/>
      <c r="S794" s="933"/>
      <c r="T794" s="933"/>
      <c r="V794" s="933"/>
      <c r="W794" s="933"/>
      <c r="X794" s="945"/>
      <c r="Y794" s="933"/>
      <c r="Z794" s="933"/>
      <c r="AA794" s="933"/>
      <c r="AB794" s="933"/>
      <c r="AC794" s="933"/>
      <c r="AD794" s="933"/>
      <c r="AE794" s="933"/>
      <c r="AF794" s="933"/>
      <c r="AG794" s="933"/>
    </row>
    <row r="795" spans="1:33" ht="12.75">
      <c r="A795" s="933"/>
      <c r="B795" s="933"/>
      <c r="C795" s="933"/>
      <c r="D795" s="933"/>
      <c r="E795" s="933"/>
      <c r="F795" s="933"/>
      <c r="G795" s="933"/>
      <c r="H795" s="933"/>
      <c r="I795" s="933"/>
      <c r="J795" s="933"/>
      <c r="K795" s="933"/>
      <c r="L795" s="933"/>
      <c r="M795" s="933"/>
      <c r="N795" s="933"/>
      <c r="O795" s="933"/>
      <c r="P795" s="933"/>
      <c r="Q795" s="933"/>
      <c r="R795" s="933"/>
      <c r="S795" s="933"/>
      <c r="T795" s="933"/>
      <c r="V795" s="933"/>
      <c r="W795" s="933"/>
      <c r="X795" s="945"/>
      <c r="Y795" s="933"/>
      <c r="Z795" s="933"/>
      <c r="AA795" s="933"/>
      <c r="AB795" s="933"/>
      <c r="AC795" s="933"/>
      <c r="AD795" s="933"/>
      <c r="AE795" s="933"/>
      <c r="AF795" s="933"/>
      <c r="AG795" s="933"/>
    </row>
    <row r="796" spans="1:33" ht="12.75">
      <c r="A796" s="933"/>
      <c r="B796" s="933"/>
      <c r="C796" s="933"/>
      <c r="D796" s="933"/>
      <c r="E796" s="933"/>
      <c r="F796" s="933"/>
      <c r="G796" s="933"/>
      <c r="H796" s="933"/>
      <c r="I796" s="933"/>
      <c r="J796" s="933"/>
      <c r="K796" s="933"/>
      <c r="L796" s="933"/>
      <c r="M796" s="933"/>
      <c r="N796" s="933"/>
      <c r="O796" s="933"/>
      <c r="P796" s="933"/>
      <c r="Q796" s="933"/>
      <c r="R796" s="933"/>
      <c r="S796" s="933"/>
      <c r="T796" s="933"/>
      <c r="V796" s="933"/>
      <c r="W796" s="933"/>
      <c r="X796" s="945"/>
      <c r="Y796" s="933"/>
      <c r="Z796" s="933"/>
      <c r="AA796" s="933"/>
      <c r="AB796" s="933"/>
      <c r="AC796" s="933"/>
      <c r="AD796" s="933"/>
      <c r="AE796" s="933"/>
      <c r="AF796" s="933"/>
      <c r="AG796" s="933"/>
    </row>
    <row r="797" spans="1:33" ht="12.75">
      <c r="A797" s="933"/>
      <c r="B797" s="933"/>
      <c r="C797" s="933"/>
      <c r="D797" s="933"/>
      <c r="E797" s="933"/>
      <c r="F797" s="933"/>
      <c r="G797" s="933"/>
      <c r="H797" s="933"/>
      <c r="I797" s="933"/>
      <c r="J797" s="933"/>
      <c r="K797" s="933"/>
      <c r="L797" s="933"/>
      <c r="M797" s="933"/>
      <c r="N797" s="933"/>
      <c r="O797" s="933"/>
      <c r="P797" s="933"/>
      <c r="Q797" s="933"/>
      <c r="R797" s="933"/>
      <c r="S797" s="933"/>
      <c r="T797" s="933"/>
      <c r="V797" s="933"/>
      <c r="W797" s="933"/>
      <c r="X797" s="945"/>
      <c r="Y797" s="933"/>
      <c r="Z797" s="933"/>
      <c r="AA797" s="933"/>
      <c r="AB797" s="933"/>
      <c r="AC797" s="933"/>
      <c r="AD797" s="933"/>
      <c r="AE797" s="933"/>
      <c r="AF797" s="933"/>
      <c r="AG797" s="933"/>
    </row>
    <row r="798" spans="1:33" ht="12.75">
      <c r="A798" s="933"/>
      <c r="B798" s="933"/>
      <c r="C798" s="933"/>
      <c r="D798" s="933"/>
      <c r="E798" s="933"/>
      <c r="F798" s="933"/>
      <c r="G798" s="933"/>
      <c r="H798" s="933"/>
      <c r="I798" s="933"/>
      <c r="J798" s="933"/>
      <c r="K798" s="933"/>
      <c r="L798" s="933"/>
      <c r="M798" s="933"/>
      <c r="N798" s="933"/>
      <c r="O798" s="933"/>
      <c r="P798" s="933"/>
      <c r="Q798" s="933"/>
      <c r="R798" s="933"/>
      <c r="S798" s="933"/>
      <c r="T798" s="933"/>
      <c r="V798" s="933"/>
      <c r="W798" s="933"/>
      <c r="X798" s="945"/>
      <c r="Y798" s="933"/>
      <c r="Z798" s="933"/>
      <c r="AA798" s="933"/>
      <c r="AB798" s="933"/>
      <c r="AC798" s="933"/>
      <c r="AD798" s="933"/>
      <c r="AE798" s="933"/>
      <c r="AF798" s="933"/>
      <c r="AG798" s="933"/>
    </row>
    <row r="799" spans="1:33" ht="12.75">
      <c r="A799" s="933"/>
      <c r="B799" s="933"/>
      <c r="C799" s="933"/>
      <c r="D799" s="933"/>
      <c r="E799" s="933"/>
      <c r="F799" s="933"/>
      <c r="G799" s="933"/>
      <c r="H799" s="933"/>
      <c r="I799" s="933"/>
      <c r="J799" s="933"/>
      <c r="K799" s="933"/>
      <c r="L799" s="933"/>
      <c r="M799" s="933"/>
      <c r="N799" s="933"/>
      <c r="O799" s="933"/>
      <c r="P799" s="933"/>
      <c r="Q799" s="933"/>
      <c r="R799" s="933"/>
      <c r="S799" s="933"/>
      <c r="T799" s="933"/>
      <c r="V799" s="933"/>
      <c r="W799" s="933"/>
      <c r="X799" s="945"/>
      <c r="Y799" s="933"/>
      <c r="Z799" s="933"/>
      <c r="AA799" s="933"/>
      <c r="AB799" s="933"/>
      <c r="AC799" s="933"/>
      <c r="AD799" s="933"/>
      <c r="AE799" s="933"/>
      <c r="AF799" s="933"/>
      <c r="AG799" s="933"/>
    </row>
    <row r="800" spans="1:33" ht="12.75">
      <c r="A800" s="933"/>
      <c r="B800" s="933"/>
      <c r="C800" s="933"/>
      <c r="D800" s="933"/>
      <c r="E800" s="933"/>
      <c r="F800" s="933"/>
      <c r="G800" s="933"/>
      <c r="H800" s="933"/>
      <c r="I800" s="933"/>
      <c r="J800" s="933"/>
      <c r="K800" s="933"/>
      <c r="L800" s="933"/>
      <c r="M800" s="933"/>
      <c r="N800" s="933"/>
      <c r="O800" s="933"/>
      <c r="P800" s="933"/>
      <c r="Q800" s="933"/>
      <c r="R800" s="933"/>
      <c r="S800" s="933"/>
      <c r="T800" s="933"/>
      <c r="V800" s="933"/>
      <c r="W800" s="933"/>
      <c r="X800" s="945"/>
      <c r="Y800" s="933"/>
      <c r="Z800" s="933"/>
      <c r="AA800" s="933"/>
      <c r="AB800" s="933"/>
      <c r="AC800" s="933"/>
      <c r="AD800" s="933"/>
      <c r="AE800" s="933"/>
      <c r="AF800" s="933"/>
      <c r="AG800" s="933"/>
    </row>
    <row r="801" spans="1:33" ht="12.75">
      <c r="A801" s="933"/>
      <c r="B801" s="933"/>
      <c r="C801" s="933"/>
      <c r="D801" s="933"/>
      <c r="E801" s="933"/>
      <c r="F801" s="933"/>
      <c r="G801" s="933"/>
      <c r="H801" s="933"/>
      <c r="I801" s="933"/>
      <c r="J801" s="933"/>
      <c r="K801" s="933"/>
      <c r="L801" s="933"/>
      <c r="M801" s="933"/>
      <c r="N801" s="933"/>
      <c r="O801" s="933"/>
      <c r="P801" s="933"/>
      <c r="Q801" s="933"/>
      <c r="R801" s="933"/>
      <c r="S801" s="933"/>
      <c r="T801" s="933"/>
      <c r="V801" s="933"/>
      <c r="W801" s="933"/>
      <c r="X801" s="945"/>
      <c r="Y801" s="933"/>
      <c r="Z801" s="933"/>
      <c r="AA801" s="933"/>
      <c r="AB801" s="933"/>
      <c r="AC801" s="933"/>
      <c r="AD801" s="933"/>
      <c r="AE801" s="933"/>
      <c r="AF801" s="933"/>
      <c r="AG801" s="933"/>
    </row>
    <row r="802" spans="1:33" ht="12.75">
      <c r="A802" s="933"/>
      <c r="B802" s="933"/>
      <c r="C802" s="933"/>
      <c r="D802" s="933"/>
      <c r="E802" s="933"/>
      <c r="F802" s="933"/>
      <c r="G802" s="933"/>
      <c r="H802" s="933"/>
      <c r="I802" s="933"/>
      <c r="J802" s="933"/>
      <c r="K802" s="933"/>
      <c r="L802" s="933"/>
      <c r="M802" s="933"/>
      <c r="N802" s="933"/>
      <c r="O802" s="933"/>
      <c r="P802" s="933"/>
      <c r="Q802" s="933"/>
      <c r="R802" s="933"/>
      <c r="S802" s="933"/>
      <c r="T802" s="933"/>
      <c r="V802" s="933"/>
      <c r="W802" s="933"/>
      <c r="X802" s="945"/>
      <c r="Y802" s="933"/>
      <c r="Z802" s="933"/>
      <c r="AA802" s="933"/>
      <c r="AB802" s="933"/>
      <c r="AC802" s="933"/>
      <c r="AD802" s="933"/>
      <c r="AE802" s="933"/>
      <c r="AF802" s="933"/>
      <c r="AG802" s="933"/>
    </row>
    <row r="803" spans="1:33" ht="12.75">
      <c r="A803" s="933"/>
      <c r="B803" s="933"/>
      <c r="C803" s="933"/>
      <c r="D803" s="933"/>
      <c r="E803" s="933"/>
      <c r="F803" s="933"/>
      <c r="G803" s="933"/>
      <c r="H803" s="933"/>
      <c r="I803" s="933"/>
      <c r="J803" s="933"/>
      <c r="K803" s="933"/>
      <c r="L803" s="933"/>
      <c r="M803" s="933"/>
      <c r="N803" s="933"/>
      <c r="O803" s="933"/>
      <c r="P803" s="933"/>
      <c r="Q803" s="933"/>
      <c r="R803" s="933"/>
      <c r="S803" s="933"/>
      <c r="T803" s="933"/>
      <c r="V803" s="933"/>
      <c r="W803" s="933"/>
      <c r="X803" s="945"/>
      <c r="Y803" s="933"/>
      <c r="Z803" s="933"/>
      <c r="AA803" s="933"/>
      <c r="AB803" s="933"/>
      <c r="AC803" s="933"/>
      <c r="AD803" s="933"/>
      <c r="AE803" s="933"/>
      <c r="AF803" s="933"/>
      <c r="AG803" s="933"/>
    </row>
    <row r="804" spans="1:33" ht="12.75">
      <c r="A804" s="933"/>
      <c r="B804" s="933"/>
      <c r="C804" s="933"/>
      <c r="D804" s="933"/>
      <c r="E804" s="933"/>
      <c r="F804" s="933"/>
      <c r="G804" s="933"/>
      <c r="H804" s="933"/>
      <c r="I804" s="933"/>
      <c r="J804" s="933"/>
      <c r="K804" s="933"/>
      <c r="L804" s="933"/>
      <c r="M804" s="933"/>
      <c r="N804" s="933"/>
      <c r="O804" s="933"/>
      <c r="P804" s="933"/>
      <c r="Q804" s="933"/>
      <c r="R804" s="933"/>
      <c r="S804" s="933"/>
      <c r="T804" s="933"/>
      <c r="V804" s="933"/>
      <c r="W804" s="933"/>
      <c r="X804" s="945"/>
      <c r="Y804" s="933"/>
      <c r="Z804" s="933"/>
      <c r="AA804" s="933"/>
      <c r="AB804" s="933"/>
      <c r="AC804" s="933"/>
      <c r="AD804" s="933"/>
      <c r="AE804" s="933"/>
      <c r="AF804" s="933"/>
      <c r="AG804" s="933"/>
    </row>
    <row r="805" spans="1:33" ht="12.75">
      <c r="A805" s="933"/>
      <c r="B805" s="933"/>
      <c r="C805" s="933"/>
      <c r="D805" s="933"/>
      <c r="E805" s="933"/>
      <c r="F805" s="933"/>
      <c r="G805" s="933"/>
      <c r="H805" s="933"/>
      <c r="I805" s="933"/>
      <c r="J805" s="933"/>
      <c r="K805" s="933"/>
      <c r="L805" s="933"/>
      <c r="M805" s="933"/>
      <c r="N805" s="933"/>
      <c r="O805" s="933"/>
      <c r="P805" s="933"/>
      <c r="Q805" s="933"/>
      <c r="R805" s="933"/>
      <c r="S805" s="933"/>
      <c r="T805" s="933"/>
      <c r="V805" s="933"/>
      <c r="W805" s="933"/>
      <c r="X805" s="945"/>
      <c r="Y805" s="933"/>
      <c r="Z805" s="933"/>
      <c r="AA805" s="933"/>
      <c r="AB805" s="933"/>
      <c r="AC805" s="933"/>
      <c r="AD805" s="933"/>
      <c r="AE805" s="933"/>
      <c r="AF805" s="933"/>
      <c r="AG805" s="933"/>
    </row>
    <row r="806" spans="1:33" ht="12.75">
      <c r="A806" s="933"/>
      <c r="B806" s="933"/>
      <c r="C806" s="933"/>
      <c r="D806" s="933"/>
      <c r="E806" s="933"/>
      <c r="F806" s="933"/>
      <c r="G806" s="933"/>
      <c r="H806" s="933"/>
      <c r="I806" s="933"/>
      <c r="J806" s="933"/>
      <c r="K806" s="933"/>
      <c r="L806" s="933"/>
      <c r="M806" s="933"/>
      <c r="N806" s="933"/>
      <c r="O806" s="933"/>
      <c r="P806" s="933"/>
      <c r="Q806" s="933"/>
      <c r="R806" s="933"/>
      <c r="S806" s="933"/>
      <c r="T806" s="933"/>
      <c r="V806" s="933"/>
      <c r="W806" s="933"/>
      <c r="X806" s="945"/>
      <c r="Y806" s="933"/>
      <c r="Z806" s="933"/>
      <c r="AA806" s="933"/>
      <c r="AB806" s="933"/>
      <c r="AC806" s="933"/>
      <c r="AD806" s="933"/>
      <c r="AE806" s="933"/>
      <c r="AF806" s="933"/>
      <c r="AG806" s="933"/>
    </row>
    <row r="807" spans="1:33" ht="12.75">
      <c r="A807" s="933"/>
      <c r="B807" s="933"/>
      <c r="C807" s="933"/>
      <c r="D807" s="933"/>
      <c r="E807" s="933"/>
      <c r="F807" s="933"/>
      <c r="G807" s="933"/>
      <c r="H807" s="933"/>
      <c r="I807" s="933"/>
      <c r="J807" s="933"/>
      <c r="K807" s="933"/>
      <c r="L807" s="933"/>
      <c r="M807" s="933"/>
      <c r="N807" s="933"/>
      <c r="O807" s="933"/>
      <c r="P807" s="933"/>
      <c r="Q807" s="933"/>
      <c r="R807" s="933"/>
      <c r="S807" s="933"/>
      <c r="T807" s="933"/>
      <c r="V807" s="933"/>
      <c r="W807" s="933"/>
      <c r="X807" s="945"/>
      <c r="Y807" s="933"/>
      <c r="Z807" s="933"/>
      <c r="AA807" s="933"/>
      <c r="AB807" s="933"/>
      <c r="AC807" s="933"/>
      <c r="AD807" s="933"/>
      <c r="AE807" s="933"/>
      <c r="AF807" s="933"/>
      <c r="AG807" s="933"/>
    </row>
    <row r="808" spans="1:33" ht="12.75">
      <c r="A808" s="933"/>
      <c r="B808" s="933"/>
      <c r="C808" s="933"/>
      <c r="D808" s="933"/>
      <c r="E808" s="933"/>
      <c r="F808" s="933"/>
      <c r="G808" s="933"/>
      <c r="H808" s="933"/>
      <c r="I808" s="933"/>
      <c r="J808" s="933"/>
      <c r="K808" s="933"/>
      <c r="L808" s="933"/>
      <c r="M808" s="933"/>
      <c r="N808" s="933"/>
      <c r="O808" s="933"/>
      <c r="P808" s="933"/>
      <c r="Q808" s="933"/>
      <c r="R808" s="933"/>
      <c r="S808" s="933"/>
      <c r="T808" s="933"/>
      <c r="V808" s="933"/>
      <c r="W808" s="933"/>
      <c r="X808" s="945"/>
      <c r="Y808" s="933"/>
      <c r="Z808" s="933"/>
      <c r="AA808" s="933"/>
      <c r="AB808" s="933"/>
      <c r="AC808" s="933"/>
      <c r="AD808" s="933"/>
      <c r="AE808" s="933"/>
      <c r="AF808" s="933"/>
      <c r="AG808" s="933"/>
    </row>
    <row r="809" spans="1:33" ht="12.75">
      <c r="A809" s="933"/>
      <c r="B809" s="933"/>
      <c r="C809" s="933"/>
      <c r="D809" s="933"/>
      <c r="E809" s="933"/>
      <c r="F809" s="933"/>
      <c r="G809" s="933"/>
      <c r="H809" s="933"/>
      <c r="I809" s="933"/>
      <c r="J809" s="933"/>
      <c r="K809" s="933"/>
      <c r="L809" s="933"/>
      <c r="M809" s="933"/>
      <c r="N809" s="933"/>
      <c r="O809" s="933"/>
      <c r="P809" s="933"/>
      <c r="Q809" s="933"/>
      <c r="R809" s="933"/>
      <c r="S809" s="933"/>
      <c r="T809" s="933"/>
      <c r="V809" s="933"/>
      <c r="W809" s="933"/>
      <c r="X809" s="945"/>
      <c r="Y809" s="933"/>
      <c r="Z809" s="933"/>
      <c r="AA809" s="933"/>
      <c r="AB809" s="933"/>
      <c r="AC809" s="933"/>
      <c r="AD809" s="933"/>
      <c r="AE809" s="933"/>
      <c r="AF809" s="933"/>
      <c r="AG809" s="933"/>
    </row>
    <row r="810" spans="1:33" ht="12.75">
      <c r="A810" s="933"/>
      <c r="B810" s="933"/>
      <c r="C810" s="933"/>
      <c r="D810" s="933"/>
      <c r="E810" s="933"/>
      <c r="F810" s="933"/>
      <c r="G810" s="933"/>
      <c r="H810" s="933"/>
      <c r="I810" s="933"/>
      <c r="J810" s="933"/>
      <c r="K810" s="933"/>
      <c r="L810" s="933"/>
      <c r="M810" s="933"/>
      <c r="N810" s="933"/>
      <c r="O810" s="933"/>
      <c r="P810" s="933"/>
      <c r="Q810" s="933"/>
      <c r="R810" s="933"/>
      <c r="S810" s="933"/>
      <c r="T810" s="933"/>
      <c r="V810" s="933"/>
      <c r="W810" s="933"/>
      <c r="X810" s="945"/>
      <c r="Y810" s="933"/>
      <c r="Z810" s="933"/>
      <c r="AA810" s="933"/>
      <c r="AB810" s="933"/>
      <c r="AC810" s="933"/>
      <c r="AD810" s="933"/>
      <c r="AE810" s="933"/>
      <c r="AF810" s="933"/>
      <c r="AG810" s="933"/>
    </row>
    <row r="811" spans="1:33" ht="12.75">
      <c r="A811" s="933"/>
      <c r="B811" s="933"/>
      <c r="C811" s="933"/>
      <c r="D811" s="933"/>
      <c r="E811" s="933"/>
      <c r="F811" s="933"/>
      <c r="G811" s="933"/>
      <c r="H811" s="933"/>
      <c r="I811" s="933"/>
      <c r="J811" s="933"/>
      <c r="K811" s="933"/>
      <c r="L811" s="933"/>
      <c r="M811" s="933"/>
      <c r="N811" s="933"/>
      <c r="O811" s="933"/>
      <c r="P811" s="933"/>
      <c r="Q811" s="933"/>
      <c r="R811" s="933"/>
      <c r="S811" s="933"/>
      <c r="T811" s="933"/>
      <c r="V811" s="933"/>
      <c r="W811" s="933"/>
      <c r="X811" s="945"/>
      <c r="Y811" s="933"/>
      <c r="Z811" s="933"/>
      <c r="AA811" s="933"/>
      <c r="AB811" s="933"/>
      <c r="AC811" s="933"/>
      <c r="AD811" s="933"/>
      <c r="AE811" s="933"/>
      <c r="AF811" s="933"/>
      <c r="AG811" s="933"/>
    </row>
    <row r="812" spans="1:33" ht="12.75">
      <c r="A812" s="933"/>
      <c r="B812" s="933"/>
      <c r="C812" s="933"/>
      <c r="D812" s="933"/>
      <c r="E812" s="933"/>
      <c r="F812" s="933"/>
      <c r="G812" s="933"/>
      <c r="H812" s="933"/>
      <c r="I812" s="933"/>
      <c r="J812" s="933"/>
      <c r="K812" s="933"/>
      <c r="L812" s="933"/>
      <c r="M812" s="933"/>
      <c r="N812" s="933"/>
      <c r="O812" s="933"/>
      <c r="P812" s="933"/>
      <c r="Q812" s="933"/>
      <c r="R812" s="933"/>
      <c r="S812" s="933"/>
      <c r="T812" s="933"/>
      <c r="V812" s="933"/>
      <c r="W812" s="933"/>
      <c r="X812" s="945"/>
      <c r="Y812" s="933"/>
      <c r="Z812" s="933"/>
      <c r="AA812" s="933"/>
      <c r="AB812" s="933"/>
      <c r="AC812" s="933"/>
      <c r="AD812" s="933"/>
      <c r="AE812" s="933"/>
      <c r="AF812" s="933"/>
      <c r="AG812" s="933"/>
    </row>
    <row r="813" spans="1:33" ht="12.75">
      <c r="A813" s="933"/>
      <c r="B813" s="933"/>
      <c r="C813" s="933"/>
      <c r="D813" s="933"/>
      <c r="E813" s="933"/>
      <c r="F813" s="933"/>
      <c r="G813" s="933"/>
      <c r="H813" s="933"/>
      <c r="I813" s="933"/>
      <c r="J813" s="933"/>
      <c r="K813" s="933"/>
      <c r="L813" s="933"/>
      <c r="M813" s="933"/>
      <c r="N813" s="933"/>
      <c r="O813" s="933"/>
      <c r="P813" s="933"/>
      <c r="Q813" s="933"/>
      <c r="R813" s="933"/>
      <c r="S813" s="933"/>
      <c r="T813" s="933"/>
      <c r="V813" s="933"/>
      <c r="W813" s="933"/>
      <c r="X813" s="945"/>
      <c r="Y813" s="933"/>
      <c r="Z813" s="933"/>
      <c r="AA813" s="933"/>
      <c r="AB813" s="933"/>
      <c r="AC813" s="933"/>
      <c r="AD813" s="933"/>
      <c r="AE813" s="933"/>
      <c r="AF813" s="933"/>
      <c r="AG813" s="933"/>
    </row>
    <row r="814" spans="1:33" ht="12.75">
      <c r="A814" s="933"/>
      <c r="B814" s="933"/>
      <c r="C814" s="933"/>
      <c r="D814" s="933"/>
      <c r="E814" s="933"/>
      <c r="F814" s="933"/>
      <c r="G814" s="933"/>
      <c r="H814" s="933"/>
      <c r="I814" s="933"/>
      <c r="J814" s="933"/>
      <c r="K814" s="933"/>
      <c r="L814" s="933"/>
      <c r="M814" s="933"/>
      <c r="N814" s="933"/>
      <c r="O814" s="933"/>
      <c r="P814" s="933"/>
      <c r="Q814" s="933"/>
      <c r="R814" s="933"/>
      <c r="S814" s="933"/>
      <c r="T814" s="933"/>
      <c r="V814" s="933"/>
      <c r="W814" s="933"/>
      <c r="X814" s="945"/>
      <c r="Y814" s="933"/>
      <c r="Z814" s="933"/>
      <c r="AA814" s="933"/>
      <c r="AB814" s="933"/>
      <c r="AC814" s="933"/>
      <c r="AD814" s="933"/>
      <c r="AE814" s="933"/>
      <c r="AF814" s="933"/>
      <c r="AG814" s="933"/>
    </row>
    <row r="815" spans="1:33" ht="12.75">
      <c r="A815" s="933"/>
      <c r="B815" s="933"/>
      <c r="C815" s="933"/>
      <c r="D815" s="933"/>
      <c r="E815" s="933"/>
      <c r="F815" s="933"/>
      <c r="G815" s="933"/>
      <c r="H815" s="933"/>
      <c r="I815" s="933"/>
      <c r="J815" s="933"/>
      <c r="K815" s="933"/>
      <c r="L815" s="933"/>
      <c r="M815" s="933"/>
      <c r="N815" s="933"/>
      <c r="O815" s="933"/>
      <c r="P815" s="933"/>
      <c r="Q815" s="933"/>
      <c r="R815" s="933"/>
      <c r="S815" s="933"/>
      <c r="T815" s="933"/>
      <c r="V815" s="933"/>
      <c r="W815" s="933"/>
      <c r="X815" s="945"/>
      <c r="Y815" s="933"/>
      <c r="Z815" s="933"/>
      <c r="AA815" s="933"/>
      <c r="AB815" s="933"/>
      <c r="AC815" s="933"/>
      <c r="AD815" s="933"/>
      <c r="AE815" s="933"/>
      <c r="AF815" s="933"/>
      <c r="AG815" s="933"/>
    </row>
    <row r="816" spans="1:33" ht="12.75">
      <c r="A816" s="933"/>
      <c r="B816" s="933"/>
      <c r="C816" s="933"/>
      <c r="D816" s="933"/>
      <c r="E816" s="933"/>
      <c r="F816" s="933"/>
      <c r="G816" s="933"/>
      <c r="H816" s="933"/>
      <c r="I816" s="933"/>
      <c r="J816" s="933"/>
      <c r="K816" s="933"/>
      <c r="L816" s="933"/>
      <c r="M816" s="933"/>
      <c r="N816" s="933"/>
      <c r="O816" s="933"/>
      <c r="P816" s="933"/>
      <c r="Q816" s="933"/>
      <c r="R816" s="933"/>
      <c r="S816" s="933"/>
      <c r="T816" s="933"/>
      <c r="V816" s="933"/>
      <c r="W816" s="933"/>
      <c r="X816" s="945"/>
      <c r="Y816" s="933"/>
      <c r="Z816" s="933"/>
      <c r="AA816" s="933"/>
      <c r="AB816" s="933"/>
      <c r="AC816" s="933"/>
      <c r="AD816" s="933"/>
      <c r="AE816" s="933"/>
      <c r="AF816" s="933"/>
      <c r="AG816" s="933"/>
    </row>
    <row r="817" spans="1:33" ht="12.75">
      <c r="A817" s="933"/>
      <c r="B817" s="933"/>
      <c r="C817" s="933"/>
      <c r="D817" s="933"/>
      <c r="E817" s="933"/>
      <c r="F817" s="933"/>
      <c r="G817" s="933"/>
      <c r="H817" s="933"/>
      <c r="I817" s="933"/>
      <c r="J817" s="933"/>
      <c r="K817" s="933"/>
      <c r="L817" s="933"/>
      <c r="M817" s="933"/>
      <c r="N817" s="933"/>
      <c r="O817" s="933"/>
      <c r="P817" s="933"/>
      <c r="Q817" s="933"/>
      <c r="R817" s="933"/>
      <c r="S817" s="933"/>
      <c r="T817" s="933"/>
      <c r="V817" s="933"/>
      <c r="W817" s="933"/>
      <c r="X817" s="945"/>
      <c r="Y817" s="933"/>
      <c r="Z817" s="933"/>
      <c r="AA817" s="933"/>
      <c r="AB817" s="933"/>
      <c r="AC817" s="933"/>
      <c r="AD817" s="933"/>
      <c r="AE817" s="933"/>
      <c r="AF817" s="933"/>
      <c r="AG817" s="933"/>
    </row>
    <row r="818" spans="1:33" ht="12.75">
      <c r="A818" s="933"/>
      <c r="B818" s="933"/>
      <c r="C818" s="933"/>
      <c r="D818" s="933"/>
      <c r="E818" s="933"/>
      <c r="F818" s="933"/>
      <c r="G818" s="933"/>
      <c r="H818" s="933"/>
      <c r="I818" s="933"/>
      <c r="J818" s="933"/>
      <c r="K818" s="933"/>
      <c r="L818" s="933"/>
      <c r="M818" s="933"/>
      <c r="N818" s="933"/>
      <c r="O818" s="933"/>
      <c r="P818" s="933"/>
      <c r="Q818" s="933"/>
      <c r="R818" s="933"/>
      <c r="S818" s="933"/>
      <c r="T818" s="933"/>
      <c r="V818" s="933"/>
      <c r="W818" s="933"/>
      <c r="X818" s="945"/>
      <c r="Y818" s="933"/>
      <c r="Z818" s="933"/>
      <c r="AA818" s="933"/>
      <c r="AB818" s="933"/>
      <c r="AC818" s="933"/>
      <c r="AD818" s="933"/>
      <c r="AE818" s="933"/>
      <c r="AF818" s="933"/>
      <c r="AG818" s="933"/>
    </row>
    <row r="819" spans="1:33" ht="12.75">
      <c r="A819" s="933"/>
      <c r="B819" s="933"/>
      <c r="C819" s="933"/>
      <c r="D819" s="933"/>
      <c r="E819" s="933"/>
      <c r="F819" s="933"/>
      <c r="G819" s="933"/>
      <c r="H819" s="933"/>
      <c r="I819" s="933"/>
      <c r="J819" s="933"/>
      <c r="K819" s="933"/>
      <c r="L819" s="933"/>
      <c r="M819" s="933"/>
      <c r="N819" s="933"/>
      <c r="O819" s="933"/>
      <c r="P819" s="933"/>
      <c r="Q819" s="933"/>
      <c r="R819" s="933"/>
      <c r="S819" s="933"/>
      <c r="T819" s="933"/>
      <c r="V819" s="933"/>
      <c r="W819" s="933"/>
      <c r="X819" s="945"/>
      <c r="Y819" s="933"/>
      <c r="Z819" s="933"/>
      <c r="AA819" s="933"/>
      <c r="AB819" s="933"/>
      <c r="AC819" s="933"/>
      <c r="AD819" s="933"/>
      <c r="AE819" s="933"/>
      <c r="AF819" s="933"/>
      <c r="AG819" s="933"/>
    </row>
    <row r="820" spans="1:33" ht="12.75">
      <c r="A820" s="933"/>
      <c r="B820" s="933"/>
      <c r="C820" s="933"/>
      <c r="D820" s="933"/>
      <c r="E820" s="933"/>
      <c r="F820" s="933"/>
      <c r="G820" s="933"/>
      <c r="H820" s="933"/>
      <c r="I820" s="933"/>
      <c r="J820" s="933"/>
      <c r="K820" s="933"/>
      <c r="L820" s="933"/>
      <c r="M820" s="933"/>
      <c r="N820" s="933"/>
      <c r="O820" s="933"/>
      <c r="P820" s="933"/>
      <c r="Q820" s="933"/>
      <c r="R820" s="933"/>
      <c r="S820" s="933"/>
      <c r="T820" s="933"/>
      <c r="V820" s="933"/>
      <c r="W820" s="933"/>
      <c r="X820" s="945"/>
      <c r="Y820" s="933"/>
      <c r="Z820" s="933"/>
      <c r="AA820" s="933"/>
      <c r="AB820" s="933"/>
      <c r="AC820" s="933"/>
      <c r="AD820" s="933"/>
      <c r="AE820" s="933"/>
      <c r="AF820" s="933"/>
      <c r="AG820" s="933"/>
    </row>
    <row r="821" spans="1:33" ht="12.75">
      <c r="A821" s="933"/>
      <c r="B821" s="933"/>
      <c r="C821" s="933"/>
      <c r="D821" s="933"/>
      <c r="E821" s="933"/>
      <c r="F821" s="933"/>
      <c r="G821" s="933"/>
      <c r="H821" s="933"/>
      <c r="I821" s="933"/>
      <c r="J821" s="933"/>
      <c r="K821" s="933"/>
      <c r="L821" s="933"/>
      <c r="M821" s="933"/>
      <c r="N821" s="933"/>
      <c r="O821" s="933"/>
      <c r="P821" s="933"/>
      <c r="Q821" s="933"/>
      <c r="R821" s="933"/>
      <c r="S821" s="933"/>
      <c r="T821" s="933"/>
      <c r="V821" s="933"/>
      <c r="W821" s="933"/>
      <c r="X821" s="945"/>
      <c r="Y821" s="933"/>
      <c r="Z821" s="933"/>
      <c r="AA821" s="933"/>
      <c r="AB821" s="933"/>
      <c r="AC821" s="933"/>
      <c r="AD821" s="933"/>
      <c r="AE821" s="933"/>
      <c r="AF821" s="933"/>
      <c r="AG821" s="933"/>
    </row>
    <row r="822" spans="1:33" ht="12.75">
      <c r="A822" s="933"/>
      <c r="B822" s="933"/>
      <c r="C822" s="933"/>
      <c r="D822" s="933"/>
      <c r="E822" s="933"/>
      <c r="F822" s="933"/>
      <c r="G822" s="933"/>
      <c r="H822" s="933"/>
      <c r="I822" s="933"/>
      <c r="J822" s="933"/>
      <c r="K822" s="933"/>
      <c r="L822" s="933"/>
      <c r="M822" s="933"/>
      <c r="N822" s="933"/>
      <c r="O822" s="933"/>
      <c r="P822" s="933"/>
      <c r="Q822" s="933"/>
      <c r="R822" s="933"/>
      <c r="S822" s="933"/>
      <c r="T822" s="933"/>
      <c r="V822" s="933"/>
      <c r="W822" s="933"/>
      <c r="X822" s="945"/>
      <c r="Y822" s="933"/>
      <c r="Z822" s="933"/>
      <c r="AA822" s="933"/>
      <c r="AB822" s="933"/>
      <c r="AC822" s="933"/>
      <c r="AD822" s="933"/>
      <c r="AE822" s="933"/>
      <c r="AF822" s="933"/>
      <c r="AG822" s="933"/>
    </row>
    <row r="823" spans="1:33" ht="12.75">
      <c r="A823" s="933"/>
      <c r="B823" s="933"/>
      <c r="C823" s="933"/>
      <c r="D823" s="933"/>
      <c r="E823" s="933"/>
      <c r="F823" s="933"/>
      <c r="G823" s="933"/>
      <c r="H823" s="933"/>
      <c r="I823" s="933"/>
      <c r="J823" s="933"/>
      <c r="K823" s="933"/>
      <c r="L823" s="933"/>
      <c r="M823" s="933"/>
      <c r="N823" s="933"/>
      <c r="O823" s="933"/>
      <c r="P823" s="933"/>
      <c r="Q823" s="933"/>
      <c r="R823" s="933"/>
      <c r="S823" s="933"/>
      <c r="T823" s="933"/>
      <c r="V823" s="933"/>
      <c r="W823" s="933"/>
      <c r="X823" s="945"/>
      <c r="Y823" s="933"/>
      <c r="Z823" s="933"/>
      <c r="AA823" s="933"/>
      <c r="AB823" s="933"/>
      <c r="AC823" s="933"/>
      <c r="AD823" s="933"/>
      <c r="AE823" s="933"/>
      <c r="AF823" s="933"/>
      <c r="AG823" s="933"/>
    </row>
    <row r="824" spans="1:33" ht="12.75">
      <c r="A824" s="933"/>
      <c r="B824" s="933"/>
      <c r="C824" s="933"/>
      <c r="D824" s="933"/>
      <c r="E824" s="933"/>
      <c r="F824" s="933"/>
      <c r="G824" s="933"/>
      <c r="H824" s="933"/>
      <c r="I824" s="933"/>
      <c r="J824" s="933"/>
      <c r="K824" s="933"/>
      <c r="L824" s="933"/>
      <c r="M824" s="933"/>
      <c r="N824" s="933"/>
      <c r="O824" s="933"/>
      <c r="P824" s="933"/>
      <c r="Q824" s="933"/>
      <c r="R824" s="933"/>
      <c r="S824" s="933"/>
      <c r="T824" s="933"/>
      <c r="V824" s="933"/>
      <c r="W824" s="933"/>
      <c r="X824" s="945"/>
      <c r="Y824" s="933"/>
      <c r="Z824" s="933"/>
      <c r="AA824" s="933"/>
      <c r="AB824" s="933"/>
      <c r="AC824" s="933"/>
      <c r="AD824" s="933"/>
      <c r="AE824" s="933"/>
      <c r="AF824" s="933"/>
      <c r="AG824" s="933"/>
    </row>
    <row r="825" spans="1:33" ht="12.75">
      <c r="A825" s="933"/>
      <c r="B825" s="933"/>
      <c r="C825" s="933"/>
      <c r="D825" s="933"/>
      <c r="E825" s="933"/>
      <c r="F825" s="933"/>
      <c r="G825" s="933"/>
      <c r="H825" s="933"/>
      <c r="I825" s="933"/>
      <c r="J825" s="933"/>
      <c r="K825" s="933"/>
      <c r="L825" s="933"/>
      <c r="M825" s="933"/>
      <c r="N825" s="933"/>
      <c r="O825" s="933"/>
      <c r="P825" s="933"/>
      <c r="Q825" s="933"/>
      <c r="R825" s="933"/>
      <c r="S825" s="933"/>
      <c r="T825" s="933"/>
      <c r="V825" s="933"/>
      <c r="W825" s="933"/>
      <c r="X825" s="945"/>
      <c r="Y825" s="933"/>
      <c r="Z825" s="933"/>
      <c r="AA825" s="933"/>
      <c r="AB825" s="933"/>
      <c r="AC825" s="933"/>
      <c r="AD825" s="933"/>
      <c r="AE825" s="933"/>
      <c r="AF825" s="933"/>
      <c r="AG825" s="933"/>
    </row>
    <row r="826" spans="1:33" ht="12.75">
      <c r="A826" s="933"/>
      <c r="B826" s="933"/>
      <c r="C826" s="933"/>
      <c r="D826" s="933"/>
      <c r="E826" s="933"/>
      <c r="F826" s="933"/>
      <c r="G826" s="933"/>
      <c r="H826" s="933"/>
      <c r="I826" s="933"/>
      <c r="J826" s="933"/>
      <c r="K826" s="933"/>
      <c r="L826" s="933"/>
      <c r="M826" s="933"/>
      <c r="N826" s="933"/>
      <c r="O826" s="933"/>
      <c r="P826" s="933"/>
      <c r="Q826" s="933"/>
      <c r="R826" s="933"/>
      <c r="S826" s="933"/>
      <c r="T826" s="933"/>
      <c r="V826" s="933"/>
      <c r="W826" s="933"/>
      <c r="X826" s="945"/>
      <c r="Y826" s="933"/>
      <c r="Z826" s="933"/>
      <c r="AA826" s="933"/>
      <c r="AB826" s="933"/>
      <c r="AC826" s="933"/>
      <c r="AD826" s="933"/>
      <c r="AE826" s="933"/>
      <c r="AF826" s="933"/>
      <c r="AG826" s="933"/>
    </row>
    <row r="827" spans="1:33" ht="12.75">
      <c r="A827" s="933"/>
      <c r="B827" s="933"/>
      <c r="C827" s="933"/>
      <c r="D827" s="933"/>
      <c r="E827" s="933"/>
      <c r="F827" s="933"/>
      <c r="G827" s="933"/>
      <c r="H827" s="933"/>
      <c r="I827" s="933"/>
      <c r="J827" s="933"/>
      <c r="K827" s="933"/>
      <c r="L827" s="933"/>
      <c r="M827" s="933"/>
      <c r="N827" s="933"/>
      <c r="O827" s="933"/>
      <c r="P827" s="933"/>
      <c r="Q827" s="933"/>
      <c r="R827" s="933"/>
      <c r="S827" s="933"/>
      <c r="T827" s="933"/>
      <c r="V827" s="933"/>
      <c r="W827" s="933"/>
      <c r="X827" s="945"/>
      <c r="Y827" s="933"/>
      <c r="Z827" s="933"/>
      <c r="AA827" s="933"/>
      <c r="AB827" s="933"/>
      <c r="AC827" s="933"/>
      <c r="AD827" s="933"/>
      <c r="AE827" s="933"/>
      <c r="AF827" s="933"/>
      <c r="AG827" s="933"/>
    </row>
    <row r="828" spans="1:33" ht="12.75">
      <c r="A828" s="933"/>
      <c r="B828" s="933"/>
      <c r="C828" s="933"/>
      <c r="D828" s="933"/>
      <c r="E828" s="933"/>
      <c r="F828" s="933"/>
      <c r="G828" s="933"/>
      <c r="H828" s="933"/>
      <c r="I828" s="933"/>
      <c r="J828" s="933"/>
      <c r="K828" s="933"/>
      <c r="L828" s="933"/>
      <c r="M828" s="933"/>
      <c r="N828" s="933"/>
      <c r="O828" s="933"/>
      <c r="P828" s="933"/>
      <c r="Q828" s="933"/>
      <c r="R828" s="933"/>
      <c r="S828" s="933"/>
      <c r="T828" s="933"/>
      <c r="V828" s="933"/>
      <c r="W828" s="933"/>
      <c r="X828" s="945"/>
      <c r="Y828" s="933"/>
      <c r="Z828" s="933"/>
      <c r="AA828" s="933"/>
      <c r="AB828" s="933"/>
      <c r="AC828" s="933"/>
      <c r="AD828" s="933"/>
      <c r="AE828" s="933"/>
      <c r="AF828" s="933"/>
      <c r="AG828" s="933"/>
    </row>
    <row r="829" spans="1:33" ht="12.75">
      <c r="A829" s="933"/>
      <c r="B829" s="933"/>
      <c r="C829" s="933"/>
      <c r="D829" s="933"/>
      <c r="E829" s="933"/>
      <c r="F829" s="933"/>
      <c r="G829" s="933"/>
      <c r="H829" s="933"/>
      <c r="I829" s="933"/>
      <c r="J829" s="933"/>
      <c r="K829" s="933"/>
      <c r="L829" s="933"/>
      <c r="M829" s="933"/>
      <c r="N829" s="933"/>
      <c r="O829" s="933"/>
      <c r="P829" s="933"/>
      <c r="Q829" s="933"/>
      <c r="R829" s="933"/>
      <c r="S829" s="933"/>
      <c r="T829" s="933"/>
      <c r="V829" s="933"/>
      <c r="W829" s="933"/>
      <c r="X829" s="945"/>
      <c r="Y829" s="933"/>
      <c r="Z829" s="933"/>
      <c r="AA829" s="933"/>
      <c r="AB829" s="933"/>
      <c r="AC829" s="933"/>
      <c r="AD829" s="933"/>
      <c r="AE829" s="933"/>
      <c r="AF829" s="933"/>
      <c r="AG829" s="933"/>
    </row>
    <row r="830" spans="1:33" ht="12.75">
      <c r="A830" s="933"/>
      <c r="B830" s="933"/>
      <c r="C830" s="933"/>
      <c r="D830" s="933"/>
      <c r="E830" s="933"/>
      <c r="F830" s="933"/>
      <c r="G830" s="933"/>
      <c r="H830" s="933"/>
      <c r="I830" s="933"/>
      <c r="J830" s="933"/>
      <c r="K830" s="933"/>
      <c r="L830" s="933"/>
      <c r="M830" s="933"/>
      <c r="N830" s="933"/>
      <c r="O830" s="933"/>
      <c r="P830" s="933"/>
      <c r="Q830" s="933"/>
      <c r="R830" s="933"/>
      <c r="S830" s="933"/>
      <c r="T830" s="933"/>
      <c r="V830" s="933"/>
      <c r="W830" s="933"/>
      <c r="X830" s="945"/>
      <c r="Y830" s="933"/>
      <c r="Z830" s="933"/>
      <c r="AA830" s="933"/>
      <c r="AB830" s="933"/>
      <c r="AC830" s="933"/>
      <c r="AD830" s="933"/>
      <c r="AE830" s="933"/>
      <c r="AF830" s="933"/>
      <c r="AG830" s="933"/>
    </row>
    <row r="831" spans="1:33" ht="12.75">
      <c r="A831" s="933"/>
      <c r="B831" s="933"/>
      <c r="C831" s="933"/>
      <c r="D831" s="933"/>
      <c r="E831" s="933"/>
      <c r="F831" s="933"/>
      <c r="G831" s="933"/>
      <c r="H831" s="933"/>
      <c r="I831" s="933"/>
      <c r="J831" s="933"/>
      <c r="K831" s="933"/>
      <c r="L831" s="933"/>
      <c r="M831" s="933"/>
      <c r="N831" s="933"/>
      <c r="O831" s="933"/>
      <c r="P831" s="933"/>
      <c r="Q831" s="933"/>
      <c r="R831" s="933"/>
      <c r="S831" s="933"/>
      <c r="T831" s="933"/>
      <c r="V831" s="933"/>
      <c r="W831" s="933"/>
      <c r="X831" s="945"/>
      <c r="Y831" s="933"/>
      <c r="Z831" s="933"/>
      <c r="AA831" s="933"/>
      <c r="AB831" s="933"/>
      <c r="AC831" s="933"/>
      <c r="AD831" s="933"/>
      <c r="AE831" s="933"/>
      <c r="AF831" s="933"/>
      <c r="AG831" s="933"/>
    </row>
    <row r="832" spans="1:33" ht="12.75">
      <c r="A832" s="933"/>
      <c r="B832" s="933"/>
      <c r="C832" s="933"/>
      <c r="D832" s="933"/>
      <c r="E832" s="933"/>
      <c r="F832" s="933"/>
      <c r="G832" s="933"/>
      <c r="H832" s="933"/>
      <c r="I832" s="933"/>
      <c r="J832" s="933"/>
      <c r="K832" s="933"/>
      <c r="L832" s="933"/>
      <c r="M832" s="933"/>
      <c r="N832" s="933"/>
      <c r="O832" s="933"/>
      <c r="P832" s="933"/>
      <c r="Q832" s="933"/>
      <c r="R832" s="933"/>
      <c r="S832" s="933"/>
      <c r="T832" s="933"/>
      <c r="V832" s="933"/>
      <c r="W832" s="933"/>
      <c r="X832" s="945"/>
      <c r="Y832" s="933"/>
      <c r="Z832" s="933"/>
      <c r="AA832" s="933"/>
      <c r="AB832" s="933"/>
      <c r="AC832" s="933"/>
      <c r="AD832" s="933"/>
      <c r="AE832" s="933"/>
      <c r="AF832" s="933"/>
      <c r="AG832" s="933"/>
    </row>
    <row r="833" spans="1:33" ht="12.75">
      <c r="A833" s="933"/>
      <c r="B833" s="933"/>
      <c r="C833" s="933"/>
      <c r="D833" s="933"/>
      <c r="E833" s="933"/>
      <c r="F833" s="933"/>
      <c r="G833" s="933"/>
      <c r="H833" s="933"/>
      <c r="I833" s="933"/>
      <c r="J833" s="933"/>
      <c r="K833" s="933"/>
      <c r="L833" s="933"/>
      <c r="M833" s="933"/>
      <c r="N833" s="933"/>
      <c r="O833" s="933"/>
      <c r="P833" s="933"/>
      <c r="Q833" s="933"/>
      <c r="R833" s="933"/>
      <c r="S833" s="933"/>
      <c r="T833" s="933"/>
      <c r="V833" s="933"/>
      <c r="W833" s="933"/>
      <c r="X833" s="945"/>
      <c r="Y833" s="933"/>
      <c r="Z833" s="933"/>
      <c r="AA833" s="933"/>
      <c r="AB833" s="933"/>
      <c r="AC833" s="933"/>
      <c r="AD833" s="933"/>
      <c r="AE833" s="933"/>
      <c r="AF833" s="933"/>
      <c r="AG833" s="933"/>
    </row>
    <row r="834" spans="1:33" ht="12.75">
      <c r="A834" s="933"/>
      <c r="B834" s="933"/>
      <c r="C834" s="933"/>
      <c r="D834" s="933"/>
      <c r="E834" s="933"/>
      <c r="F834" s="933"/>
      <c r="G834" s="933"/>
      <c r="H834" s="933"/>
      <c r="I834" s="933"/>
      <c r="J834" s="933"/>
      <c r="K834" s="933"/>
      <c r="L834" s="933"/>
      <c r="M834" s="933"/>
      <c r="N834" s="933"/>
      <c r="O834" s="933"/>
      <c r="P834" s="933"/>
      <c r="Q834" s="933"/>
      <c r="R834" s="933"/>
      <c r="S834" s="933"/>
      <c r="T834" s="933"/>
      <c r="V834" s="933"/>
      <c r="W834" s="933"/>
      <c r="X834" s="945"/>
      <c r="Y834" s="933"/>
      <c r="Z834" s="933"/>
      <c r="AA834" s="933"/>
      <c r="AB834" s="933"/>
      <c r="AC834" s="933"/>
      <c r="AD834" s="933"/>
      <c r="AE834" s="933"/>
      <c r="AF834" s="933"/>
      <c r="AG834" s="933"/>
    </row>
    <row r="835" spans="1:33" ht="12.75">
      <c r="A835" s="933"/>
      <c r="B835" s="933"/>
      <c r="C835" s="933"/>
      <c r="D835" s="933"/>
      <c r="E835" s="933"/>
      <c r="F835" s="933"/>
      <c r="G835" s="933"/>
      <c r="H835" s="933"/>
      <c r="I835" s="933"/>
      <c r="J835" s="933"/>
      <c r="K835" s="933"/>
      <c r="L835" s="933"/>
      <c r="M835" s="933"/>
      <c r="N835" s="933"/>
      <c r="O835" s="933"/>
      <c r="P835" s="933"/>
      <c r="Q835" s="933"/>
      <c r="R835" s="933"/>
      <c r="S835" s="933"/>
      <c r="T835" s="933"/>
      <c r="V835" s="933"/>
      <c r="W835" s="933"/>
      <c r="X835" s="945"/>
      <c r="Y835" s="933"/>
      <c r="Z835" s="933"/>
      <c r="AA835" s="933"/>
      <c r="AB835" s="933"/>
      <c r="AC835" s="933"/>
      <c r="AD835" s="933"/>
      <c r="AE835" s="933"/>
      <c r="AF835" s="933"/>
      <c r="AG835" s="933"/>
    </row>
    <row r="836" spans="1:33" ht="12.75">
      <c r="A836" s="933"/>
      <c r="B836" s="933"/>
      <c r="C836" s="933"/>
      <c r="D836" s="933"/>
      <c r="E836" s="933"/>
      <c r="F836" s="933"/>
      <c r="G836" s="933"/>
      <c r="H836" s="933"/>
      <c r="I836" s="933"/>
      <c r="J836" s="933"/>
      <c r="K836" s="933"/>
      <c r="L836" s="933"/>
      <c r="M836" s="933"/>
      <c r="N836" s="933"/>
      <c r="O836" s="933"/>
      <c r="P836" s="933"/>
      <c r="Q836" s="933"/>
      <c r="R836" s="933"/>
      <c r="S836" s="933"/>
      <c r="T836" s="933"/>
      <c r="V836" s="933"/>
      <c r="W836" s="933"/>
      <c r="X836" s="945"/>
      <c r="Y836" s="933"/>
      <c r="Z836" s="933"/>
      <c r="AA836" s="933"/>
      <c r="AB836" s="933"/>
      <c r="AC836" s="933"/>
      <c r="AD836" s="933"/>
      <c r="AE836" s="933"/>
      <c r="AF836" s="933"/>
      <c r="AG836" s="933"/>
    </row>
    <row r="837" spans="1:33" ht="12.75">
      <c r="A837" s="933"/>
      <c r="B837" s="933"/>
      <c r="C837" s="933"/>
      <c r="D837" s="933"/>
      <c r="E837" s="933"/>
      <c r="F837" s="933"/>
      <c r="G837" s="933"/>
      <c r="H837" s="933"/>
      <c r="I837" s="933"/>
      <c r="J837" s="933"/>
      <c r="K837" s="933"/>
      <c r="L837" s="933"/>
      <c r="M837" s="933"/>
      <c r="N837" s="933"/>
      <c r="O837" s="933"/>
      <c r="P837" s="933"/>
      <c r="Q837" s="933"/>
      <c r="R837" s="933"/>
      <c r="S837" s="933"/>
      <c r="T837" s="933"/>
      <c r="V837" s="933"/>
      <c r="W837" s="933"/>
      <c r="X837" s="945"/>
      <c r="Y837" s="933"/>
      <c r="Z837" s="933"/>
      <c r="AA837" s="933"/>
      <c r="AB837" s="933"/>
      <c r="AC837" s="933"/>
      <c r="AD837" s="933"/>
      <c r="AE837" s="933"/>
      <c r="AF837" s="933"/>
      <c r="AG837" s="933"/>
    </row>
    <row r="838" spans="1:33" ht="12.75">
      <c r="A838" s="933"/>
      <c r="B838" s="933"/>
      <c r="C838" s="933"/>
      <c r="D838" s="933"/>
      <c r="E838" s="933"/>
      <c r="F838" s="933"/>
      <c r="G838" s="933"/>
      <c r="H838" s="933"/>
      <c r="I838" s="933"/>
      <c r="J838" s="933"/>
      <c r="K838" s="933"/>
      <c r="L838" s="933"/>
      <c r="M838" s="933"/>
      <c r="N838" s="933"/>
      <c r="O838" s="933"/>
      <c r="P838" s="933"/>
      <c r="Q838" s="933"/>
      <c r="R838" s="933"/>
      <c r="S838" s="933"/>
      <c r="T838" s="933"/>
      <c r="V838" s="933"/>
      <c r="W838" s="933"/>
      <c r="X838" s="945"/>
      <c r="Y838" s="933"/>
      <c r="Z838" s="933"/>
      <c r="AA838" s="933"/>
      <c r="AB838" s="933"/>
      <c r="AC838" s="933"/>
      <c r="AD838" s="933"/>
      <c r="AE838" s="933"/>
      <c r="AF838" s="933"/>
      <c r="AG838" s="933"/>
    </row>
    <row r="839" spans="1:33" ht="12.75">
      <c r="A839" s="933"/>
      <c r="B839" s="933"/>
      <c r="C839" s="933"/>
      <c r="D839" s="933"/>
      <c r="E839" s="933"/>
      <c r="F839" s="933"/>
      <c r="G839" s="933"/>
      <c r="H839" s="933"/>
      <c r="I839" s="933"/>
      <c r="J839" s="933"/>
      <c r="K839" s="933"/>
      <c r="L839" s="933"/>
      <c r="M839" s="933"/>
      <c r="N839" s="933"/>
      <c r="O839" s="933"/>
      <c r="P839" s="933"/>
      <c r="Q839" s="933"/>
      <c r="R839" s="933"/>
      <c r="S839" s="933"/>
      <c r="T839" s="933"/>
      <c r="V839" s="933"/>
      <c r="W839" s="933"/>
      <c r="X839" s="945"/>
      <c r="Y839" s="933"/>
      <c r="Z839" s="933"/>
      <c r="AA839" s="933"/>
      <c r="AB839" s="933"/>
      <c r="AC839" s="933"/>
      <c r="AD839" s="933"/>
      <c r="AE839" s="933"/>
      <c r="AF839" s="933"/>
      <c r="AG839" s="933"/>
    </row>
    <row r="840" spans="1:33" ht="12.75">
      <c r="A840" s="933"/>
      <c r="B840" s="933"/>
      <c r="C840" s="933"/>
      <c r="D840" s="933"/>
      <c r="E840" s="933"/>
      <c r="F840" s="933"/>
      <c r="G840" s="933"/>
      <c r="H840" s="933"/>
      <c r="I840" s="933"/>
      <c r="J840" s="933"/>
      <c r="K840" s="933"/>
      <c r="L840" s="933"/>
      <c r="M840" s="933"/>
      <c r="N840" s="933"/>
      <c r="O840" s="933"/>
      <c r="P840" s="933"/>
      <c r="Q840" s="933"/>
      <c r="R840" s="933"/>
      <c r="S840" s="933"/>
      <c r="T840" s="933"/>
      <c r="V840" s="933"/>
      <c r="W840" s="933"/>
      <c r="X840" s="945"/>
      <c r="Y840" s="933"/>
      <c r="Z840" s="933"/>
      <c r="AA840" s="933"/>
      <c r="AB840" s="933"/>
      <c r="AC840" s="933"/>
      <c r="AD840" s="933"/>
      <c r="AE840" s="933"/>
      <c r="AF840" s="933"/>
      <c r="AG840" s="933"/>
    </row>
    <row r="841" spans="1:33" ht="12.75">
      <c r="A841" s="933"/>
      <c r="B841" s="933"/>
      <c r="C841" s="933"/>
      <c r="D841" s="933"/>
      <c r="E841" s="933"/>
      <c r="F841" s="933"/>
      <c r="G841" s="933"/>
      <c r="H841" s="933"/>
      <c r="I841" s="933"/>
      <c r="J841" s="933"/>
      <c r="K841" s="933"/>
      <c r="L841" s="933"/>
      <c r="M841" s="933"/>
      <c r="N841" s="933"/>
      <c r="O841" s="933"/>
      <c r="P841" s="933"/>
      <c r="Q841" s="933"/>
      <c r="R841" s="933"/>
      <c r="S841" s="933"/>
      <c r="T841" s="933"/>
      <c r="V841" s="933"/>
      <c r="W841" s="933"/>
      <c r="X841" s="945"/>
      <c r="Y841" s="933"/>
      <c r="Z841" s="933"/>
      <c r="AA841" s="933"/>
      <c r="AB841" s="933"/>
      <c r="AC841" s="933"/>
      <c r="AD841" s="933"/>
      <c r="AE841" s="933"/>
      <c r="AF841" s="933"/>
      <c r="AG841" s="933"/>
    </row>
    <row r="842" spans="1:33" ht="12.75">
      <c r="A842" s="933"/>
      <c r="B842" s="933"/>
      <c r="C842" s="933"/>
      <c r="D842" s="933"/>
      <c r="E842" s="933"/>
      <c r="F842" s="933"/>
      <c r="G842" s="933"/>
      <c r="H842" s="933"/>
      <c r="I842" s="933"/>
      <c r="J842" s="933"/>
      <c r="K842" s="933"/>
      <c r="L842" s="933"/>
      <c r="M842" s="933"/>
      <c r="N842" s="933"/>
      <c r="O842" s="933"/>
      <c r="P842" s="933"/>
      <c r="Q842" s="933"/>
      <c r="R842" s="933"/>
      <c r="S842" s="933"/>
      <c r="T842" s="933"/>
      <c r="V842" s="933"/>
      <c r="W842" s="933"/>
      <c r="X842" s="945"/>
      <c r="Y842" s="933"/>
      <c r="Z842" s="933"/>
      <c r="AA842" s="933"/>
      <c r="AB842" s="933"/>
      <c r="AC842" s="933"/>
      <c r="AD842" s="933"/>
      <c r="AE842" s="933"/>
      <c r="AF842" s="933"/>
      <c r="AG842" s="933"/>
    </row>
    <row r="843" spans="1:33" ht="12.75">
      <c r="A843" s="933"/>
      <c r="B843" s="933"/>
      <c r="C843" s="933"/>
      <c r="D843" s="933"/>
      <c r="E843" s="933"/>
      <c r="F843" s="933"/>
      <c r="G843" s="933"/>
      <c r="H843" s="933"/>
      <c r="I843" s="933"/>
      <c r="J843" s="933"/>
      <c r="K843" s="933"/>
      <c r="L843" s="933"/>
      <c r="M843" s="933"/>
      <c r="N843" s="933"/>
      <c r="O843" s="933"/>
      <c r="P843" s="933"/>
      <c r="Q843" s="933"/>
      <c r="R843" s="933"/>
      <c r="S843" s="933"/>
      <c r="T843" s="933"/>
      <c r="V843" s="933"/>
      <c r="W843" s="933"/>
      <c r="X843" s="945"/>
      <c r="Y843" s="933"/>
      <c r="Z843" s="933"/>
      <c r="AA843" s="933"/>
      <c r="AB843" s="933"/>
      <c r="AC843" s="933"/>
      <c r="AD843" s="933"/>
      <c r="AE843" s="933"/>
      <c r="AF843" s="933"/>
      <c r="AG843" s="933"/>
    </row>
    <row r="844" spans="1:33" ht="12.75">
      <c r="A844" s="933"/>
      <c r="B844" s="933"/>
      <c r="C844" s="933"/>
      <c r="D844" s="933"/>
      <c r="E844" s="933"/>
      <c r="F844" s="933"/>
      <c r="G844" s="933"/>
      <c r="H844" s="933"/>
      <c r="I844" s="933"/>
      <c r="J844" s="933"/>
      <c r="K844" s="933"/>
      <c r="L844" s="933"/>
      <c r="M844" s="933"/>
      <c r="N844" s="933"/>
      <c r="O844" s="933"/>
      <c r="P844" s="933"/>
      <c r="Q844" s="933"/>
      <c r="R844" s="933"/>
      <c r="S844" s="933"/>
      <c r="T844" s="933"/>
      <c r="V844" s="933"/>
      <c r="W844" s="933"/>
      <c r="X844" s="945"/>
      <c r="Y844" s="933"/>
      <c r="Z844" s="933"/>
      <c r="AA844" s="933"/>
      <c r="AB844" s="933"/>
      <c r="AC844" s="933"/>
      <c r="AD844" s="933"/>
      <c r="AE844" s="933"/>
      <c r="AF844" s="933"/>
      <c r="AG844" s="933"/>
    </row>
    <row r="845" spans="1:33" ht="12.75">
      <c r="A845" s="933"/>
      <c r="B845" s="933"/>
      <c r="C845" s="933"/>
      <c r="D845" s="933"/>
      <c r="E845" s="933"/>
      <c r="F845" s="933"/>
      <c r="G845" s="933"/>
      <c r="H845" s="933"/>
      <c r="I845" s="933"/>
      <c r="J845" s="933"/>
      <c r="K845" s="933"/>
      <c r="L845" s="933"/>
      <c r="M845" s="933"/>
      <c r="N845" s="933"/>
      <c r="O845" s="933"/>
      <c r="P845" s="933"/>
      <c r="Q845" s="933"/>
      <c r="R845" s="933"/>
      <c r="S845" s="933"/>
      <c r="T845" s="933"/>
      <c r="V845" s="933"/>
      <c r="W845" s="933"/>
      <c r="X845" s="945"/>
      <c r="Y845" s="933"/>
      <c r="Z845" s="933"/>
      <c r="AA845" s="933"/>
      <c r="AB845" s="933"/>
      <c r="AC845" s="933"/>
      <c r="AD845" s="933"/>
      <c r="AE845" s="933"/>
      <c r="AF845" s="933"/>
      <c r="AG845" s="933"/>
    </row>
    <row r="846" spans="1:33" ht="12.75">
      <c r="A846" s="933"/>
      <c r="B846" s="933"/>
      <c r="C846" s="933"/>
      <c r="D846" s="933"/>
      <c r="E846" s="933"/>
      <c r="F846" s="933"/>
      <c r="G846" s="933"/>
      <c r="H846" s="933"/>
      <c r="I846" s="933"/>
      <c r="J846" s="933"/>
      <c r="K846" s="933"/>
      <c r="L846" s="933"/>
      <c r="M846" s="933"/>
      <c r="N846" s="933"/>
      <c r="O846" s="933"/>
      <c r="P846" s="933"/>
      <c r="Q846" s="933"/>
      <c r="R846" s="933"/>
      <c r="S846" s="933"/>
      <c r="T846" s="933"/>
      <c r="V846" s="933"/>
      <c r="W846" s="933"/>
      <c r="X846" s="945"/>
      <c r="Y846" s="933"/>
      <c r="Z846" s="933"/>
      <c r="AA846" s="933"/>
      <c r="AB846" s="933"/>
      <c r="AC846" s="933"/>
      <c r="AD846" s="933"/>
      <c r="AE846" s="933"/>
      <c r="AF846" s="933"/>
      <c r="AG846" s="933"/>
    </row>
    <row r="847" spans="1:33" ht="12.75">
      <c r="A847" s="933"/>
      <c r="B847" s="933"/>
      <c r="C847" s="933"/>
      <c r="D847" s="933"/>
      <c r="E847" s="933"/>
      <c r="F847" s="933"/>
      <c r="G847" s="933"/>
      <c r="H847" s="933"/>
      <c r="I847" s="933"/>
      <c r="J847" s="933"/>
      <c r="K847" s="933"/>
      <c r="L847" s="933"/>
      <c r="M847" s="933"/>
      <c r="N847" s="933"/>
      <c r="O847" s="933"/>
      <c r="P847" s="933"/>
      <c r="Q847" s="933"/>
      <c r="R847" s="933"/>
      <c r="S847" s="933"/>
      <c r="T847" s="933"/>
      <c r="V847" s="933"/>
      <c r="W847" s="933"/>
      <c r="X847" s="945"/>
      <c r="Y847" s="933"/>
      <c r="Z847" s="933"/>
      <c r="AA847" s="933"/>
      <c r="AB847" s="933"/>
      <c r="AC847" s="933"/>
      <c r="AD847" s="933"/>
      <c r="AE847" s="933"/>
      <c r="AF847" s="933"/>
      <c r="AG847" s="933"/>
    </row>
    <row r="848" spans="1:33" ht="12.75">
      <c r="A848" s="933"/>
      <c r="B848" s="933"/>
      <c r="C848" s="933"/>
      <c r="D848" s="933"/>
      <c r="E848" s="933"/>
      <c r="F848" s="933"/>
      <c r="G848" s="933"/>
      <c r="H848" s="933"/>
      <c r="I848" s="933"/>
      <c r="J848" s="933"/>
      <c r="K848" s="933"/>
      <c r="L848" s="933"/>
      <c r="M848" s="933"/>
      <c r="N848" s="933"/>
      <c r="O848" s="933"/>
      <c r="P848" s="933"/>
      <c r="Q848" s="933"/>
      <c r="R848" s="933"/>
      <c r="S848" s="933"/>
      <c r="T848" s="933"/>
      <c r="V848" s="933"/>
      <c r="W848" s="933"/>
      <c r="X848" s="945"/>
      <c r="Y848" s="933"/>
      <c r="Z848" s="933"/>
      <c r="AA848" s="933"/>
      <c r="AB848" s="933"/>
      <c r="AC848" s="933"/>
      <c r="AD848" s="933"/>
      <c r="AE848" s="933"/>
      <c r="AF848" s="933"/>
      <c r="AG848" s="933"/>
    </row>
    <row r="849" spans="1:33" ht="12.75">
      <c r="A849" s="933"/>
      <c r="B849" s="933"/>
      <c r="C849" s="933"/>
      <c r="D849" s="933"/>
      <c r="E849" s="933"/>
      <c r="F849" s="933"/>
      <c r="G849" s="933"/>
      <c r="H849" s="933"/>
      <c r="I849" s="933"/>
      <c r="J849" s="933"/>
      <c r="K849" s="933"/>
      <c r="L849" s="933"/>
      <c r="M849" s="933"/>
      <c r="N849" s="933"/>
      <c r="O849" s="933"/>
      <c r="P849" s="933"/>
      <c r="Q849" s="933"/>
      <c r="R849" s="933"/>
      <c r="S849" s="933"/>
      <c r="T849" s="933"/>
      <c r="V849" s="933"/>
      <c r="W849" s="933"/>
      <c r="X849" s="945"/>
      <c r="Y849" s="933"/>
      <c r="Z849" s="933"/>
      <c r="AA849" s="933"/>
      <c r="AB849" s="933"/>
      <c r="AC849" s="933"/>
      <c r="AD849" s="933"/>
      <c r="AE849" s="933"/>
      <c r="AF849" s="933"/>
      <c r="AG849" s="933"/>
    </row>
    <row r="850" spans="1:33" ht="12.75">
      <c r="A850" s="933"/>
      <c r="B850" s="933"/>
      <c r="C850" s="933"/>
      <c r="D850" s="933"/>
      <c r="E850" s="933"/>
      <c r="F850" s="933"/>
      <c r="G850" s="933"/>
      <c r="H850" s="933"/>
      <c r="I850" s="933"/>
      <c r="J850" s="933"/>
      <c r="K850" s="933"/>
      <c r="L850" s="933"/>
      <c r="M850" s="933"/>
      <c r="N850" s="933"/>
      <c r="O850" s="933"/>
      <c r="P850" s="933"/>
      <c r="Q850" s="933"/>
      <c r="R850" s="933"/>
      <c r="S850" s="933"/>
      <c r="T850" s="933"/>
      <c r="V850" s="933"/>
      <c r="W850" s="933"/>
      <c r="X850" s="945"/>
      <c r="Y850" s="933"/>
      <c r="Z850" s="933"/>
      <c r="AA850" s="933"/>
      <c r="AB850" s="933"/>
      <c r="AC850" s="933"/>
      <c r="AD850" s="933"/>
      <c r="AE850" s="933"/>
      <c r="AF850" s="933"/>
      <c r="AG850" s="933"/>
    </row>
    <row r="851" spans="1:33" ht="12.75">
      <c r="A851" s="933"/>
      <c r="B851" s="933"/>
      <c r="C851" s="933"/>
      <c r="D851" s="933"/>
      <c r="E851" s="933"/>
      <c r="F851" s="933"/>
      <c r="G851" s="933"/>
      <c r="H851" s="933"/>
      <c r="I851" s="933"/>
      <c r="J851" s="933"/>
      <c r="K851" s="933"/>
      <c r="L851" s="933"/>
      <c r="M851" s="933"/>
      <c r="N851" s="933"/>
      <c r="O851" s="933"/>
      <c r="P851" s="933"/>
      <c r="Q851" s="933"/>
      <c r="R851" s="933"/>
      <c r="S851" s="933"/>
      <c r="T851" s="933"/>
      <c r="V851" s="933"/>
      <c r="W851" s="933"/>
      <c r="X851" s="945"/>
      <c r="Y851" s="933"/>
      <c r="Z851" s="933"/>
      <c r="AA851" s="933"/>
      <c r="AB851" s="933"/>
      <c r="AC851" s="933"/>
      <c r="AD851" s="933"/>
      <c r="AE851" s="933"/>
      <c r="AF851" s="933"/>
      <c r="AG851" s="933"/>
    </row>
    <row r="852" spans="1:33" ht="12.75">
      <c r="A852" s="933"/>
      <c r="B852" s="933"/>
      <c r="C852" s="933"/>
      <c r="D852" s="933"/>
      <c r="E852" s="933"/>
      <c r="F852" s="933"/>
      <c r="G852" s="933"/>
      <c r="H852" s="933"/>
      <c r="I852" s="933"/>
      <c r="J852" s="933"/>
      <c r="K852" s="933"/>
      <c r="L852" s="933"/>
      <c r="M852" s="933"/>
      <c r="N852" s="933"/>
      <c r="O852" s="933"/>
      <c r="P852" s="933"/>
      <c r="Q852" s="933"/>
      <c r="R852" s="933"/>
      <c r="S852" s="933"/>
      <c r="T852" s="933"/>
      <c r="V852" s="933"/>
      <c r="W852" s="933"/>
      <c r="X852" s="945"/>
      <c r="Y852" s="933"/>
      <c r="Z852" s="933"/>
      <c r="AA852" s="933"/>
      <c r="AB852" s="933"/>
      <c r="AC852" s="933"/>
      <c r="AD852" s="933"/>
      <c r="AE852" s="933"/>
      <c r="AF852" s="933"/>
      <c r="AG852" s="933"/>
    </row>
    <row r="853" spans="1:33" ht="12.75">
      <c r="A853" s="933"/>
      <c r="B853" s="933"/>
      <c r="C853" s="933"/>
      <c r="D853" s="933"/>
      <c r="E853" s="933"/>
      <c r="F853" s="933"/>
      <c r="G853" s="933"/>
      <c r="H853" s="933"/>
      <c r="I853" s="933"/>
      <c r="J853" s="933"/>
      <c r="K853" s="933"/>
      <c r="L853" s="933"/>
      <c r="M853" s="933"/>
      <c r="N853" s="933"/>
      <c r="O853" s="933"/>
      <c r="P853" s="933"/>
      <c r="Q853" s="933"/>
      <c r="R853" s="933"/>
      <c r="S853" s="933"/>
      <c r="T853" s="933"/>
      <c r="V853" s="933"/>
      <c r="W853" s="933"/>
      <c r="X853" s="945"/>
      <c r="Y853" s="933"/>
      <c r="Z853" s="933"/>
      <c r="AA853" s="933"/>
      <c r="AB853" s="933"/>
      <c r="AC853" s="933"/>
      <c r="AD853" s="933"/>
      <c r="AE853" s="933"/>
      <c r="AF853" s="933"/>
      <c r="AG853" s="933"/>
    </row>
    <row r="854" spans="1:33" ht="12.75">
      <c r="A854" s="933"/>
      <c r="B854" s="933"/>
      <c r="C854" s="933"/>
      <c r="D854" s="933"/>
      <c r="E854" s="933"/>
      <c r="F854" s="933"/>
      <c r="G854" s="933"/>
      <c r="H854" s="933"/>
      <c r="I854" s="933"/>
      <c r="J854" s="933"/>
      <c r="K854" s="933"/>
      <c r="L854" s="933"/>
      <c r="M854" s="933"/>
      <c r="N854" s="933"/>
      <c r="O854" s="933"/>
      <c r="P854" s="933"/>
      <c r="Q854" s="933"/>
      <c r="R854" s="933"/>
      <c r="S854" s="933"/>
      <c r="T854" s="933"/>
      <c r="V854" s="933"/>
      <c r="W854" s="933"/>
      <c r="X854" s="945"/>
      <c r="Y854" s="933"/>
      <c r="Z854" s="933"/>
      <c r="AA854" s="933"/>
      <c r="AB854" s="933"/>
      <c r="AC854" s="933"/>
      <c r="AD854" s="933"/>
      <c r="AE854" s="933"/>
      <c r="AF854" s="933"/>
      <c r="AG854" s="933"/>
    </row>
    <row r="855" spans="1:33" ht="12.75">
      <c r="A855" s="933"/>
      <c r="B855" s="933"/>
      <c r="C855" s="933"/>
      <c r="D855" s="933"/>
      <c r="E855" s="933"/>
      <c r="F855" s="933"/>
      <c r="G855" s="933"/>
      <c r="H855" s="933"/>
      <c r="I855" s="933"/>
      <c r="J855" s="933"/>
      <c r="K855" s="933"/>
      <c r="L855" s="933"/>
      <c r="M855" s="933"/>
      <c r="N855" s="933"/>
      <c r="O855" s="933"/>
      <c r="P855" s="933"/>
      <c r="Q855" s="933"/>
      <c r="R855" s="933"/>
      <c r="S855" s="933"/>
      <c r="T855" s="933"/>
      <c r="V855" s="933"/>
      <c r="W855" s="933"/>
      <c r="X855" s="945"/>
      <c r="Y855" s="933"/>
      <c r="Z855" s="933"/>
      <c r="AA855" s="933"/>
      <c r="AB855" s="933"/>
      <c r="AC855" s="933"/>
      <c r="AD855" s="933"/>
      <c r="AE855" s="933"/>
      <c r="AF855" s="933"/>
      <c r="AG855" s="933"/>
    </row>
    <row r="856" spans="1:33" ht="12.75">
      <c r="A856" s="933"/>
      <c r="B856" s="933"/>
      <c r="C856" s="933"/>
      <c r="D856" s="933"/>
      <c r="E856" s="933"/>
      <c r="F856" s="933"/>
      <c r="G856" s="933"/>
      <c r="H856" s="933"/>
      <c r="I856" s="933"/>
      <c r="J856" s="933"/>
      <c r="K856" s="933"/>
      <c r="L856" s="933"/>
      <c r="M856" s="933"/>
      <c r="N856" s="933"/>
      <c r="O856" s="933"/>
      <c r="P856" s="933"/>
      <c r="Q856" s="933"/>
      <c r="R856" s="933"/>
      <c r="S856" s="933"/>
      <c r="T856" s="933"/>
      <c r="V856" s="933"/>
      <c r="W856" s="933"/>
      <c r="X856" s="945"/>
      <c r="Y856" s="933"/>
      <c r="Z856" s="933"/>
      <c r="AA856" s="933"/>
      <c r="AB856" s="933"/>
      <c r="AC856" s="933"/>
      <c r="AD856" s="933"/>
      <c r="AE856" s="933"/>
      <c r="AF856" s="933"/>
      <c r="AG856" s="933"/>
    </row>
    <row r="857" spans="1:33" ht="12.75">
      <c r="A857" s="933"/>
      <c r="B857" s="933"/>
      <c r="C857" s="933"/>
      <c r="D857" s="933"/>
      <c r="E857" s="933"/>
      <c r="F857" s="933"/>
      <c r="G857" s="933"/>
      <c r="H857" s="933"/>
      <c r="I857" s="933"/>
      <c r="J857" s="933"/>
      <c r="K857" s="933"/>
      <c r="L857" s="933"/>
      <c r="M857" s="933"/>
      <c r="N857" s="933"/>
      <c r="O857" s="933"/>
      <c r="P857" s="933"/>
      <c r="Q857" s="933"/>
      <c r="R857" s="933"/>
      <c r="S857" s="933"/>
      <c r="T857" s="933"/>
      <c r="V857" s="933"/>
      <c r="W857" s="933"/>
      <c r="X857" s="945"/>
      <c r="Y857" s="933"/>
      <c r="Z857" s="933"/>
      <c r="AA857" s="933"/>
      <c r="AB857" s="933"/>
      <c r="AC857" s="933"/>
      <c r="AD857" s="933"/>
      <c r="AE857" s="933"/>
      <c r="AF857" s="933"/>
      <c r="AG857" s="933"/>
    </row>
    <row r="858" spans="1:33" ht="12.75">
      <c r="A858" s="933"/>
      <c r="B858" s="933"/>
      <c r="C858" s="933"/>
      <c r="D858" s="933"/>
      <c r="E858" s="933"/>
      <c r="F858" s="933"/>
      <c r="G858" s="933"/>
      <c r="H858" s="933"/>
      <c r="I858" s="933"/>
      <c r="J858" s="933"/>
      <c r="K858" s="933"/>
      <c r="L858" s="933"/>
      <c r="M858" s="933"/>
      <c r="N858" s="933"/>
      <c r="O858" s="933"/>
      <c r="P858" s="933"/>
      <c r="Q858" s="933"/>
      <c r="R858" s="933"/>
      <c r="S858" s="933"/>
      <c r="T858" s="933"/>
      <c r="V858" s="933"/>
      <c r="W858" s="933"/>
      <c r="X858" s="945"/>
      <c r="Y858" s="933"/>
      <c r="Z858" s="933"/>
      <c r="AA858" s="933"/>
      <c r="AB858" s="933"/>
      <c r="AC858" s="933"/>
      <c r="AD858" s="933"/>
      <c r="AE858" s="933"/>
      <c r="AF858" s="933"/>
      <c r="AG858" s="933"/>
    </row>
    <row r="859" spans="1:33" ht="12.75">
      <c r="A859" s="933"/>
      <c r="B859" s="933"/>
      <c r="C859" s="933"/>
      <c r="D859" s="933"/>
      <c r="E859" s="933"/>
      <c r="F859" s="933"/>
      <c r="G859" s="933"/>
      <c r="H859" s="933"/>
      <c r="I859" s="933"/>
      <c r="J859" s="933"/>
      <c r="K859" s="933"/>
      <c r="L859" s="933"/>
      <c r="M859" s="933"/>
      <c r="N859" s="933"/>
      <c r="O859" s="933"/>
      <c r="P859" s="933"/>
      <c r="Q859" s="933"/>
      <c r="R859" s="933"/>
      <c r="S859" s="933"/>
      <c r="T859" s="933"/>
      <c r="V859" s="933"/>
      <c r="W859" s="933"/>
      <c r="X859" s="945"/>
      <c r="Y859" s="933"/>
      <c r="Z859" s="933"/>
      <c r="AA859" s="933"/>
      <c r="AB859" s="933"/>
      <c r="AC859" s="933"/>
      <c r="AD859" s="933"/>
      <c r="AE859" s="933"/>
      <c r="AF859" s="933"/>
      <c r="AG859" s="933"/>
    </row>
    <row r="860" spans="1:33" ht="12.75">
      <c r="A860" s="933"/>
      <c r="B860" s="933"/>
      <c r="C860" s="933"/>
      <c r="D860" s="933"/>
      <c r="E860" s="933"/>
      <c r="F860" s="933"/>
      <c r="G860" s="933"/>
      <c r="H860" s="933"/>
      <c r="I860" s="933"/>
      <c r="J860" s="933"/>
      <c r="K860" s="933"/>
      <c r="L860" s="933"/>
      <c r="M860" s="933"/>
      <c r="N860" s="933"/>
      <c r="O860" s="933"/>
      <c r="P860" s="933"/>
      <c r="Q860" s="933"/>
      <c r="R860" s="933"/>
      <c r="S860" s="933"/>
      <c r="T860" s="933"/>
      <c r="V860" s="933"/>
      <c r="W860" s="933"/>
      <c r="X860" s="945"/>
      <c r="Y860" s="933"/>
      <c r="Z860" s="933"/>
      <c r="AA860" s="933"/>
      <c r="AB860" s="933"/>
      <c r="AC860" s="933"/>
      <c r="AD860" s="933"/>
      <c r="AE860" s="933"/>
      <c r="AF860" s="933"/>
      <c r="AG860" s="933"/>
    </row>
    <row r="861" spans="1:33" ht="12.75">
      <c r="A861" s="933"/>
      <c r="B861" s="933"/>
      <c r="C861" s="933"/>
      <c r="D861" s="933"/>
      <c r="E861" s="933"/>
      <c r="F861" s="933"/>
      <c r="G861" s="933"/>
      <c r="H861" s="933"/>
      <c r="I861" s="933"/>
      <c r="J861" s="933"/>
      <c r="K861" s="933"/>
      <c r="L861" s="933"/>
      <c r="M861" s="933"/>
      <c r="N861" s="933"/>
      <c r="O861" s="933"/>
      <c r="P861" s="933"/>
      <c r="Q861" s="933"/>
      <c r="R861" s="933"/>
      <c r="S861" s="933"/>
      <c r="T861" s="933"/>
      <c r="V861" s="933"/>
      <c r="W861" s="933"/>
      <c r="X861" s="945"/>
      <c r="Y861" s="933"/>
      <c r="Z861" s="933"/>
      <c r="AA861" s="933"/>
      <c r="AB861" s="933"/>
      <c r="AC861" s="933"/>
      <c r="AD861" s="933"/>
      <c r="AE861" s="933"/>
      <c r="AF861" s="933"/>
      <c r="AG861" s="933"/>
    </row>
    <row r="862" spans="1:33" ht="12.75">
      <c r="A862" s="933"/>
      <c r="B862" s="933"/>
      <c r="C862" s="933"/>
      <c r="D862" s="933"/>
      <c r="E862" s="933"/>
      <c r="F862" s="933"/>
      <c r="G862" s="933"/>
      <c r="H862" s="933"/>
      <c r="I862" s="933"/>
      <c r="J862" s="933"/>
      <c r="K862" s="933"/>
      <c r="L862" s="933"/>
      <c r="M862" s="933"/>
      <c r="N862" s="933"/>
      <c r="O862" s="933"/>
      <c r="P862" s="933"/>
      <c r="Q862" s="933"/>
      <c r="R862" s="933"/>
      <c r="S862" s="933"/>
      <c r="T862" s="933"/>
      <c r="V862" s="933"/>
      <c r="W862" s="933"/>
      <c r="X862" s="945"/>
      <c r="Y862" s="933"/>
      <c r="Z862" s="933"/>
      <c r="AA862" s="933"/>
      <c r="AB862" s="933"/>
      <c r="AC862" s="933"/>
      <c r="AD862" s="933"/>
      <c r="AE862" s="933"/>
      <c r="AF862" s="933"/>
      <c r="AG862" s="933"/>
    </row>
    <row r="863" spans="1:33" ht="12.75">
      <c r="A863" s="933"/>
      <c r="B863" s="933"/>
      <c r="C863" s="933"/>
      <c r="D863" s="933"/>
      <c r="E863" s="933"/>
      <c r="F863" s="933"/>
      <c r="G863" s="933"/>
      <c r="H863" s="933"/>
      <c r="I863" s="933"/>
      <c r="J863" s="933"/>
      <c r="K863" s="933"/>
      <c r="L863" s="933"/>
      <c r="M863" s="933"/>
      <c r="N863" s="933"/>
      <c r="O863" s="933"/>
      <c r="P863" s="933"/>
      <c r="Q863" s="933"/>
      <c r="R863" s="933"/>
      <c r="S863" s="933"/>
      <c r="T863" s="933"/>
      <c r="V863" s="933"/>
      <c r="W863" s="933"/>
      <c r="X863" s="945"/>
      <c r="Y863" s="933"/>
      <c r="Z863" s="933"/>
      <c r="AA863" s="933"/>
      <c r="AB863" s="933"/>
      <c r="AC863" s="933"/>
      <c r="AD863" s="933"/>
      <c r="AE863" s="933"/>
      <c r="AF863" s="933"/>
      <c r="AG863" s="933"/>
    </row>
    <row r="864" spans="1:33" ht="12.75">
      <c r="A864" s="933"/>
      <c r="B864" s="933"/>
      <c r="C864" s="933"/>
      <c r="D864" s="933"/>
      <c r="E864" s="933"/>
      <c r="F864" s="933"/>
      <c r="G864" s="933"/>
      <c r="H864" s="933"/>
      <c r="I864" s="933"/>
      <c r="J864" s="933"/>
      <c r="K864" s="933"/>
      <c r="L864" s="933"/>
      <c r="M864" s="933"/>
      <c r="N864" s="933"/>
      <c r="O864" s="933"/>
      <c r="P864" s="933"/>
      <c r="Q864" s="933"/>
      <c r="R864" s="933"/>
      <c r="S864" s="933"/>
      <c r="T864" s="933"/>
      <c r="V864" s="933"/>
      <c r="W864" s="933"/>
      <c r="X864" s="945"/>
      <c r="Y864" s="933"/>
      <c r="Z864" s="933"/>
      <c r="AA864" s="933"/>
      <c r="AB864" s="933"/>
      <c r="AC864" s="933"/>
      <c r="AD864" s="933"/>
      <c r="AE864" s="933"/>
      <c r="AF864" s="933"/>
      <c r="AG864" s="933"/>
    </row>
    <row r="865" spans="1:33" ht="12.75">
      <c r="A865" s="933"/>
      <c r="B865" s="933"/>
      <c r="C865" s="933"/>
      <c r="D865" s="933"/>
      <c r="E865" s="933"/>
      <c r="F865" s="933"/>
      <c r="G865" s="933"/>
      <c r="H865" s="933"/>
      <c r="I865" s="933"/>
      <c r="J865" s="933"/>
      <c r="K865" s="933"/>
      <c r="L865" s="933"/>
      <c r="M865" s="933"/>
      <c r="N865" s="933"/>
      <c r="O865" s="933"/>
      <c r="P865" s="933"/>
      <c r="Q865" s="933"/>
      <c r="R865" s="933"/>
      <c r="S865" s="933"/>
      <c r="T865" s="933"/>
      <c r="V865" s="933"/>
      <c r="W865" s="933"/>
      <c r="X865" s="945"/>
      <c r="Y865" s="933"/>
      <c r="Z865" s="933"/>
      <c r="AA865" s="933"/>
      <c r="AB865" s="933"/>
      <c r="AC865" s="933"/>
      <c r="AD865" s="933"/>
      <c r="AE865" s="933"/>
      <c r="AF865" s="933"/>
      <c r="AG865" s="933"/>
    </row>
    <row r="866" spans="1:33" ht="12.75">
      <c r="A866" s="933"/>
      <c r="B866" s="933"/>
      <c r="C866" s="933"/>
      <c r="D866" s="933"/>
      <c r="E866" s="933"/>
      <c r="F866" s="933"/>
      <c r="G866" s="933"/>
      <c r="H866" s="933"/>
      <c r="I866" s="933"/>
      <c r="J866" s="933"/>
      <c r="K866" s="933"/>
      <c r="L866" s="933"/>
      <c r="M866" s="933"/>
      <c r="N866" s="933"/>
      <c r="O866" s="933"/>
      <c r="P866" s="933"/>
      <c r="Q866" s="933"/>
      <c r="R866" s="933"/>
      <c r="S866" s="933"/>
      <c r="T866" s="933"/>
      <c r="V866" s="933"/>
      <c r="W866" s="933"/>
      <c r="X866" s="945"/>
      <c r="Y866" s="933"/>
      <c r="Z866" s="933"/>
      <c r="AA866" s="933"/>
      <c r="AB866" s="933"/>
      <c r="AC866" s="933"/>
      <c r="AD866" s="933"/>
      <c r="AE866" s="933"/>
      <c r="AF866" s="933"/>
      <c r="AG866" s="933"/>
    </row>
    <row r="867" spans="1:33" ht="12.75">
      <c r="A867" s="933"/>
      <c r="B867" s="933"/>
      <c r="C867" s="933"/>
      <c r="D867" s="933"/>
      <c r="E867" s="933"/>
      <c r="F867" s="933"/>
      <c r="G867" s="933"/>
      <c r="H867" s="933"/>
      <c r="I867" s="933"/>
      <c r="J867" s="933"/>
      <c r="K867" s="933"/>
      <c r="L867" s="933"/>
      <c r="M867" s="933"/>
      <c r="N867" s="933"/>
      <c r="O867" s="933"/>
      <c r="P867" s="933"/>
      <c r="Q867" s="933"/>
      <c r="R867" s="933"/>
      <c r="S867" s="933"/>
      <c r="T867" s="933"/>
      <c r="V867" s="933"/>
      <c r="W867" s="933"/>
      <c r="X867" s="945"/>
      <c r="Y867" s="933"/>
      <c r="Z867" s="933"/>
      <c r="AA867" s="933"/>
      <c r="AB867" s="933"/>
      <c r="AC867" s="933"/>
      <c r="AD867" s="933"/>
      <c r="AE867" s="933"/>
      <c r="AF867" s="933"/>
      <c r="AG867" s="933"/>
    </row>
    <row r="868" spans="1:33" ht="12.75">
      <c r="A868" s="933"/>
      <c r="B868" s="933"/>
      <c r="C868" s="933"/>
      <c r="D868" s="933"/>
      <c r="E868" s="933"/>
      <c r="F868" s="933"/>
      <c r="G868" s="933"/>
      <c r="H868" s="933"/>
      <c r="I868" s="933"/>
      <c r="J868" s="933"/>
      <c r="K868" s="933"/>
      <c r="L868" s="933"/>
      <c r="M868" s="933"/>
      <c r="N868" s="933"/>
      <c r="O868" s="933"/>
      <c r="P868" s="933"/>
      <c r="Q868" s="933"/>
      <c r="R868" s="933"/>
      <c r="S868" s="933"/>
      <c r="T868" s="933"/>
      <c r="V868" s="933"/>
      <c r="W868" s="933"/>
      <c r="X868" s="945"/>
      <c r="Y868" s="933"/>
      <c r="Z868" s="933"/>
      <c r="AA868" s="933"/>
      <c r="AB868" s="933"/>
      <c r="AC868" s="933"/>
      <c r="AD868" s="933"/>
      <c r="AE868" s="933"/>
      <c r="AF868" s="933"/>
      <c r="AG868" s="933"/>
    </row>
    <row r="869" spans="1:33" ht="12.75">
      <c r="A869" s="933"/>
      <c r="B869" s="933"/>
      <c r="C869" s="933"/>
      <c r="D869" s="933"/>
      <c r="E869" s="933"/>
      <c r="F869" s="933"/>
      <c r="G869" s="933"/>
      <c r="H869" s="933"/>
      <c r="I869" s="933"/>
      <c r="J869" s="933"/>
      <c r="K869" s="933"/>
      <c r="L869" s="933"/>
      <c r="M869" s="933"/>
      <c r="N869" s="933"/>
      <c r="O869" s="933"/>
      <c r="P869" s="933"/>
      <c r="Q869" s="933"/>
      <c r="R869" s="933"/>
      <c r="S869" s="933"/>
      <c r="T869" s="933"/>
      <c r="V869" s="933"/>
      <c r="W869" s="933"/>
      <c r="X869" s="945"/>
      <c r="Y869" s="933"/>
      <c r="Z869" s="933"/>
      <c r="AA869" s="933"/>
      <c r="AB869" s="933"/>
      <c r="AC869" s="933"/>
      <c r="AD869" s="933"/>
      <c r="AE869" s="933"/>
      <c r="AF869" s="933"/>
      <c r="AG869" s="933"/>
    </row>
    <row r="870" spans="1:33" ht="12.75">
      <c r="A870" s="933"/>
      <c r="B870" s="933"/>
      <c r="C870" s="933"/>
      <c r="D870" s="933"/>
      <c r="E870" s="933"/>
      <c r="F870" s="933"/>
      <c r="G870" s="933"/>
      <c r="H870" s="933"/>
      <c r="I870" s="933"/>
      <c r="J870" s="933"/>
      <c r="K870" s="933"/>
      <c r="L870" s="933"/>
      <c r="M870" s="933"/>
      <c r="N870" s="933"/>
      <c r="O870" s="933"/>
      <c r="P870" s="933"/>
      <c r="Q870" s="933"/>
      <c r="R870" s="933"/>
      <c r="S870" s="933"/>
      <c r="T870" s="933"/>
      <c r="V870" s="933"/>
      <c r="W870" s="933"/>
      <c r="X870" s="945"/>
      <c r="Y870" s="933"/>
      <c r="Z870" s="933"/>
      <c r="AA870" s="933"/>
      <c r="AB870" s="933"/>
      <c r="AC870" s="933"/>
      <c r="AD870" s="933"/>
      <c r="AE870" s="933"/>
      <c r="AF870" s="933"/>
      <c r="AG870" s="933"/>
    </row>
    <row r="871" spans="1:33" ht="12.75">
      <c r="A871" s="933"/>
      <c r="B871" s="933"/>
      <c r="C871" s="933"/>
      <c r="D871" s="933"/>
      <c r="E871" s="933"/>
      <c r="F871" s="933"/>
      <c r="G871" s="933"/>
      <c r="H871" s="933"/>
      <c r="I871" s="933"/>
      <c r="J871" s="933"/>
      <c r="K871" s="933"/>
      <c r="L871" s="933"/>
      <c r="M871" s="933"/>
      <c r="N871" s="933"/>
      <c r="O871" s="933"/>
      <c r="P871" s="933"/>
      <c r="Q871" s="933"/>
      <c r="R871" s="933"/>
      <c r="S871" s="933"/>
      <c r="T871" s="933"/>
      <c r="V871" s="933"/>
      <c r="W871" s="933"/>
      <c r="X871" s="945"/>
      <c r="Y871" s="933"/>
      <c r="Z871" s="933"/>
      <c r="AA871" s="933"/>
      <c r="AB871" s="933"/>
      <c r="AC871" s="933"/>
      <c r="AD871" s="933"/>
      <c r="AE871" s="933"/>
      <c r="AF871" s="933"/>
      <c r="AG871" s="933"/>
    </row>
    <row r="872" spans="1:33" ht="12.75">
      <c r="A872" s="933"/>
      <c r="B872" s="933"/>
      <c r="C872" s="933"/>
      <c r="D872" s="933"/>
      <c r="E872" s="933"/>
      <c r="F872" s="933"/>
      <c r="G872" s="933"/>
      <c r="H872" s="933"/>
      <c r="I872" s="933"/>
      <c r="J872" s="933"/>
      <c r="K872" s="933"/>
      <c r="L872" s="933"/>
      <c r="M872" s="933"/>
      <c r="N872" s="933"/>
      <c r="O872" s="933"/>
      <c r="P872" s="933"/>
      <c r="Q872" s="933"/>
      <c r="R872" s="933"/>
      <c r="S872" s="933"/>
      <c r="T872" s="933"/>
      <c r="V872" s="933"/>
      <c r="W872" s="933"/>
      <c r="X872" s="945"/>
      <c r="Y872" s="933"/>
      <c r="Z872" s="933"/>
      <c r="AA872" s="933"/>
      <c r="AB872" s="933"/>
      <c r="AC872" s="933"/>
      <c r="AD872" s="933"/>
      <c r="AE872" s="933"/>
      <c r="AF872" s="933"/>
      <c r="AG872" s="933"/>
    </row>
    <row r="873" spans="1:33" ht="12.75">
      <c r="A873" s="933"/>
      <c r="B873" s="933"/>
      <c r="C873" s="933"/>
      <c r="D873" s="933"/>
      <c r="E873" s="933"/>
      <c r="F873" s="933"/>
      <c r="G873" s="933"/>
      <c r="H873" s="933"/>
      <c r="I873" s="933"/>
      <c r="J873" s="933"/>
      <c r="K873" s="933"/>
      <c r="L873" s="933"/>
      <c r="M873" s="933"/>
      <c r="N873" s="933"/>
      <c r="O873" s="933"/>
      <c r="P873" s="933"/>
      <c r="Q873" s="933"/>
      <c r="R873" s="933"/>
      <c r="S873" s="933"/>
      <c r="T873" s="933"/>
      <c r="V873" s="933"/>
      <c r="W873" s="933"/>
      <c r="X873" s="945"/>
      <c r="Y873" s="933"/>
      <c r="Z873" s="933"/>
      <c r="AA873" s="933"/>
      <c r="AB873" s="933"/>
      <c r="AC873" s="933"/>
      <c r="AD873" s="933"/>
      <c r="AE873" s="933"/>
      <c r="AF873" s="933"/>
      <c r="AG873" s="933"/>
    </row>
    <row r="874" spans="1:33" ht="12.75">
      <c r="A874" s="933"/>
      <c r="B874" s="933"/>
      <c r="C874" s="933"/>
      <c r="D874" s="933"/>
      <c r="E874" s="933"/>
      <c r="F874" s="933"/>
      <c r="G874" s="933"/>
      <c r="H874" s="933"/>
      <c r="I874" s="933"/>
      <c r="J874" s="933"/>
      <c r="K874" s="933"/>
      <c r="L874" s="933"/>
      <c r="M874" s="933"/>
      <c r="N874" s="933"/>
      <c r="O874" s="933"/>
      <c r="P874" s="933"/>
      <c r="Q874" s="933"/>
      <c r="R874" s="933"/>
      <c r="S874" s="933"/>
      <c r="T874" s="933"/>
      <c r="V874" s="933"/>
      <c r="W874" s="933"/>
      <c r="X874" s="945"/>
      <c r="Y874" s="933"/>
      <c r="Z874" s="933"/>
      <c r="AA874" s="933"/>
      <c r="AB874" s="933"/>
      <c r="AC874" s="933"/>
      <c r="AD874" s="933"/>
      <c r="AE874" s="933"/>
      <c r="AF874" s="933"/>
      <c r="AG874" s="933"/>
    </row>
    <row r="875" spans="1:33" ht="12.75">
      <c r="A875" s="933"/>
      <c r="B875" s="933"/>
      <c r="C875" s="933"/>
      <c r="D875" s="933"/>
      <c r="E875" s="933"/>
      <c r="F875" s="933"/>
      <c r="G875" s="933"/>
      <c r="H875" s="933"/>
      <c r="I875" s="933"/>
      <c r="J875" s="933"/>
      <c r="K875" s="933"/>
      <c r="L875" s="933"/>
      <c r="M875" s="933"/>
      <c r="N875" s="933"/>
      <c r="O875" s="933"/>
      <c r="P875" s="933"/>
      <c r="Q875" s="933"/>
      <c r="R875" s="933"/>
      <c r="S875" s="933"/>
      <c r="T875" s="933"/>
      <c r="V875" s="933"/>
      <c r="W875" s="933"/>
      <c r="X875" s="945"/>
      <c r="Y875" s="933"/>
      <c r="Z875" s="933"/>
      <c r="AA875" s="933"/>
      <c r="AB875" s="933"/>
      <c r="AC875" s="933"/>
      <c r="AD875" s="933"/>
      <c r="AE875" s="933"/>
      <c r="AF875" s="933"/>
      <c r="AG875" s="933"/>
    </row>
    <row r="876" spans="1:33" ht="12.75">
      <c r="A876" s="933"/>
      <c r="B876" s="933"/>
      <c r="C876" s="933"/>
      <c r="D876" s="933"/>
      <c r="E876" s="933"/>
      <c r="F876" s="933"/>
      <c r="G876" s="933"/>
      <c r="H876" s="933"/>
      <c r="I876" s="933"/>
      <c r="J876" s="933"/>
      <c r="K876" s="933"/>
      <c r="L876" s="933"/>
      <c r="M876" s="933"/>
      <c r="N876" s="933"/>
      <c r="O876" s="933"/>
      <c r="P876" s="933"/>
      <c r="Q876" s="933"/>
      <c r="R876" s="933"/>
      <c r="S876" s="933"/>
      <c r="T876" s="933"/>
      <c r="V876" s="933"/>
      <c r="W876" s="933"/>
      <c r="X876" s="945"/>
      <c r="Y876" s="933"/>
      <c r="Z876" s="933"/>
      <c r="AA876" s="933"/>
      <c r="AB876" s="933"/>
      <c r="AC876" s="933"/>
      <c r="AD876" s="933"/>
      <c r="AE876" s="933"/>
      <c r="AF876" s="933"/>
      <c r="AG876" s="933"/>
    </row>
    <row r="877" spans="1:33" ht="12.75">
      <c r="A877" s="933"/>
      <c r="B877" s="933"/>
      <c r="C877" s="933"/>
      <c r="D877" s="933"/>
      <c r="E877" s="933"/>
      <c r="F877" s="933"/>
      <c r="G877" s="933"/>
      <c r="H877" s="933"/>
      <c r="I877" s="933"/>
      <c r="J877" s="933"/>
      <c r="K877" s="933"/>
      <c r="L877" s="933"/>
      <c r="M877" s="933"/>
      <c r="N877" s="933"/>
      <c r="O877" s="933"/>
      <c r="P877" s="933"/>
      <c r="Q877" s="933"/>
      <c r="R877" s="933"/>
      <c r="S877" s="933"/>
      <c r="T877" s="933"/>
      <c r="V877" s="933"/>
      <c r="W877" s="933"/>
      <c r="X877" s="945"/>
      <c r="Y877" s="933"/>
      <c r="Z877" s="933"/>
      <c r="AA877" s="933"/>
      <c r="AB877" s="933"/>
      <c r="AC877" s="933"/>
      <c r="AD877" s="933"/>
      <c r="AE877" s="933"/>
      <c r="AF877" s="933"/>
      <c r="AG877" s="933"/>
    </row>
    <row r="878" spans="1:33" ht="12.75">
      <c r="A878" s="933"/>
      <c r="B878" s="933"/>
      <c r="C878" s="933"/>
      <c r="D878" s="933"/>
      <c r="E878" s="933"/>
      <c r="F878" s="933"/>
      <c r="G878" s="933"/>
      <c r="H878" s="933"/>
      <c r="I878" s="933"/>
      <c r="J878" s="933"/>
      <c r="K878" s="933"/>
      <c r="L878" s="933"/>
      <c r="M878" s="933"/>
      <c r="N878" s="933"/>
      <c r="O878" s="933"/>
      <c r="P878" s="933"/>
      <c r="Q878" s="933"/>
      <c r="R878" s="933"/>
      <c r="S878" s="933"/>
      <c r="T878" s="933"/>
      <c r="V878" s="933"/>
      <c r="W878" s="933"/>
      <c r="X878" s="945"/>
      <c r="Y878" s="933"/>
      <c r="Z878" s="933"/>
      <c r="AA878" s="933"/>
      <c r="AB878" s="933"/>
      <c r="AC878" s="933"/>
      <c r="AD878" s="933"/>
      <c r="AE878" s="933"/>
      <c r="AF878" s="933"/>
      <c r="AG878" s="933"/>
    </row>
    <row r="879" spans="1:33" ht="12.75">
      <c r="A879" s="933"/>
      <c r="B879" s="933"/>
      <c r="C879" s="933"/>
      <c r="D879" s="933"/>
      <c r="E879" s="933"/>
      <c r="F879" s="933"/>
      <c r="G879" s="933"/>
      <c r="H879" s="933"/>
      <c r="I879" s="933"/>
      <c r="J879" s="933"/>
      <c r="K879" s="933"/>
      <c r="L879" s="933"/>
      <c r="M879" s="933"/>
      <c r="N879" s="933"/>
      <c r="O879" s="933"/>
      <c r="P879" s="933"/>
      <c r="Q879" s="933"/>
      <c r="R879" s="933"/>
      <c r="S879" s="933"/>
      <c r="T879" s="933"/>
      <c r="V879" s="933"/>
      <c r="W879" s="933"/>
      <c r="X879" s="945"/>
      <c r="Y879" s="933"/>
      <c r="Z879" s="933"/>
      <c r="AA879" s="933"/>
      <c r="AB879" s="933"/>
      <c r="AC879" s="933"/>
      <c r="AD879" s="933"/>
      <c r="AE879" s="933"/>
      <c r="AF879" s="933"/>
      <c r="AG879" s="933"/>
    </row>
    <row r="880" spans="1:33" ht="12.75">
      <c r="A880" s="933"/>
      <c r="B880" s="933"/>
      <c r="C880" s="933"/>
      <c r="D880" s="933"/>
      <c r="E880" s="933"/>
      <c r="F880" s="933"/>
      <c r="G880" s="933"/>
      <c r="H880" s="933"/>
      <c r="I880" s="933"/>
      <c r="J880" s="933"/>
      <c r="K880" s="933"/>
      <c r="L880" s="933"/>
      <c r="M880" s="933"/>
      <c r="N880" s="933"/>
      <c r="O880" s="933"/>
      <c r="P880" s="933"/>
      <c r="Q880" s="933"/>
      <c r="R880" s="933"/>
      <c r="S880" s="933"/>
      <c r="T880" s="933"/>
      <c r="V880" s="933"/>
      <c r="W880" s="933"/>
      <c r="X880" s="945"/>
      <c r="Y880" s="933"/>
      <c r="Z880" s="933"/>
      <c r="AA880" s="933"/>
      <c r="AB880" s="933"/>
      <c r="AC880" s="933"/>
      <c r="AD880" s="933"/>
      <c r="AE880" s="933"/>
      <c r="AF880" s="933"/>
      <c r="AG880" s="933"/>
    </row>
    <row r="881" spans="1:33" ht="12.75">
      <c r="A881" s="933"/>
      <c r="B881" s="933"/>
      <c r="C881" s="933"/>
      <c r="D881" s="933"/>
      <c r="E881" s="933"/>
      <c r="F881" s="933"/>
      <c r="G881" s="933"/>
      <c r="H881" s="933"/>
      <c r="I881" s="933"/>
      <c r="J881" s="933"/>
      <c r="K881" s="933"/>
      <c r="L881" s="933"/>
      <c r="M881" s="933"/>
      <c r="N881" s="933"/>
      <c r="O881" s="933"/>
      <c r="P881" s="933"/>
      <c r="Q881" s="933"/>
      <c r="R881" s="933"/>
      <c r="S881" s="933"/>
      <c r="T881" s="933"/>
      <c r="V881" s="933"/>
      <c r="W881" s="933"/>
      <c r="X881" s="945"/>
      <c r="Y881" s="933"/>
      <c r="Z881" s="933"/>
      <c r="AA881" s="933"/>
      <c r="AB881" s="933"/>
      <c r="AC881" s="933"/>
      <c r="AD881" s="933"/>
      <c r="AE881" s="933"/>
      <c r="AF881" s="933"/>
      <c r="AG881" s="933"/>
    </row>
    <row r="882" spans="1:33" ht="12.75">
      <c r="A882" s="933"/>
      <c r="B882" s="933"/>
      <c r="C882" s="933"/>
      <c r="D882" s="933"/>
      <c r="E882" s="933"/>
      <c r="F882" s="933"/>
      <c r="G882" s="933"/>
      <c r="H882" s="933"/>
      <c r="I882" s="933"/>
      <c r="J882" s="933"/>
      <c r="K882" s="933"/>
      <c r="L882" s="933"/>
      <c r="M882" s="933"/>
      <c r="N882" s="933"/>
      <c r="O882" s="933"/>
      <c r="P882" s="933"/>
      <c r="Q882" s="933"/>
      <c r="R882" s="933"/>
      <c r="S882" s="933"/>
      <c r="T882" s="933"/>
      <c r="V882" s="933"/>
      <c r="W882" s="933"/>
      <c r="X882" s="945"/>
      <c r="Y882" s="933"/>
      <c r="Z882" s="933"/>
      <c r="AA882" s="933"/>
      <c r="AB882" s="933"/>
      <c r="AC882" s="933"/>
      <c r="AD882" s="933"/>
      <c r="AE882" s="933"/>
      <c r="AF882" s="933"/>
      <c r="AG882" s="933"/>
    </row>
    <row r="883" spans="1:33" ht="12.75">
      <c r="A883" s="933"/>
      <c r="B883" s="933"/>
      <c r="C883" s="933"/>
      <c r="D883" s="933"/>
      <c r="E883" s="933"/>
      <c r="F883" s="933"/>
      <c r="G883" s="933"/>
      <c r="H883" s="933"/>
      <c r="I883" s="933"/>
      <c r="J883" s="933"/>
      <c r="K883" s="933"/>
      <c r="L883" s="933"/>
      <c r="M883" s="933"/>
      <c r="N883" s="933"/>
      <c r="O883" s="933"/>
      <c r="P883" s="933"/>
      <c r="Q883" s="933"/>
      <c r="R883" s="933"/>
      <c r="S883" s="933"/>
      <c r="T883" s="933"/>
      <c r="V883" s="933"/>
      <c r="W883" s="933"/>
      <c r="X883" s="945"/>
      <c r="Y883" s="933"/>
      <c r="Z883" s="933"/>
      <c r="AA883" s="933"/>
      <c r="AB883" s="933"/>
      <c r="AC883" s="933"/>
      <c r="AD883" s="933"/>
      <c r="AE883" s="933"/>
      <c r="AF883" s="933"/>
      <c r="AG883" s="933"/>
    </row>
    <row r="884" spans="1:33" ht="12.75">
      <c r="A884" s="933"/>
      <c r="B884" s="933"/>
      <c r="C884" s="933"/>
      <c r="D884" s="933"/>
      <c r="E884" s="933"/>
      <c r="F884" s="933"/>
      <c r="G884" s="933"/>
      <c r="H884" s="933"/>
      <c r="I884" s="933"/>
      <c r="J884" s="933"/>
      <c r="K884" s="933"/>
      <c r="L884" s="933"/>
      <c r="M884" s="933"/>
      <c r="N884" s="933"/>
      <c r="O884" s="933"/>
      <c r="P884" s="933"/>
      <c r="Q884" s="933"/>
      <c r="R884" s="933"/>
      <c r="S884" s="933"/>
      <c r="T884" s="933"/>
      <c r="V884" s="933"/>
      <c r="W884" s="933"/>
      <c r="X884" s="945"/>
      <c r="Y884" s="933"/>
      <c r="Z884" s="933"/>
      <c r="AA884" s="933"/>
      <c r="AB884" s="933"/>
      <c r="AC884" s="933"/>
      <c r="AD884" s="933"/>
      <c r="AE884" s="933"/>
      <c r="AF884" s="933"/>
      <c r="AG884" s="933"/>
    </row>
    <row r="885" spans="1:33" ht="12.75">
      <c r="A885" s="933"/>
      <c r="B885" s="933"/>
      <c r="C885" s="933"/>
      <c r="D885" s="933"/>
      <c r="E885" s="933"/>
      <c r="F885" s="933"/>
      <c r="G885" s="933"/>
      <c r="H885" s="933"/>
      <c r="I885" s="933"/>
      <c r="J885" s="933"/>
      <c r="K885" s="933"/>
      <c r="L885" s="933"/>
      <c r="M885" s="933"/>
      <c r="N885" s="933"/>
      <c r="O885" s="933"/>
      <c r="P885" s="933"/>
      <c r="Q885" s="933"/>
      <c r="R885" s="933"/>
      <c r="S885" s="933"/>
      <c r="T885" s="933"/>
      <c r="V885" s="933"/>
      <c r="W885" s="933"/>
      <c r="X885" s="945"/>
      <c r="Y885" s="933"/>
      <c r="Z885" s="933"/>
      <c r="AA885" s="933"/>
      <c r="AB885" s="933"/>
      <c r="AC885" s="933"/>
      <c r="AD885" s="933"/>
      <c r="AE885" s="933"/>
      <c r="AF885" s="933"/>
      <c r="AG885" s="933"/>
    </row>
    <row r="886" spans="1:33" ht="12.75">
      <c r="A886" s="933"/>
      <c r="B886" s="933"/>
      <c r="C886" s="933"/>
      <c r="D886" s="933"/>
      <c r="E886" s="933"/>
      <c r="F886" s="933"/>
      <c r="G886" s="933"/>
      <c r="H886" s="933"/>
      <c r="I886" s="933"/>
      <c r="J886" s="933"/>
      <c r="K886" s="933"/>
      <c r="L886" s="933"/>
      <c r="M886" s="933"/>
      <c r="N886" s="933"/>
      <c r="O886" s="933"/>
      <c r="P886" s="933"/>
      <c r="Q886" s="933"/>
      <c r="R886" s="933"/>
      <c r="S886" s="933"/>
      <c r="T886" s="933"/>
      <c r="V886" s="933"/>
      <c r="W886" s="933"/>
      <c r="X886" s="945"/>
      <c r="Y886" s="933"/>
      <c r="Z886" s="933"/>
      <c r="AA886" s="933"/>
      <c r="AB886" s="933"/>
      <c r="AC886" s="933"/>
      <c r="AD886" s="933"/>
      <c r="AE886" s="933"/>
      <c r="AF886" s="933"/>
      <c r="AG886" s="933"/>
    </row>
    <row r="887" spans="1:33" ht="12.75">
      <c r="A887" s="933"/>
      <c r="B887" s="933"/>
      <c r="C887" s="933"/>
      <c r="D887" s="933"/>
      <c r="E887" s="933"/>
      <c r="F887" s="933"/>
      <c r="G887" s="933"/>
      <c r="H887" s="933"/>
      <c r="I887" s="933"/>
      <c r="J887" s="933"/>
      <c r="K887" s="933"/>
      <c r="L887" s="933"/>
      <c r="M887" s="933"/>
      <c r="N887" s="933"/>
      <c r="O887" s="933"/>
      <c r="P887" s="933"/>
      <c r="Q887" s="933"/>
      <c r="R887" s="933"/>
      <c r="S887" s="933"/>
      <c r="T887" s="933"/>
      <c r="V887" s="933"/>
      <c r="W887" s="933"/>
      <c r="X887" s="945"/>
      <c r="Y887" s="933"/>
      <c r="Z887" s="933"/>
      <c r="AA887" s="933"/>
      <c r="AB887" s="933"/>
      <c r="AC887" s="933"/>
      <c r="AD887" s="933"/>
      <c r="AE887" s="933"/>
      <c r="AF887" s="933"/>
      <c r="AG887" s="933"/>
    </row>
    <row r="888" spans="1:33" ht="12.75">
      <c r="A888" s="933"/>
      <c r="B888" s="933"/>
      <c r="C888" s="933"/>
      <c r="D888" s="933"/>
      <c r="E888" s="933"/>
      <c r="F888" s="933"/>
      <c r="G888" s="933"/>
      <c r="H888" s="933"/>
      <c r="I888" s="933"/>
      <c r="J888" s="933"/>
      <c r="K888" s="933"/>
      <c r="L888" s="933"/>
      <c r="M888" s="933"/>
      <c r="N888" s="933"/>
      <c r="O888" s="933"/>
      <c r="P888" s="933"/>
      <c r="Q888" s="933"/>
      <c r="R888" s="933"/>
      <c r="S888" s="933"/>
      <c r="T888" s="933"/>
      <c r="V888" s="933"/>
      <c r="W888" s="933"/>
      <c r="X888" s="945"/>
      <c r="Y888" s="933"/>
      <c r="Z888" s="933"/>
      <c r="AA888" s="933"/>
      <c r="AB888" s="933"/>
      <c r="AC888" s="933"/>
      <c r="AD888" s="933"/>
      <c r="AE888" s="933"/>
      <c r="AF888" s="933"/>
      <c r="AG888" s="933"/>
    </row>
    <row r="889" spans="1:33" ht="12.75">
      <c r="A889" s="933"/>
      <c r="B889" s="933"/>
      <c r="C889" s="933"/>
      <c r="D889" s="933"/>
      <c r="E889" s="933"/>
      <c r="F889" s="933"/>
      <c r="G889" s="933"/>
      <c r="H889" s="933"/>
      <c r="I889" s="933"/>
      <c r="J889" s="933"/>
      <c r="K889" s="933"/>
      <c r="L889" s="933"/>
      <c r="M889" s="933"/>
      <c r="N889" s="933"/>
      <c r="O889" s="933"/>
      <c r="P889" s="933"/>
      <c r="Q889" s="933"/>
      <c r="R889" s="933"/>
      <c r="S889" s="933"/>
      <c r="T889" s="933"/>
      <c r="V889" s="933"/>
      <c r="W889" s="933"/>
      <c r="X889" s="945"/>
      <c r="Y889" s="933"/>
      <c r="Z889" s="933"/>
      <c r="AA889" s="933"/>
      <c r="AB889" s="933"/>
      <c r="AC889" s="933"/>
      <c r="AD889" s="933"/>
      <c r="AE889" s="933"/>
      <c r="AF889" s="933"/>
      <c r="AG889" s="933"/>
    </row>
    <row r="890" spans="1:33" ht="12.75">
      <c r="A890" s="933"/>
      <c r="B890" s="933"/>
      <c r="C890" s="933"/>
      <c r="D890" s="933"/>
      <c r="E890" s="933"/>
      <c r="F890" s="933"/>
      <c r="G890" s="933"/>
      <c r="H890" s="933"/>
      <c r="I890" s="933"/>
      <c r="J890" s="933"/>
      <c r="K890" s="933"/>
      <c r="L890" s="933"/>
      <c r="M890" s="933"/>
      <c r="N890" s="933"/>
      <c r="O890" s="933"/>
      <c r="P890" s="933"/>
      <c r="Q890" s="933"/>
      <c r="R890" s="933"/>
      <c r="S890" s="933"/>
      <c r="T890" s="933"/>
      <c r="V890" s="933"/>
      <c r="W890" s="933"/>
      <c r="X890" s="945"/>
      <c r="Y890" s="933"/>
      <c r="Z890" s="933"/>
      <c r="AA890" s="933"/>
      <c r="AB890" s="933"/>
      <c r="AC890" s="933"/>
      <c r="AD890" s="933"/>
      <c r="AE890" s="933"/>
      <c r="AF890" s="933"/>
      <c r="AG890" s="933"/>
    </row>
    <row r="891" spans="1:33" ht="12.75">
      <c r="A891" s="933"/>
      <c r="B891" s="933"/>
      <c r="C891" s="933"/>
      <c r="D891" s="933"/>
      <c r="E891" s="933"/>
      <c r="F891" s="933"/>
      <c r="G891" s="933"/>
      <c r="H891" s="933"/>
      <c r="I891" s="933"/>
      <c r="J891" s="933"/>
      <c r="K891" s="933"/>
      <c r="L891" s="933"/>
      <c r="M891" s="933"/>
      <c r="N891" s="933"/>
      <c r="O891" s="933"/>
      <c r="P891" s="933"/>
      <c r="Q891" s="933"/>
      <c r="R891" s="933"/>
      <c r="S891" s="933"/>
      <c r="T891" s="933"/>
      <c r="V891" s="933"/>
      <c r="W891" s="933"/>
      <c r="X891" s="945"/>
      <c r="Y891" s="933"/>
      <c r="Z891" s="933"/>
      <c r="AA891" s="933"/>
      <c r="AB891" s="933"/>
      <c r="AC891" s="933"/>
      <c r="AD891" s="933"/>
      <c r="AE891" s="933"/>
      <c r="AF891" s="933"/>
      <c r="AG891" s="933"/>
    </row>
    <row r="892" spans="1:33" ht="12.75">
      <c r="A892" s="933"/>
      <c r="B892" s="933"/>
      <c r="C892" s="933"/>
      <c r="D892" s="933"/>
      <c r="E892" s="933"/>
      <c r="F892" s="933"/>
      <c r="G892" s="933"/>
      <c r="H892" s="933"/>
      <c r="I892" s="933"/>
      <c r="J892" s="933"/>
      <c r="K892" s="933"/>
      <c r="L892" s="933"/>
      <c r="M892" s="933"/>
      <c r="N892" s="933"/>
      <c r="O892" s="933"/>
      <c r="P892" s="933"/>
      <c r="Q892" s="933"/>
      <c r="R892" s="933"/>
      <c r="S892" s="933"/>
      <c r="T892" s="933"/>
      <c r="V892" s="933"/>
      <c r="W892" s="933"/>
      <c r="X892" s="945"/>
      <c r="Y892" s="933"/>
      <c r="Z892" s="933"/>
      <c r="AA892" s="933"/>
      <c r="AB892" s="933"/>
      <c r="AC892" s="933"/>
      <c r="AD892" s="933"/>
      <c r="AE892" s="933"/>
      <c r="AF892" s="933"/>
      <c r="AG892" s="933"/>
    </row>
    <row r="893" spans="1:33" ht="12.75">
      <c r="A893" s="933"/>
      <c r="B893" s="933"/>
      <c r="C893" s="933"/>
      <c r="D893" s="933"/>
      <c r="E893" s="933"/>
      <c r="F893" s="933"/>
      <c r="G893" s="933"/>
      <c r="H893" s="933"/>
      <c r="I893" s="933"/>
      <c r="J893" s="933"/>
      <c r="K893" s="933"/>
      <c r="L893" s="933"/>
      <c r="M893" s="933"/>
      <c r="N893" s="933"/>
      <c r="O893" s="933"/>
      <c r="P893" s="933"/>
      <c r="Q893" s="933"/>
      <c r="R893" s="933"/>
      <c r="S893" s="933"/>
      <c r="T893" s="933"/>
      <c r="V893" s="933"/>
      <c r="W893" s="933"/>
      <c r="X893" s="945"/>
      <c r="Y893" s="933"/>
      <c r="Z893" s="933"/>
      <c r="AA893" s="933"/>
      <c r="AB893" s="933"/>
      <c r="AC893" s="933"/>
      <c r="AD893" s="933"/>
      <c r="AE893" s="933"/>
      <c r="AF893" s="933"/>
      <c r="AG893" s="933"/>
    </row>
    <row r="894" spans="1:33" ht="12.75">
      <c r="A894" s="933"/>
      <c r="B894" s="933"/>
      <c r="C894" s="933"/>
      <c r="D894" s="933"/>
      <c r="E894" s="933"/>
      <c r="F894" s="933"/>
      <c r="G894" s="933"/>
      <c r="H894" s="933"/>
      <c r="I894" s="933"/>
      <c r="J894" s="933"/>
      <c r="K894" s="933"/>
      <c r="L894" s="933"/>
      <c r="M894" s="933"/>
      <c r="N894" s="933"/>
      <c r="O894" s="933"/>
      <c r="P894" s="933"/>
      <c r="Q894" s="933"/>
      <c r="R894" s="933"/>
      <c r="S894" s="933"/>
      <c r="T894" s="933"/>
      <c r="V894" s="933"/>
      <c r="W894" s="933"/>
      <c r="X894" s="945"/>
      <c r="Y894" s="933"/>
      <c r="Z894" s="933"/>
      <c r="AA894" s="933"/>
      <c r="AB894" s="933"/>
      <c r="AC894" s="933"/>
      <c r="AD894" s="933"/>
      <c r="AE894" s="933"/>
      <c r="AF894" s="933"/>
      <c r="AG894" s="933"/>
    </row>
    <row r="895" spans="1:33" ht="12.75">
      <c r="A895" s="933"/>
      <c r="B895" s="933"/>
      <c r="C895" s="933"/>
      <c r="D895" s="933"/>
      <c r="E895" s="933"/>
      <c r="F895" s="933"/>
      <c r="G895" s="933"/>
      <c r="H895" s="933"/>
      <c r="I895" s="933"/>
      <c r="J895" s="933"/>
      <c r="K895" s="933"/>
      <c r="L895" s="933"/>
      <c r="M895" s="933"/>
      <c r="N895" s="933"/>
      <c r="O895" s="933"/>
      <c r="P895" s="933"/>
      <c r="Q895" s="933"/>
      <c r="R895" s="933"/>
      <c r="S895" s="933"/>
      <c r="T895" s="933"/>
      <c r="V895" s="933"/>
      <c r="W895" s="933"/>
      <c r="X895" s="945"/>
      <c r="Y895" s="933"/>
      <c r="Z895" s="933"/>
      <c r="AA895" s="933"/>
      <c r="AB895" s="933"/>
      <c r="AC895" s="933"/>
      <c r="AD895" s="933"/>
      <c r="AE895" s="933"/>
      <c r="AF895" s="933"/>
      <c r="AG895" s="933"/>
    </row>
    <row r="896" spans="1:33" ht="12.75">
      <c r="A896" s="933"/>
      <c r="B896" s="933"/>
      <c r="C896" s="933"/>
      <c r="D896" s="933"/>
      <c r="E896" s="933"/>
      <c r="F896" s="933"/>
      <c r="G896" s="933"/>
      <c r="H896" s="933"/>
      <c r="I896" s="933"/>
      <c r="J896" s="933"/>
      <c r="K896" s="933"/>
      <c r="L896" s="933"/>
      <c r="M896" s="933"/>
      <c r="N896" s="933"/>
      <c r="O896" s="933"/>
      <c r="P896" s="933"/>
      <c r="Q896" s="933"/>
      <c r="R896" s="933"/>
      <c r="S896" s="933"/>
      <c r="T896" s="933"/>
      <c r="V896" s="933"/>
      <c r="W896" s="933"/>
      <c r="X896" s="945"/>
      <c r="Y896" s="933"/>
      <c r="Z896" s="933"/>
      <c r="AA896" s="933"/>
      <c r="AB896" s="933"/>
      <c r="AC896" s="933"/>
      <c r="AD896" s="933"/>
      <c r="AE896" s="933"/>
      <c r="AF896" s="933"/>
      <c r="AG896" s="933"/>
    </row>
    <row r="897" spans="1:33" ht="12.75">
      <c r="A897" s="933"/>
      <c r="B897" s="933"/>
      <c r="C897" s="933"/>
      <c r="D897" s="933"/>
      <c r="E897" s="933"/>
      <c r="F897" s="933"/>
      <c r="G897" s="933"/>
      <c r="H897" s="933"/>
      <c r="I897" s="933"/>
      <c r="J897" s="933"/>
      <c r="K897" s="933"/>
      <c r="L897" s="933"/>
      <c r="M897" s="933"/>
      <c r="N897" s="933"/>
      <c r="O897" s="933"/>
      <c r="P897" s="933"/>
      <c r="Q897" s="933"/>
      <c r="R897" s="933"/>
      <c r="S897" s="933"/>
      <c r="T897" s="933"/>
      <c r="V897" s="933"/>
      <c r="W897" s="933"/>
      <c r="X897" s="945"/>
      <c r="Y897" s="933"/>
      <c r="Z897" s="933"/>
      <c r="AA897" s="933"/>
      <c r="AB897" s="933"/>
      <c r="AC897" s="933"/>
      <c r="AD897" s="933"/>
      <c r="AE897" s="933"/>
      <c r="AF897" s="933"/>
      <c r="AG897" s="933"/>
    </row>
    <row r="898" spans="1:33" ht="12.75">
      <c r="A898" s="933"/>
      <c r="B898" s="933"/>
      <c r="C898" s="933"/>
      <c r="D898" s="933"/>
      <c r="E898" s="933"/>
      <c r="F898" s="933"/>
      <c r="G898" s="933"/>
      <c r="H898" s="933"/>
      <c r="I898" s="933"/>
      <c r="J898" s="933"/>
      <c r="K898" s="933"/>
      <c r="L898" s="933"/>
      <c r="M898" s="933"/>
      <c r="N898" s="933"/>
      <c r="O898" s="933"/>
      <c r="P898" s="933"/>
      <c r="Q898" s="933"/>
      <c r="R898" s="933"/>
      <c r="S898" s="933"/>
      <c r="T898" s="933"/>
      <c r="V898" s="933"/>
      <c r="W898" s="933"/>
      <c r="X898" s="945"/>
      <c r="Y898" s="933"/>
      <c r="Z898" s="933"/>
      <c r="AA898" s="933"/>
      <c r="AB898" s="933"/>
      <c r="AC898" s="933"/>
      <c r="AD898" s="933"/>
      <c r="AE898" s="933"/>
      <c r="AF898" s="933"/>
      <c r="AG898" s="933"/>
    </row>
    <row r="899" spans="1:33" ht="12.75">
      <c r="A899" s="933"/>
      <c r="B899" s="933"/>
      <c r="C899" s="933"/>
      <c r="D899" s="933"/>
      <c r="E899" s="933"/>
      <c r="F899" s="933"/>
      <c r="G899" s="933"/>
      <c r="H899" s="933"/>
      <c r="I899" s="933"/>
      <c r="J899" s="933"/>
      <c r="K899" s="933"/>
      <c r="L899" s="933"/>
      <c r="M899" s="933"/>
      <c r="N899" s="933"/>
      <c r="O899" s="933"/>
      <c r="P899" s="933"/>
      <c r="Q899" s="933"/>
      <c r="R899" s="933"/>
      <c r="S899" s="933"/>
      <c r="T899" s="933"/>
      <c r="V899" s="933"/>
      <c r="W899" s="933"/>
      <c r="X899" s="945"/>
      <c r="Y899" s="933"/>
      <c r="Z899" s="933"/>
      <c r="AA899" s="933"/>
      <c r="AB899" s="933"/>
      <c r="AC899" s="933"/>
      <c r="AD899" s="933"/>
      <c r="AE899" s="933"/>
      <c r="AF899" s="933"/>
      <c r="AG899" s="933"/>
    </row>
    <row r="900" spans="1:33" ht="12.75">
      <c r="A900" s="933"/>
      <c r="B900" s="933"/>
      <c r="C900" s="933"/>
      <c r="D900" s="933"/>
      <c r="E900" s="933"/>
      <c r="F900" s="933"/>
      <c r="G900" s="933"/>
      <c r="H900" s="933"/>
      <c r="I900" s="933"/>
      <c r="J900" s="933"/>
      <c r="K900" s="933"/>
      <c r="L900" s="933"/>
      <c r="M900" s="933"/>
      <c r="N900" s="933"/>
      <c r="O900" s="933"/>
      <c r="P900" s="933"/>
      <c r="Q900" s="933"/>
      <c r="R900" s="933"/>
      <c r="S900" s="933"/>
      <c r="T900" s="933"/>
      <c r="V900" s="933"/>
      <c r="W900" s="933"/>
      <c r="X900" s="945"/>
      <c r="Y900" s="933"/>
      <c r="Z900" s="933"/>
      <c r="AA900" s="933"/>
      <c r="AB900" s="933"/>
      <c r="AC900" s="933"/>
      <c r="AD900" s="933"/>
      <c r="AE900" s="933"/>
      <c r="AF900" s="933"/>
      <c r="AG900" s="933"/>
    </row>
    <row r="901" spans="1:33" ht="12.75">
      <c r="A901" s="933"/>
      <c r="B901" s="933"/>
      <c r="C901" s="933"/>
      <c r="D901" s="933"/>
      <c r="E901" s="933"/>
      <c r="F901" s="933"/>
      <c r="G901" s="933"/>
      <c r="H901" s="933"/>
      <c r="I901" s="933"/>
      <c r="J901" s="933"/>
      <c r="K901" s="933"/>
      <c r="L901" s="933"/>
      <c r="M901" s="933"/>
      <c r="N901" s="933"/>
      <c r="O901" s="933"/>
      <c r="P901" s="933"/>
      <c r="Q901" s="933"/>
      <c r="R901" s="933"/>
      <c r="S901" s="933"/>
      <c r="T901" s="933"/>
      <c r="V901" s="933"/>
      <c r="W901" s="933"/>
      <c r="X901" s="945"/>
      <c r="Y901" s="933"/>
      <c r="Z901" s="933"/>
      <c r="AA901" s="933"/>
      <c r="AB901" s="933"/>
      <c r="AC901" s="933"/>
      <c r="AD901" s="933"/>
      <c r="AE901" s="933"/>
      <c r="AF901" s="933"/>
      <c r="AG901" s="933"/>
    </row>
    <row r="902" spans="1:33" ht="12.75">
      <c r="A902" s="933"/>
      <c r="B902" s="933"/>
      <c r="C902" s="933"/>
      <c r="D902" s="933"/>
      <c r="E902" s="933"/>
      <c r="F902" s="933"/>
      <c r="G902" s="933"/>
      <c r="H902" s="933"/>
      <c r="I902" s="933"/>
      <c r="J902" s="933"/>
      <c r="K902" s="933"/>
      <c r="L902" s="933"/>
      <c r="M902" s="933"/>
      <c r="N902" s="933"/>
      <c r="O902" s="933"/>
      <c r="P902" s="933"/>
      <c r="Q902" s="933"/>
      <c r="R902" s="933"/>
      <c r="S902" s="933"/>
      <c r="T902" s="933"/>
      <c r="V902" s="933"/>
      <c r="W902" s="933"/>
      <c r="X902" s="945"/>
      <c r="Y902" s="933"/>
      <c r="Z902" s="933"/>
      <c r="AA902" s="933"/>
      <c r="AB902" s="933"/>
      <c r="AC902" s="933"/>
      <c r="AD902" s="933"/>
      <c r="AE902" s="933"/>
      <c r="AF902" s="933"/>
      <c r="AG902" s="933"/>
    </row>
    <row r="903" spans="1:33" ht="12.75">
      <c r="A903" s="933"/>
      <c r="B903" s="933"/>
      <c r="C903" s="933"/>
      <c r="D903" s="933"/>
      <c r="E903" s="933"/>
      <c r="F903" s="933"/>
      <c r="G903" s="933"/>
      <c r="H903" s="933"/>
      <c r="I903" s="933"/>
      <c r="J903" s="933"/>
      <c r="K903" s="933"/>
      <c r="L903" s="933"/>
      <c r="M903" s="933"/>
      <c r="N903" s="933"/>
      <c r="O903" s="933"/>
      <c r="P903" s="933"/>
      <c r="Q903" s="933"/>
      <c r="R903" s="933"/>
      <c r="S903" s="933"/>
      <c r="T903" s="933"/>
      <c r="V903" s="933"/>
      <c r="W903" s="933"/>
      <c r="X903" s="945"/>
      <c r="Y903" s="933"/>
      <c r="Z903" s="933"/>
      <c r="AA903" s="933"/>
      <c r="AB903" s="933"/>
      <c r="AC903" s="933"/>
      <c r="AD903" s="933"/>
      <c r="AE903" s="933"/>
      <c r="AF903" s="933"/>
      <c r="AG903" s="933"/>
    </row>
    <row r="904" spans="1:33" ht="12.75">
      <c r="A904" s="933"/>
      <c r="B904" s="933"/>
      <c r="C904" s="933"/>
      <c r="D904" s="933"/>
      <c r="E904" s="933"/>
      <c r="F904" s="933"/>
      <c r="G904" s="933"/>
      <c r="H904" s="933"/>
      <c r="I904" s="933"/>
      <c r="J904" s="933"/>
      <c r="K904" s="933"/>
      <c r="L904" s="933"/>
      <c r="M904" s="933"/>
      <c r="N904" s="933"/>
      <c r="O904" s="933"/>
      <c r="P904" s="933"/>
      <c r="Q904" s="933"/>
      <c r="R904" s="933"/>
      <c r="S904" s="933"/>
      <c r="T904" s="933"/>
      <c r="V904" s="933"/>
      <c r="W904" s="933"/>
      <c r="X904" s="945"/>
      <c r="Y904" s="933"/>
      <c r="Z904" s="933"/>
      <c r="AA904" s="933"/>
      <c r="AB904" s="933"/>
      <c r="AC904" s="933"/>
      <c r="AD904" s="933"/>
      <c r="AE904" s="933"/>
      <c r="AF904" s="933"/>
      <c r="AG904" s="933"/>
    </row>
    <row r="905" spans="1:33" ht="12.75">
      <c r="A905" s="933"/>
      <c r="B905" s="933"/>
      <c r="C905" s="933"/>
      <c r="D905" s="933"/>
      <c r="E905" s="933"/>
      <c r="F905" s="933"/>
      <c r="G905" s="933"/>
      <c r="H905" s="933"/>
      <c r="I905" s="933"/>
      <c r="J905" s="933"/>
      <c r="K905" s="933"/>
      <c r="L905" s="933"/>
      <c r="M905" s="933"/>
      <c r="N905" s="933"/>
      <c r="O905" s="933"/>
      <c r="P905" s="933"/>
      <c r="Q905" s="933"/>
      <c r="R905" s="933"/>
      <c r="S905" s="933"/>
      <c r="T905" s="933"/>
      <c r="V905" s="933"/>
      <c r="W905" s="933"/>
      <c r="X905" s="945"/>
      <c r="Y905" s="933"/>
      <c r="Z905" s="933"/>
      <c r="AA905" s="933"/>
      <c r="AB905" s="933"/>
      <c r="AC905" s="933"/>
      <c r="AD905" s="933"/>
      <c r="AE905" s="933"/>
      <c r="AF905" s="933"/>
      <c r="AG905" s="933"/>
    </row>
    <row r="906" spans="1:33" ht="12.75">
      <c r="A906" s="933"/>
      <c r="B906" s="933"/>
      <c r="C906" s="933"/>
      <c r="D906" s="933"/>
      <c r="E906" s="933"/>
      <c r="F906" s="933"/>
      <c r="G906" s="933"/>
      <c r="H906" s="933"/>
      <c r="I906" s="933"/>
      <c r="J906" s="933"/>
      <c r="K906" s="933"/>
      <c r="L906" s="933"/>
      <c r="M906" s="933"/>
      <c r="N906" s="933"/>
      <c r="O906" s="933"/>
      <c r="P906" s="933"/>
      <c r="Q906" s="933"/>
      <c r="R906" s="933"/>
      <c r="S906" s="933"/>
      <c r="T906" s="933"/>
      <c r="V906" s="933"/>
      <c r="W906" s="933"/>
      <c r="X906" s="945"/>
      <c r="Y906" s="933"/>
      <c r="Z906" s="933"/>
      <c r="AA906" s="933"/>
      <c r="AB906" s="933"/>
      <c r="AC906" s="933"/>
      <c r="AD906" s="933"/>
      <c r="AE906" s="933"/>
      <c r="AF906" s="933"/>
      <c r="AG906" s="933"/>
    </row>
    <row r="907" spans="1:33" ht="12.75">
      <c r="A907" s="933"/>
      <c r="B907" s="933"/>
      <c r="C907" s="933"/>
      <c r="D907" s="933"/>
      <c r="E907" s="933"/>
      <c r="F907" s="933"/>
      <c r="G907" s="933"/>
      <c r="H907" s="933"/>
      <c r="I907" s="933"/>
      <c r="J907" s="933"/>
      <c r="K907" s="933"/>
      <c r="L907" s="933"/>
      <c r="M907" s="933"/>
      <c r="N907" s="933"/>
      <c r="O907" s="933"/>
      <c r="P907" s="933"/>
      <c r="Q907" s="933"/>
      <c r="R907" s="933"/>
      <c r="S907" s="933"/>
      <c r="T907" s="933"/>
      <c r="V907" s="933"/>
      <c r="W907" s="933"/>
      <c r="X907" s="945"/>
      <c r="Y907" s="933"/>
      <c r="Z907" s="933"/>
      <c r="AA907" s="933"/>
      <c r="AB907" s="933"/>
      <c r="AC907" s="933"/>
      <c r="AD907" s="933"/>
      <c r="AE907" s="933"/>
      <c r="AF907" s="933"/>
      <c r="AG907" s="933"/>
    </row>
    <row r="908" spans="1:33" ht="12.75">
      <c r="A908" s="933"/>
      <c r="B908" s="933"/>
      <c r="C908" s="933"/>
      <c r="D908" s="933"/>
      <c r="E908" s="933"/>
      <c r="F908" s="933"/>
      <c r="G908" s="933"/>
      <c r="H908" s="933"/>
      <c r="I908" s="933"/>
      <c r="J908" s="933"/>
      <c r="K908" s="933"/>
      <c r="L908" s="933"/>
      <c r="M908" s="933"/>
      <c r="N908" s="933"/>
      <c r="O908" s="933"/>
      <c r="P908" s="933"/>
      <c r="Q908" s="933"/>
      <c r="R908" s="933"/>
      <c r="S908" s="933"/>
      <c r="T908" s="933"/>
      <c r="V908" s="933"/>
      <c r="W908" s="933"/>
      <c r="X908" s="945"/>
      <c r="Y908" s="933"/>
      <c r="Z908" s="933"/>
      <c r="AA908" s="933"/>
      <c r="AB908" s="933"/>
      <c r="AC908" s="933"/>
      <c r="AD908" s="933"/>
      <c r="AE908" s="933"/>
      <c r="AF908" s="933"/>
      <c r="AG908" s="933"/>
    </row>
    <row r="909" spans="1:33" ht="12.75">
      <c r="A909" s="933"/>
      <c r="B909" s="933"/>
      <c r="C909" s="933"/>
      <c r="D909" s="933"/>
      <c r="E909" s="933"/>
      <c r="F909" s="933"/>
      <c r="G909" s="933"/>
      <c r="H909" s="933"/>
      <c r="I909" s="933"/>
      <c r="J909" s="933"/>
      <c r="K909" s="933"/>
      <c r="L909" s="933"/>
      <c r="M909" s="933"/>
      <c r="N909" s="933"/>
      <c r="O909" s="933"/>
      <c r="P909" s="933"/>
      <c r="Q909" s="933"/>
      <c r="R909" s="933"/>
      <c r="S909" s="933"/>
      <c r="T909" s="933"/>
      <c r="V909" s="933"/>
      <c r="W909" s="933"/>
      <c r="X909" s="945"/>
      <c r="Y909" s="933"/>
      <c r="Z909" s="933"/>
      <c r="AA909" s="933"/>
      <c r="AB909" s="933"/>
      <c r="AC909" s="933"/>
      <c r="AD909" s="933"/>
      <c r="AE909" s="933"/>
      <c r="AF909" s="933"/>
      <c r="AG909" s="933"/>
    </row>
    <row r="910" spans="1:33" ht="12.75">
      <c r="A910" s="933"/>
      <c r="B910" s="933"/>
      <c r="C910" s="933"/>
      <c r="D910" s="933"/>
      <c r="E910" s="933"/>
      <c r="F910" s="933"/>
      <c r="G910" s="933"/>
      <c r="H910" s="933"/>
      <c r="I910" s="933"/>
      <c r="J910" s="933"/>
      <c r="K910" s="933"/>
      <c r="L910" s="933"/>
      <c r="M910" s="933"/>
      <c r="N910" s="933"/>
      <c r="O910" s="933"/>
      <c r="P910" s="933"/>
      <c r="Q910" s="933"/>
      <c r="R910" s="933"/>
      <c r="S910" s="933"/>
      <c r="T910" s="933"/>
      <c r="V910" s="933"/>
      <c r="W910" s="933"/>
      <c r="X910" s="945"/>
      <c r="Y910" s="933"/>
      <c r="Z910" s="933"/>
      <c r="AA910" s="933"/>
      <c r="AB910" s="933"/>
      <c r="AC910" s="933"/>
      <c r="AD910" s="933"/>
      <c r="AE910" s="933"/>
      <c r="AF910" s="933"/>
      <c r="AG910" s="933"/>
    </row>
    <row r="911" spans="1:33" ht="12.75">
      <c r="A911" s="933"/>
      <c r="B911" s="933"/>
      <c r="C911" s="933"/>
      <c r="D911" s="933"/>
      <c r="E911" s="933"/>
      <c r="F911" s="933"/>
      <c r="G911" s="933"/>
      <c r="H911" s="933"/>
      <c r="I911" s="933"/>
      <c r="J911" s="933"/>
      <c r="K911" s="933"/>
      <c r="L911" s="933"/>
      <c r="M911" s="933"/>
      <c r="N911" s="933"/>
      <c r="O911" s="933"/>
      <c r="P911" s="933"/>
      <c r="Q911" s="933"/>
      <c r="R911" s="933"/>
      <c r="S911" s="933"/>
      <c r="T911" s="933"/>
      <c r="V911" s="933"/>
      <c r="W911" s="933"/>
      <c r="X911" s="945"/>
      <c r="Y911" s="933"/>
      <c r="Z911" s="933"/>
      <c r="AA911" s="933"/>
      <c r="AB911" s="933"/>
      <c r="AC911" s="933"/>
      <c r="AD911" s="933"/>
      <c r="AE911" s="933"/>
      <c r="AF911" s="933"/>
      <c r="AG911" s="933"/>
    </row>
    <row r="912" spans="1:33" ht="12.75">
      <c r="A912" s="933"/>
      <c r="B912" s="933"/>
      <c r="C912" s="933"/>
      <c r="D912" s="933"/>
      <c r="E912" s="933"/>
      <c r="F912" s="933"/>
      <c r="G912" s="933"/>
      <c r="H912" s="933"/>
      <c r="I912" s="933"/>
      <c r="J912" s="933"/>
      <c r="K912" s="933"/>
      <c r="L912" s="933"/>
      <c r="M912" s="933"/>
      <c r="N912" s="933"/>
      <c r="O912" s="933"/>
      <c r="P912" s="933"/>
      <c r="Q912" s="933"/>
      <c r="R912" s="933"/>
      <c r="S912" s="933"/>
      <c r="T912" s="933"/>
      <c r="V912" s="933"/>
      <c r="W912" s="933"/>
      <c r="X912" s="945"/>
      <c r="Y912" s="933"/>
      <c r="Z912" s="933"/>
      <c r="AA912" s="933"/>
      <c r="AB912" s="933"/>
      <c r="AC912" s="933"/>
      <c r="AD912" s="933"/>
      <c r="AE912" s="933"/>
      <c r="AF912" s="933"/>
      <c r="AG912" s="933"/>
    </row>
    <row r="913" spans="1:33" ht="12.75">
      <c r="A913" s="933"/>
      <c r="B913" s="933"/>
      <c r="C913" s="933"/>
      <c r="D913" s="933"/>
      <c r="E913" s="933"/>
      <c r="F913" s="933"/>
      <c r="G913" s="933"/>
      <c r="H913" s="933"/>
      <c r="I913" s="933"/>
      <c r="J913" s="933"/>
      <c r="K913" s="933"/>
      <c r="L913" s="933"/>
      <c r="M913" s="933"/>
      <c r="N913" s="933"/>
      <c r="O913" s="933"/>
      <c r="P913" s="933"/>
      <c r="Q913" s="933"/>
      <c r="R913" s="933"/>
      <c r="S913" s="933"/>
      <c r="T913" s="933"/>
      <c r="V913" s="933"/>
      <c r="W913" s="933"/>
      <c r="X913" s="945"/>
      <c r="Y913" s="933"/>
      <c r="Z913" s="933"/>
      <c r="AA913" s="933"/>
      <c r="AB913" s="933"/>
      <c r="AC913" s="933"/>
      <c r="AD913" s="933"/>
      <c r="AE913" s="933"/>
      <c r="AF913" s="933"/>
      <c r="AG913" s="933"/>
    </row>
    <row r="914" spans="1:33" ht="12.75">
      <c r="A914" s="933"/>
      <c r="B914" s="933"/>
      <c r="C914" s="933"/>
      <c r="D914" s="933"/>
      <c r="E914" s="933"/>
      <c r="F914" s="933"/>
      <c r="G914" s="933"/>
      <c r="H914" s="933"/>
      <c r="I914" s="933"/>
      <c r="J914" s="933"/>
      <c r="K914" s="933"/>
      <c r="L914" s="933"/>
      <c r="M914" s="933"/>
      <c r="N914" s="933"/>
      <c r="O914" s="933"/>
      <c r="P914" s="933"/>
      <c r="Q914" s="933"/>
      <c r="R914" s="933"/>
      <c r="S914" s="933"/>
      <c r="T914" s="933"/>
      <c r="V914" s="933"/>
      <c r="W914" s="933"/>
      <c r="X914" s="945"/>
      <c r="Y914" s="933"/>
      <c r="Z914" s="933"/>
      <c r="AA914" s="933"/>
      <c r="AB914" s="933"/>
      <c r="AC914" s="933"/>
      <c r="AD914" s="933"/>
      <c r="AE914" s="933"/>
      <c r="AF914" s="933"/>
      <c r="AG914" s="933"/>
    </row>
    <row r="915" spans="1:33" ht="12.75">
      <c r="A915" s="933"/>
      <c r="B915" s="933"/>
      <c r="C915" s="933"/>
      <c r="D915" s="933"/>
      <c r="E915" s="933"/>
      <c r="F915" s="933"/>
      <c r="G915" s="933"/>
      <c r="H915" s="933"/>
      <c r="I915" s="933"/>
      <c r="J915" s="933"/>
      <c r="K915" s="933"/>
      <c r="L915" s="933"/>
      <c r="M915" s="933"/>
      <c r="N915" s="933"/>
      <c r="O915" s="933"/>
      <c r="P915" s="933"/>
      <c r="Q915" s="933"/>
      <c r="R915" s="933"/>
      <c r="S915" s="933"/>
      <c r="T915" s="933"/>
      <c r="V915" s="933"/>
      <c r="W915" s="933"/>
      <c r="X915" s="945"/>
      <c r="Y915" s="933"/>
      <c r="Z915" s="933"/>
      <c r="AA915" s="933"/>
      <c r="AB915" s="933"/>
      <c r="AC915" s="933"/>
      <c r="AD915" s="933"/>
      <c r="AE915" s="933"/>
      <c r="AF915" s="933"/>
      <c r="AG915" s="933"/>
    </row>
    <row r="916" spans="1:33" ht="12.75">
      <c r="A916" s="933"/>
      <c r="B916" s="933"/>
      <c r="C916" s="933"/>
      <c r="D916" s="933"/>
      <c r="E916" s="933"/>
      <c r="F916" s="933"/>
      <c r="G916" s="933"/>
      <c r="H916" s="933"/>
      <c r="I916" s="933"/>
      <c r="J916" s="933"/>
      <c r="K916" s="933"/>
      <c r="L916" s="933"/>
      <c r="M916" s="933"/>
      <c r="N916" s="933"/>
      <c r="O916" s="933"/>
      <c r="P916" s="933"/>
      <c r="Q916" s="933"/>
      <c r="R916" s="933"/>
      <c r="S916" s="933"/>
      <c r="T916" s="933"/>
      <c r="V916" s="933"/>
      <c r="W916" s="933"/>
      <c r="X916" s="945"/>
      <c r="Y916" s="933"/>
      <c r="Z916" s="933"/>
      <c r="AA916" s="933"/>
      <c r="AB916" s="933"/>
      <c r="AC916" s="933"/>
      <c r="AD916" s="933"/>
      <c r="AE916" s="933"/>
      <c r="AF916" s="933"/>
      <c r="AG916" s="933"/>
    </row>
    <row r="917" spans="1:33" ht="12.75">
      <c r="A917" s="933"/>
      <c r="B917" s="933"/>
      <c r="C917" s="933"/>
      <c r="D917" s="933"/>
      <c r="E917" s="933"/>
      <c r="F917" s="933"/>
      <c r="G917" s="933"/>
      <c r="H917" s="933"/>
      <c r="I917" s="933"/>
      <c r="J917" s="933"/>
      <c r="K917" s="933"/>
      <c r="L917" s="933"/>
      <c r="M917" s="933"/>
      <c r="N917" s="933"/>
      <c r="O917" s="933"/>
      <c r="P917" s="933"/>
      <c r="Q917" s="933"/>
      <c r="R917" s="933"/>
      <c r="S917" s="933"/>
      <c r="T917" s="933"/>
      <c r="V917" s="933"/>
      <c r="W917" s="933"/>
      <c r="X917" s="945"/>
      <c r="Y917" s="933"/>
      <c r="Z917" s="933"/>
      <c r="AA917" s="933"/>
      <c r="AB917" s="933"/>
      <c r="AC917" s="933"/>
      <c r="AD917" s="933"/>
      <c r="AE917" s="933"/>
      <c r="AF917" s="933"/>
      <c r="AG917" s="933"/>
    </row>
    <row r="918" spans="1:33" ht="12.75">
      <c r="A918" s="933"/>
      <c r="B918" s="933"/>
      <c r="C918" s="933"/>
      <c r="D918" s="933"/>
      <c r="E918" s="933"/>
      <c r="F918" s="933"/>
      <c r="G918" s="933"/>
      <c r="H918" s="933"/>
      <c r="I918" s="933"/>
      <c r="J918" s="933"/>
      <c r="K918" s="933"/>
      <c r="L918" s="933"/>
      <c r="M918" s="933"/>
      <c r="N918" s="933"/>
      <c r="O918" s="933"/>
      <c r="P918" s="933"/>
      <c r="Q918" s="933"/>
      <c r="R918" s="933"/>
      <c r="S918" s="933"/>
      <c r="T918" s="933"/>
      <c r="V918" s="933"/>
      <c r="W918" s="933"/>
      <c r="X918" s="945"/>
      <c r="Y918" s="933"/>
      <c r="Z918" s="933"/>
      <c r="AA918" s="933"/>
      <c r="AB918" s="933"/>
      <c r="AC918" s="933"/>
      <c r="AD918" s="933"/>
      <c r="AE918" s="933"/>
      <c r="AF918" s="933"/>
      <c r="AG918" s="933"/>
    </row>
    <row r="919" spans="1:33" ht="12.75">
      <c r="A919" s="933"/>
      <c r="B919" s="933"/>
      <c r="C919" s="933"/>
      <c r="D919" s="933"/>
      <c r="E919" s="933"/>
      <c r="F919" s="933"/>
      <c r="G919" s="933"/>
      <c r="H919" s="933"/>
      <c r="I919" s="933"/>
      <c r="J919" s="933"/>
      <c r="K919" s="933"/>
      <c r="L919" s="933"/>
      <c r="M919" s="933"/>
      <c r="N919" s="933"/>
      <c r="O919" s="933"/>
      <c r="P919" s="933"/>
      <c r="Q919" s="933"/>
      <c r="R919" s="933"/>
      <c r="S919" s="933"/>
      <c r="T919" s="933"/>
      <c r="V919" s="933"/>
      <c r="W919" s="933"/>
      <c r="X919" s="945"/>
      <c r="Y919" s="933"/>
      <c r="Z919" s="933"/>
      <c r="AA919" s="933"/>
      <c r="AB919" s="933"/>
      <c r="AC919" s="933"/>
      <c r="AD919" s="933"/>
      <c r="AE919" s="933"/>
      <c r="AF919" s="933"/>
      <c r="AG919" s="933"/>
    </row>
    <row r="920" spans="1:33" ht="12.75">
      <c r="A920" s="933"/>
      <c r="B920" s="933"/>
      <c r="C920" s="933"/>
      <c r="D920" s="933"/>
      <c r="E920" s="933"/>
      <c r="F920" s="933"/>
      <c r="G920" s="933"/>
      <c r="H920" s="933"/>
      <c r="I920" s="933"/>
      <c r="J920" s="933"/>
      <c r="K920" s="933"/>
      <c r="L920" s="933"/>
      <c r="M920" s="933"/>
      <c r="N920" s="933"/>
      <c r="O920" s="933"/>
      <c r="P920" s="933"/>
      <c r="Q920" s="933"/>
      <c r="R920" s="933"/>
      <c r="S920" s="933"/>
      <c r="T920" s="933"/>
      <c r="V920" s="933"/>
      <c r="W920" s="933"/>
      <c r="X920" s="945"/>
      <c r="Y920" s="933"/>
      <c r="Z920" s="933"/>
      <c r="AA920" s="933"/>
      <c r="AB920" s="933"/>
      <c r="AC920" s="933"/>
      <c r="AD920" s="933"/>
      <c r="AE920" s="933"/>
      <c r="AF920" s="933"/>
      <c r="AG920" s="933"/>
    </row>
    <row r="921" spans="1:33" ht="12.75">
      <c r="A921" s="933"/>
      <c r="B921" s="933"/>
      <c r="C921" s="933"/>
      <c r="D921" s="933"/>
      <c r="E921" s="933"/>
      <c r="F921" s="933"/>
      <c r="G921" s="933"/>
      <c r="H921" s="933"/>
      <c r="I921" s="933"/>
      <c r="J921" s="933"/>
      <c r="K921" s="933"/>
      <c r="L921" s="933"/>
      <c r="M921" s="933"/>
      <c r="N921" s="933"/>
      <c r="O921" s="933"/>
      <c r="P921" s="933"/>
      <c r="Q921" s="933"/>
      <c r="R921" s="933"/>
      <c r="S921" s="933"/>
      <c r="T921" s="933"/>
      <c r="V921" s="933"/>
      <c r="W921" s="933"/>
      <c r="X921" s="945"/>
      <c r="Y921" s="933"/>
      <c r="Z921" s="933"/>
      <c r="AA921" s="933"/>
      <c r="AB921" s="933"/>
      <c r="AC921" s="933"/>
      <c r="AD921" s="933"/>
      <c r="AE921" s="933"/>
      <c r="AF921" s="933"/>
      <c r="AG921" s="933"/>
    </row>
    <row r="922" spans="1:33" ht="12.75">
      <c r="A922" s="933"/>
      <c r="B922" s="933"/>
      <c r="C922" s="933"/>
      <c r="D922" s="933"/>
      <c r="E922" s="933"/>
      <c r="F922" s="933"/>
      <c r="G922" s="933"/>
      <c r="H922" s="933"/>
      <c r="I922" s="933"/>
      <c r="J922" s="933"/>
      <c r="K922" s="933"/>
      <c r="L922" s="933"/>
      <c r="M922" s="933"/>
      <c r="N922" s="933"/>
      <c r="O922" s="933"/>
      <c r="P922" s="933"/>
      <c r="Q922" s="933"/>
      <c r="R922" s="933"/>
      <c r="S922" s="933"/>
      <c r="T922" s="933"/>
      <c r="V922" s="933"/>
      <c r="W922" s="933"/>
      <c r="X922" s="945"/>
      <c r="Y922" s="933"/>
      <c r="Z922" s="933"/>
      <c r="AA922" s="933"/>
      <c r="AB922" s="933"/>
      <c r="AC922" s="933"/>
      <c r="AD922" s="933"/>
      <c r="AE922" s="933"/>
      <c r="AF922" s="933"/>
      <c r="AG922" s="933"/>
    </row>
    <row r="923" spans="1:33" ht="12.75">
      <c r="A923" s="933"/>
      <c r="B923" s="933"/>
      <c r="C923" s="933"/>
      <c r="D923" s="933"/>
      <c r="E923" s="933"/>
      <c r="F923" s="933"/>
      <c r="G923" s="933"/>
      <c r="H923" s="933"/>
      <c r="I923" s="933"/>
      <c r="J923" s="933"/>
      <c r="K923" s="933"/>
      <c r="L923" s="933"/>
      <c r="M923" s="933"/>
      <c r="N923" s="933"/>
      <c r="O923" s="933"/>
      <c r="P923" s="933"/>
      <c r="Q923" s="933"/>
      <c r="R923" s="933"/>
      <c r="S923" s="933"/>
      <c r="T923" s="933"/>
      <c r="V923" s="933"/>
      <c r="W923" s="933"/>
      <c r="X923" s="945"/>
      <c r="Y923" s="933"/>
      <c r="Z923" s="933"/>
      <c r="AA923" s="933"/>
      <c r="AB923" s="933"/>
      <c r="AC923" s="933"/>
      <c r="AD923" s="933"/>
      <c r="AE923" s="933"/>
      <c r="AF923" s="933"/>
      <c r="AG923" s="933"/>
    </row>
    <row r="924" spans="1:33" ht="12.75">
      <c r="A924" s="933"/>
      <c r="B924" s="933"/>
      <c r="C924" s="933"/>
      <c r="D924" s="933"/>
      <c r="E924" s="933"/>
      <c r="F924" s="933"/>
      <c r="G924" s="933"/>
      <c r="H924" s="933"/>
      <c r="I924" s="933"/>
      <c r="J924" s="933"/>
      <c r="K924" s="933"/>
      <c r="L924" s="933"/>
      <c r="M924" s="933"/>
      <c r="N924" s="933"/>
      <c r="O924" s="933"/>
      <c r="P924" s="933"/>
      <c r="Q924" s="933"/>
      <c r="R924" s="933"/>
      <c r="S924" s="933"/>
      <c r="T924" s="933"/>
      <c r="V924" s="933"/>
      <c r="W924" s="933"/>
      <c r="X924" s="945"/>
      <c r="Y924" s="933"/>
      <c r="Z924" s="933"/>
      <c r="AA924" s="933"/>
      <c r="AB924" s="933"/>
      <c r="AC924" s="933"/>
      <c r="AD924" s="933"/>
      <c r="AE924" s="933"/>
      <c r="AF924" s="933"/>
      <c r="AG924" s="933"/>
    </row>
    <row r="925" spans="1:33" ht="12.75">
      <c r="A925" s="933"/>
      <c r="B925" s="933"/>
      <c r="C925" s="933"/>
      <c r="D925" s="933"/>
      <c r="E925" s="933"/>
      <c r="F925" s="933"/>
      <c r="G925" s="933"/>
      <c r="H925" s="933"/>
      <c r="I925" s="933"/>
      <c r="J925" s="933"/>
      <c r="K925" s="933"/>
      <c r="L925" s="933"/>
      <c r="M925" s="933"/>
      <c r="N925" s="933"/>
      <c r="O925" s="933"/>
      <c r="P925" s="933"/>
      <c r="Q925" s="933"/>
      <c r="R925" s="933"/>
      <c r="S925" s="933"/>
      <c r="T925" s="933"/>
      <c r="V925" s="933"/>
      <c r="W925" s="933"/>
      <c r="X925" s="945"/>
      <c r="Y925" s="933"/>
      <c r="Z925" s="933"/>
      <c r="AA925" s="933"/>
      <c r="AB925" s="933"/>
      <c r="AC925" s="933"/>
      <c r="AD925" s="933"/>
      <c r="AE925" s="933"/>
      <c r="AF925" s="933"/>
      <c r="AG925" s="933"/>
    </row>
    <row r="926" spans="1:33" ht="12.75">
      <c r="A926" s="933"/>
      <c r="B926" s="933"/>
      <c r="C926" s="933"/>
      <c r="D926" s="933"/>
      <c r="E926" s="933"/>
      <c r="F926" s="933"/>
      <c r="G926" s="933"/>
      <c r="H926" s="933"/>
      <c r="I926" s="933"/>
      <c r="J926" s="933"/>
      <c r="K926" s="933"/>
      <c r="L926" s="933"/>
      <c r="M926" s="933"/>
      <c r="N926" s="933"/>
      <c r="O926" s="933"/>
      <c r="P926" s="933"/>
      <c r="Q926" s="933"/>
      <c r="R926" s="933"/>
      <c r="S926" s="933"/>
      <c r="T926" s="933"/>
      <c r="V926" s="933"/>
      <c r="W926" s="933"/>
      <c r="X926" s="945"/>
      <c r="Y926" s="933"/>
      <c r="Z926" s="933"/>
      <c r="AA926" s="933"/>
      <c r="AB926" s="933"/>
      <c r="AC926" s="933"/>
      <c r="AD926" s="933"/>
      <c r="AE926" s="933"/>
      <c r="AF926" s="933"/>
      <c r="AG926" s="933"/>
    </row>
    <row r="927" spans="1:33" ht="12.75">
      <c r="A927" s="933"/>
      <c r="B927" s="933"/>
      <c r="C927" s="933"/>
      <c r="D927" s="933"/>
      <c r="E927" s="933"/>
      <c r="F927" s="933"/>
      <c r="G927" s="933"/>
      <c r="H927" s="933"/>
      <c r="I927" s="933"/>
      <c r="J927" s="933"/>
      <c r="K927" s="933"/>
      <c r="L927" s="933"/>
      <c r="M927" s="933"/>
      <c r="N927" s="933"/>
      <c r="O927" s="933"/>
      <c r="P927" s="933"/>
      <c r="Q927" s="933"/>
      <c r="R927" s="933"/>
      <c r="S927" s="933"/>
      <c r="T927" s="933"/>
      <c r="V927" s="933"/>
      <c r="W927" s="933"/>
      <c r="X927" s="945"/>
      <c r="Y927" s="933"/>
      <c r="Z927" s="933"/>
      <c r="AA927" s="933"/>
      <c r="AB927" s="933"/>
      <c r="AC927" s="933"/>
      <c r="AD927" s="933"/>
      <c r="AE927" s="933"/>
      <c r="AF927" s="933"/>
      <c r="AG927" s="933"/>
    </row>
    <row r="928" spans="1:33" ht="12.75">
      <c r="A928" s="933"/>
      <c r="B928" s="933"/>
      <c r="C928" s="933"/>
      <c r="D928" s="933"/>
      <c r="E928" s="933"/>
      <c r="F928" s="933"/>
      <c r="G928" s="933"/>
      <c r="H928" s="933"/>
      <c r="I928" s="933"/>
      <c r="J928" s="933"/>
      <c r="K928" s="933"/>
      <c r="L928" s="933"/>
      <c r="M928" s="933"/>
      <c r="N928" s="933"/>
      <c r="O928" s="933"/>
      <c r="P928" s="933"/>
      <c r="Q928" s="933"/>
      <c r="R928" s="933"/>
      <c r="S928" s="933"/>
      <c r="T928" s="933"/>
      <c r="V928" s="933"/>
      <c r="W928" s="933"/>
      <c r="X928" s="945"/>
      <c r="Y928" s="933"/>
      <c r="Z928" s="933"/>
      <c r="AA928" s="933"/>
      <c r="AB928" s="933"/>
      <c r="AC928" s="933"/>
      <c r="AD928" s="933"/>
      <c r="AE928" s="933"/>
      <c r="AF928" s="933"/>
      <c r="AG928" s="933"/>
    </row>
    <row r="929" spans="1:33" ht="12.75">
      <c r="A929" s="933"/>
      <c r="B929" s="933"/>
      <c r="C929" s="933"/>
      <c r="D929" s="933"/>
      <c r="E929" s="933"/>
      <c r="F929" s="933"/>
      <c r="G929" s="933"/>
      <c r="H929" s="933"/>
      <c r="I929" s="933"/>
      <c r="J929" s="933"/>
      <c r="K929" s="933"/>
      <c r="L929" s="933"/>
      <c r="M929" s="933"/>
      <c r="N929" s="933"/>
      <c r="O929" s="933"/>
      <c r="P929" s="933"/>
      <c r="Q929" s="933"/>
      <c r="R929" s="933"/>
      <c r="S929" s="933"/>
      <c r="T929" s="933"/>
      <c r="V929" s="933"/>
      <c r="W929" s="933"/>
      <c r="X929" s="945"/>
      <c r="Y929" s="933"/>
      <c r="Z929" s="933"/>
      <c r="AA929" s="933"/>
      <c r="AB929" s="933"/>
      <c r="AC929" s="933"/>
      <c r="AD929" s="933"/>
      <c r="AE929" s="933"/>
      <c r="AF929" s="933"/>
      <c r="AG929" s="933"/>
    </row>
    <row r="930" spans="1:33" ht="12.75">
      <c r="A930" s="933"/>
      <c r="B930" s="933"/>
      <c r="C930" s="933"/>
      <c r="D930" s="933"/>
      <c r="E930" s="933"/>
      <c r="F930" s="933"/>
      <c r="G930" s="933"/>
      <c r="H930" s="933"/>
      <c r="I930" s="933"/>
      <c r="J930" s="933"/>
      <c r="K930" s="933"/>
      <c r="L930" s="933"/>
      <c r="M930" s="933"/>
      <c r="N930" s="933"/>
      <c r="O930" s="933"/>
      <c r="P930" s="933"/>
      <c r="Q930" s="933"/>
      <c r="R930" s="933"/>
      <c r="S930" s="933"/>
      <c r="T930" s="933"/>
      <c r="V930" s="933"/>
      <c r="W930" s="933"/>
      <c r="X930" s="945"/>
      <c r="Y930" s="933"/>
      <c r="Z930" s="933"/>
      <c r="AA930" s="933"/>
      <c r="AB930" s="933"/>
      <c r="AC930" s="933"/>
      <c r="AD930" s="933"/>
      <c r="AE930" s="933"/>
      <c r="AF930" s="933"/>
      <c r="AG930" s="933"/>
    </row>
    <row r="931" spans="1:33" ht="12.75">
      <c r="A931" s="933"/>
      <c r="B931" s="933"/>
      <c r="C931" s="933"/>
      <c r="D931" s="933"/>
      <c r="E931" s="933"/>
      <c r="F931" s="933"/>
      <c r="G931" s="933"/>
      <c r="H931" s="933"/>
      <c r="I931" s="933"/>
      <c r="J931" s="933"/>
      <c r="K931" s="933"/>
      <c r="L931" s="933"/>
      <c r="M931" s="933"/>
      <c r="N931" s="933"/>
      <c r="O931" s="933"/>
      <c r="P931" s="933"/>
      <c r="Q931" s="933"/>
      <c r="R931" s="933"/>
      <c r="S931" s="933"/>
      <c r="T931" s="933"/>
      <c r="V931" s="933"/>
      <c r="W931" s="933"/>
      <c r="X931" s="945"/>
      <c r="Y931" s="933"/>
      <c r="Z931" s="933"/>
      <c r="AA931" s="933"/>
      <c r="AB931" s="933"/>
      <c r="AC931" s="933"/>
      <c r="AD931" s="933"/>
      <c r="AE931" s="933"/>
      <c r="AF931" s="933"/>
      <c r="AG931" s="933"/>
    </row>
    <row r="932" spans="1:33" ht="12.75">
      <c r="A932" s="933"/>
      <c r="B932" s="933"/>
      <c r="C932" s="933"/>
      <c r="D932" s="933"/>
      <c r="E932" s="933"/>
      <c r="F932" s="933"/>
      <c r="G932" s="933"/>
      <c r="H932" s="933"/>
      <c r="I932" s="933"/>
      <c r="J932" s="933"/>
      <c r="K932" s="933"/>
      <c r="L932" s="933"/>
      <c r="M932" s="933"/>
      <c r="N932" s="933"/>
      <c r="O932" s="933"/>
      <c r="P932" s="933"/>
      <c r="Q932" s="933"/>
      <c r="R932" s="933"/>
      <c r="S932" s="933"/>
      <c r="T932" s="933"/>
      <c r="V932" s="933"/>
      <c r="W932" s="933"/>
      <c r="X932" s="945"/>
      <c r="Y932" s="933"/>
      <c r="Z932" s="933"/>
      <c r="AA932" s="933"/>
      <c r="AB932" s="933"/>
      <c r="AC932" s="933"/>
      <c r="AD932" s="933"/>
      <c r="AE932" s="933"/>
      <c r="AF932" s="933"/>
      <c r="AG932" s="933"/>
    </row>
    <row r="933" spans="1:33" ht="12.75">
      <c r="A933" s="933"/>
      <c r="B933" s="933"/>
      <c r="C933" s="933"/>
      <c r="D933" s="933"/>
      <c r="E933" s="933"/>
      <c r="F933" s="933"/>
      <c r="G933" s="933"/>
      <c r="H933" s="933"/>
      <c r="I933" s="933"/>
      <c r="J933" s="933"/>
      <c r="K933" s="933"/>
      <c r="L933" s="933"/>
      <c r="M933" s="933"/>
      <c r="N933" s="933"/>
      <c r="O933" s="933"/>
      <c r="P933" s="933"/>
      <c r="Q933" s="933"/>
      <c r="R933" s="933"/>
      <c r="S933" s="933"/>
      <c r="T933" s="933"/>
      <c r="V933" s="933"/>
      <c r="W933" s="933"/>
      <c r="X933" s="945"/>
      <c r="Y933" s="933"/>
      <c r="Z933" s="933"/>
      <c r="AA933" s="933"/>
      <c r="AB933" s="933"/>
      <c r="AC933" s="933"/>
      <c r="AD933" s="933"/>
      <c r="AE933" s="933"/>
      <c r="AF933" s="933"/>
      <c r="AG933" s="933"/>
    </row>
    <row r="934" spans="1:33" ht="12.75">
      <c r="A934" s="933"/>
      <c r="B934" s="933"/>
      <c r="C934" s="933"/>
      <c r="D934" s="933"/>
      <c r="E934" s="933"/>
      <c r="F934" s="933"/>
      <c r="G934" s="933"/>
      <c r="H934" s="933"/>
      <c r="I934" s="933"/>
      <c r="J934" s="933"/>
      <c r="K934" s="933"/>
      <c r="L934" s="933"/>
      <c r="M934" s="933"/>
      <c r="N934" s="933"/>
      <c r="O934" s="933"/>
      <c r="P934" s="933"/>
      <c r="Q934" s="933"/>
      <c r="R934" s="933"/>
      <c r="S934" s="933"/>
      <c r="T934" s="933"/>
      <c r="V934" s="933"/>
      <c r="W934" s="933"/>
      <c r="X934" s="945"/>
      <c r="Y934" s="933"/>
      <c r="Z934" s="933"/>
      <c r="AA934" s="933"/>
      <c r="AB934" s="933"/>
      <c r="AC934" s="933"/>
      <c r="AD934" s="933"/>
      <c r="AE934" s="933"/>
      <c r="AF934" s="933"/>
      <c r="AG934" s="933"/>
    </row>
    <row r="935" spans="1:33" ht="12.75">
      <c r="A935" s="933"/>
      <c r="B935" s="933"/>
      <c r="C935" s="933"/>
      <c r="D935" s="933"/>
      <c r="E935" s="933"/>
      <c r="F935" s="933"/>
      <c r="G935" s="933"/>
      <c r="H935" s="933"/>
      <c r="I935" s="933"/>
      <c r="J935" s="933"/>
      <c r="K935" s="933"/>
      <c r="L935" s="933"/>
      <c r="M935" s="933"/>
      <c r="N935" s="933"/>
      <c r="O935" s="933"/>
      <c r="P935" s="933"/>
      <c r="Q935" s="933"/>
      <c r="R935" s="933"/>
      <c r="S935" s="933"/>
      <c r="T935" s="933"/>
      <c r="V935" s="933"/>
      <c r="W935" s="933"/>
      <c r="X935" s="945"/>
      <c r="Y935" s="933"/>
      <c r="Z935" s="933"/>
      <c r="AA935" s="933"/>
      <c r="AB935" s="933"/>
      <c r="AC935" s="933"/>
      <c r="AD935" s="933"/>
      <c r="AE935" s="933"/>
      <c r="AF935" s="933"/>
      <c r="AG935" s="933"/>
    </row>
    <row r="936" spans="1:33" ht="12.75">
      <c r="A936" s="933"/>
      <c r="B936" s="933"/>
      <c r="C936" s="933"/>
      <c r="D936" s="933"/>
      <c r="E936" s="933"/>
      <c r="F936" s="933"/>
      <c r="G936" s="933"/>
      <c r="H936" s="933"/>
      <c r="I936" s="933"/>
      <c r="J936" s="933"/>
      <c r="K936" s="933"/>
      <c r="L936" s="933"/>
      <c r="M936" s="933"/>
      <c r="N936" s="933"/>
      <c r="O936" s="933"/>
      <c r="P936" s="933"/>
      <c r="Q936" s="933"/>
      <c r="R936" s="933"/>
      <c r="S936" s="933"/>
      <c r="T936" s="933"/>
      <c r="V936" s="933"/>
      <c r="W936" s="933"/>
      <c r="X936" s="945"/>
      <c r="Y936" s="933"/>
      <c r="Z936" s="933"/>
      <c r="AA936" s="933"/>
      <c r="AB936" s="933"/>
      <c r="AC936" s="933"/>
      <c r="AD936" s="933"/>
      <c r="AE936" s="933"/>
      <c r="AF936" s="933"/>
      <c r="AG936" s="933"/>
    </row>
    <row r="937" spans="1:33" ht="12.75">
      <c r="A937" s="933"/>
      <c r="B937" s="933"/>
      <c r="C937" s="933"/>
      <c r="D937" s="933"/>
      <c r="E937" s="933"/>
      <c r="F937" s="933"/>
      <c r="G937" s="933"/>
      <c r="H937" s="933"/>
      <c r="I937" s="933"/>
      <c r="J937" s="933"/>
      <c r="K937" s="933"/>
      <c r="L937" s="933"/>
      <c r="M937" s="933"/>
      <c r="N937" s="933"/>
      <c r="O937" s="933"/>
      <c r="P937" s="933"/>
      <c r="Q937" s="933"/>
      <c r="R937" s="933"/>
      <c r="S937" s="933"/>
      <c r="T937" s="933"/>
      <c r="V937" s="933"/>
      <c r="W937" s="933"/>
      <c r="X937" s="945"/>
      <c r="Y937" s="933"/>
      <c r="Z937" s="933"/>
      <c r="AA937" s="933"/>
      <c r="AB937" s="933"/>
      <c r="AC937" s="933"/>
      <c r="AD937" s="933"/>
      <c r="AE937" s="933"/>
      <c r="AF937" s="933"/>
      <c r="AG937" s="933"/>
    </row>
    <row r="938" spans="1:33" ht="12.75">
      <c r="A938" s="933"/>
      <c r="B938" s="933"/>
      <c r="C938" s="933"/>
      <c r="D938" s="933"/>
      <c r="E938" s="933"/>
      <c r="F938" s="933"/>
      <c r="G938" s="933"/>
      <c r="H938" s="933"/>
      <c r="I938" s="933"/>
      <c r="J938" s="933"/>
      <c r="K938" s="933"/>
      <c r="L938" s="933"/>
      <c r="M938" s="933"/>
      <c r="N938" s="933"/>
      <c r="O938" s="933"/>
      <c r="P938" s="933"/>
      <c r="Q938" s="933"/>
      <c r="R938" s="933"/>
      <c r="S938" s="933"/>
      <c r="T938" s="933"/>
      <c r="V938" s="933"/>
      <c r="W938" s="933"/>
      <c r="X938" s="945"/>
      <c r="Y938" s="933"/>
      <c r="Z938" s="933"/>
      <c r="AA938" s="933"/>
      <c r="AB938" s="933"/>
      <c r="AC938" s="933"/>
      <c r="AD938" s="933"/>
      <c r="AE938" s="933"/>
      <c r="AF938" s="933"/>
      <c r="AG938" s="933"/>
    </row>
    <row r="939" spans="1:33" ht="12.75">
      <c r="A939" s="933"/>
      <c r="B939" s="933"/>
      <c r="C939" s="933"/>
      <c r="D939" s="933"/>
      <c r="E939" s="933"/>
      <c r="F939" s="933"/>
      <c r="G939" s="933"/>
      <c r="H939" s="933"/>
      <c r="I939" s="933"/>
      <c r="J939" s="933"/>
      <c r="K939" s="933"/>
      <c r="L939" s="933"/>
      <c r="M939" s="933"/>
      <c r="N939" s="933"/>
      <c r="O939" s="933"/>
      <c r="P939" s="933"/>
      <c r="Q939" s="933"/>
      <c r="R939" s="933"/>
      <c r="S939" s="933"/>
      <c r="T939" s="933"/>
      <c r="V939" s="933"/>
      <c r="W939" s="933"/>
      <c r="X939" s="945"/>
      <c r="Y939" s="933"/>
      <c r="Z939" s="933"/>
      <c r="AA939" s="933"/>
      <c r="AB939" s="933"/>
      <c r="AC939" s="933"/>
      <c r="AD939" s="933"/>
      <c r="AE939" s="933"/>
      <c r="AF939" s="933"/>
      <c r="AG939" s="933"/>
    </row>
    <row r="940" spans="1:33" ht="12.75">
      <c r="A940" s="933"/>
      <c r="B940" s="933"/>
      <c r="C940" s="933"/>
      <c r="D940" s="933"/>
      <c r="E940" s="933"/>
      <c r="F940" s="933"/>
      <c r="G940" s="933"/>
      <c r="H940" s="933"/>
      <c r="I940" s="933"/>
      <c r="J940" s="933"/>
      <c r="K940" s="933"/>
      <c r="L940" s="933"/>
      <c r="M940" s="933"/>
      <c r="N940" s="933"/>
      <c r="O940" s="933"/>
      <c r="P940" s="933"/>
      <c r="Q940" s="933"/>
      <c r="R940" s="933"/>
      <c r="S940" s="933"/>
      <c r="T940" s="933"/>
      <c r="V940" s="933"/>
      <c r="W940" s="933"/>
      <c r="X940" s="945"/>
      <c r="Y940" s="933"/>
      <c r="Z940" s="933"/>
      <c r="AA940" s="933"/>
      <c r="AB940" s="933"/>
      <c r="AC940" s="933"/>
      <c r="AD940" s="933"/>
      <c r="AE940" s="933"/>
      <c r="AF940" s="933"/>
      <c r="AG940" s="933"/>
    </row>
    <row r="941" spans="1:33" ht="12.75">
      <c r="A941" s="933"/>
      <c r="B941" s="933"/>
      <c r="C941" s="933"/>
      <c r="D941" s="933"/>
      <c r="E941" s="933"/>
      <c r="F941" s="933"/>
      <c r="G941" s="933"/>
      <c r="H941" s="933"/>
      <c r="I941" s="933"/>
      <c r="J941" s="933"/>
      <c r="K941" s="933"/>
      <c r="L941" s="933"/>
      <c r="M941" s="933"/>
      <c r="N941" s="933"/>
      <c r="O941" s="933"/>
      <c r="P941" s="933"/>
      <c r="Q941" s="933"/>
      <c r="R941" s="933"/>
      <c r="S941" s="933"/>
      <c r="T941" s="933"/>
      <c r="V941" s="933"/>
      <c r="W941" s="933"/>
      <c r="X941" s="945"/>
      <c r="Y941" s="933"/>
      <c r="Z941" s="933"/>
      <c r="AA941" s="933"/>
      <c r="AB941" s="933"/>
      <c r="AC941" s="933"/>
      <c r="AD941" s="933"/>
      <c r="AE941" s="933"/>
      <c r="AF941" s="933"/>
      <c r="AG941" s="933"/>
    </row>
    <row r="942" spans="1:33" ht="12.75">
      <c r="A942" s="933"/>
      <c r="B942" s="933"/>
      <c r="C942" s="933"/>
      <c r="D942" s="933"/>
      <c r="E942" s="933"/>
      <c r="F942" s="933"/>
      <c r="G942" s="933"/>
      <c r="H942" s="933"/>
      <c r="I942" s="933"/>
      <c r="J942" s="933"/>
      <c r="K942" s="933"/>
      <c r="L942" s="933"/>
      <c r="M942" s="933"/>
      <c r="N942" s="933"/>
      <c r="O942" s="933"/>
      <c r="P942" s="933"/>
      <c r="Q942" s="933"/>
      <c r="R942" s="933"/>
      <c r="S942" s="933"/>
      <c r="T942" s="933"/>
      <c r="V942" s="933"/>
      <c r="W942" s="933"/>
      <c r="X942" s="945"/>
      <c r="Y942" s="933"/>
      <c r="Z942" s="933"/>
      <c r="AA942" s="933"/>
      <c r="AB942" s="933"/>
      <c r="AC942" s="933"/>
      <c r="AD942" s="933"/>
      <c r="AE942" s="933"/>
      <c r="AF942" s="933"/>
      <c r="AG942" s="933"/>
    </row>
    <row r="943" spans="1:33" ht="12.75">
      <c r="A943" s="933"/>
      <c r="B943" s="933"/>
      <c r="C943" s="933"/>
      <c r="D943" s="933"/>
      <c r="E943" s="933"/>
      <c r="F943" s="933"/>
      <c r="G943" s="933"/>
      <c r="H943" s="933"/>
      <c r="I943" s="933"/>
      <c r="J943" s="933"/>
      <c r="K943" s="933"/>
      <c r="L943" s="933"/>
      <c r="M943" s="933"/>
      <c r="N943" s="933"/>
      <c r="O943" s="933"/>
      <c r="P943" s="933"/>
      <c r="Q943" s="933"/>
      <c r="R943" s="933"/>
      <c r="S943" s="933"/>
      <c r="T943" s="933"/>
      <c r="V943" s="933"/>
      <c r="W943" s="933"/>
      <c r="X943" s="945"/>
      <c r="Y943" s="933"/>
      <c r="Z943" s="933"/>
      <c r="AA943" s="933"/>
      <c r="AB943" s="933"/>
      <c r="AC943" s="933"/>
      <c r="AD943" s="933"/>
      <c r="AE943" s="933"/>
      <c r="AF943" s="933"/>
      <c r="AG943" s="933"/>
    </row>
    <row r="944" spans="1:33" ht="12.75">
      <c r="A944" s="933"/>
      <c r="B944" s="933"/>
      <c r="C944" s="933"/>
      <c r="D944" s="933"/>
      <c r="E944" s="933"/>
      <c r="F944" s="933"/>
      <c r="G944" s="933"/>
      <c r="H944" s="933"/>
      <c r="I944" s="933"/>
      <c r="J944" s="933"/>
      <c r="K944" s="933"/>
      <c r="L944" s="933"/>
      <c r="M944" s="933"/>
      <c r="N944" s="933"/>
      <c r="O944" s="933"/>
      <c r="P944" s="933"/>
      <c r="Q944" s="933"/>
      <c r="R944" s="933"/>
      <c r="S944" s="933"/>
      <c r="T944" s="933"/>
      <c r="V944" s="933"/>
      <c r="W944" s="933"/>
      <c r="X944" s="945"/>
      <c r="Y944" s="933"/>
      <c r="Z944" s="933"/>
      <c r="AA944" s="933"/>
      <c r="AB944" s="933"/>
      <c r="AC944" s="933"/>
      <c r="AD944" s="933"/>
      <c r="AE944" s="933"/>
      <c r="AF944" s="933"/>
      <c r="AG944" s="933"/>
    </row>
    <row r="945" spans="1:33" ht="12.75">
      <c r="A945" s="933"/>
      <c r="B945" s="933"/>
      <c r="C945" s="933"/>
      <c r="D945" s="933"/>
      <c r="E945" s="933"/>
      <c r="F945" s="933"/>
      <c r="G945" s="933"/>
      <c r="H945" s="933"/>
      <c r="I945" s="933"/>
      <c r="J945" s="933"/>
      <c r="K945" s="933"/>
      <c r="L945" s="933"/>
      <c r="M945" s="933"/>
      <c r="N945" s="933"/>
      <c r="O945" s="933"/>
      <c r="P945" s="933"/>
      <c r="Q945" s="933"/>
      <c r="R945" s="933"/>
      <c r="S945" s="933"/>
      <c r="T945" s="933"/>
      <c r="V945" s="933"/>
      <c r="W945" s="933"/>
      <c r="X945" s="945"/>
      <c r="Y945" s="933"/>
      <c r="Z945" s="933"/>
      <c r="AA945" s="933"/>
      <c r="AB945" s="933"/>
      <c r="AC945" s="933"/>
      <c r="AD945" s="933"/>
      <c r="AE945" s="933"/>
      <c r="AF945" s="933"/>
      <c r="AG945" s="933"/>
    </row>
    <row r="946" spans="1:33" ht="12.75">
      <c r="A946" s="933"/>
      <c r="B946" s="933"/>
      <c r="C946" s="933"/>
      <c r="D946" s="933"/>
      <c r="E946" s="933"/>
      <c r="F946" s="933"/>
      <c r="G946" s="933"/>
      <c r="H946" s="933"/>
      <c r="I946" s="933"/>
      <c r="J946" s="933"/>
      <c r="K946" s="933"/>
      <c r="L946" s="933"/>
      <c r="M946" s="933"/>
      <c r="N946" s="933"/>
      <c r="O946" s="933"/>
      <c r="P946" s="933"/>
      <c r="Q946" s="933"/>
      <c r="R946" s="933"/>
      <c r="S946" s="933"/>
      <c r="T946" s="933"/>
      <c r="V946" s="933"/>
      <c r="W946" s="933"/>
      <c r="X946" s="945"/>
      <c r="Y946" s="933"/>
      <c r="Z946" s="933"/>
      <c r="AA946" s="933"/>
      <c r="AB946" s="933"/>
      <c r="AC946" s="933"/>
      <c r="AD946" s="933"/>
      <c r="AE946" s="933"/>
      <c r="AF946" s="933"/>
      <c r="AG946" s="933"/>
    </row>
    <row r="947" spans="1:33" ht="12.75">
      <c r="A947" s="933"/>
      <c r="B947" s="933"/>
      <c r="C947" s="933"/>
      <c r="D947" s="933"/>
      <c r="E947" s="933"/>
      <c r="F947" s="933"/>
      <c r="G947" s="933"/>
      <c r="H947" s="933"/>
      <c r="I947" s="933"/>
      <c r="J947" s="933"/>
      <c r="K947" s="933"/>
      <c r="L947" s="933"/>
      <c r="M947" s="933"/>
      <c r="N947" s="933"/>
      <c r="O947" s="933"/>
      <c r="P947" s="933"/>
      <c r="Q947" s="933"/>
      <c r="R947" s="933"/>
      <c r="S947" s="933"/>
      <c r="T947" s="933"/>
      <c r="V947" s="933"/>
      <c r="W947" s="933"/>
      <c r="X947" s="945"/>
      <c r="Y947" s="933"/>
      <c r="Z947" s="933"/>
      <c r="AA947" s="933"/>
      <c r="AB947" s="933"/>
      <c r="AC947" s="933"/>
      <c r="AD947" s="933"/>
      <c r="AE947" s="933"/>
      <c r="AF947" s="933"/>
      <c r="AG947" s="933"/>
    </row>
    <row r="948" spans="1:33" ht="12.75">
      <c r="A948" s="933"/>
      <c r="B948" s="933"/>
      <c r="C948" s="933"/>
      <c r="D948" s="933"/>
      <c r="E948" s="933"/>
      <c r="F948" s="933"/>
      <c r="G948" s="933"/>
      <c r="H948" s="933"/>
      <c r="I948" s="933"/>
      <c r="J948" s="933"/>
      <c r="K948" s="933"/>
      <c r="L948" s="933"/>
      <c r="M948" s="933"/>
      <c r="N948" s="933"/>
      <c r="O948" s="933"/>
      <c r="P948" s="933"/>
      <c r="Q948" s="933"/>
      <c r="R948" s="933"/>
      <c r="S948" s="933"/>
      <c r="T948" s="933"/>
      <c r="V948" s="933"/>
      <c r="W948" s="933"/>
      <c r="X948" s="945"/>
      <c r="Y948" s="933"/>
      <c r="Z948" s="933"/>
      <c r="AA948" s="933"/>
      <c r="AB948" s="933"/>
      <c r="AC948" s="933"/>
      <c r="AD948" s="933"/>
      <c r="AE948" s="933"/>
      <c r="AF948" s="933"/>
      <c r="AG948" s="933"/>
    </row>
    <row r="949" spans="1:33" ht="12.75">
      <c r="A949" s="933"/>
      <c r="B949" s="933"/>
      <c r="C949" s="933"/>
      <c r="D949" s="933"/>
      <c r="E949" s="933"/>
      <c r="F949" s="933"/>
      <c r="G949" s="933"/>
      <c r="H949" s="933"/>
      <c r="I949" s="933"/>
      <c r="J949" s="933"/>
      <c r="K949" s="933"/>
      <c r="L949" s="933"/>
      <c r="M949" s="933"/>
      <c r="N949" s="933"/>
      <c r="O949" s="933"/>
      <c r="P949" s="933"/>
      <c r="Q949" s="933"/>
      <c r="R949" s="933"/>
      <c r="S949" s="933"/>
      <c r="T949" s="933"/>
      <c r="V949" s="933"/>
      <c r="W949" s="933"/>
      <c r="X949" s="945"/>
      <c r="Y949" s="933"/>
      <c r="Z949" s="933"/>
      <c r="AA949" s="933"/>
      <c r="AB949" s="933"/>
      <c r="AC949" s="933"/>
      <c r="AD949" s="933"/>
      <c r="AE949" s="933"/>
      <c r="AF949" s="933"/>
      <c r="AG949" s="933"/>
    </row>
    <row r="950" spans="1:33" ht="12.75">
      <c r="A950" s="933"/>
      <c r="B950" s="933"/>
      <c r="C950" s="933"/>
      <c r="D950" s="933"/>
      <c r="E950" s="933"/>
      <c r="F950" s="933"/>
      <c r="G950" s="933"/>
      <c r="H950" s="933"/>
      <c r="I950" s="933"/>
      <c r="J950" s="933"/>
      <c r="K950" s="933"/>
      <c r="L950" s="933"/>
      <c r="M950" s="933"/>
      <c r="N950" s="933"/>
      <c r="O950" s="933"/>
      <c r="P950" s="933"/>
      <c r="Q950" s="933"/>
      <c r="R950" s="933"/>
      <c r="S950" s="933"/>
      <c r="T950" s="933"/>
      <c r="V950" s="933"/>
      <c r="W950" s="933"/>
      <c r="X950" s="945"/>
      <c r="Y950" s="933"/>
      <c r="Z950" s="933"/>
      <c r="AA950" s="933"/>
      <c r="AB950" s="933"/>
      <c r="AC950" s="933"/>
      <c r="AD950" s="933"/>
      <c r="AE950" s="933"/>
      <c r="AF950" s="933"/>
      <c r="AG950" s="933"/>
    </row>
    <row r="951" spans="1:33" ht="12.75">
      <c r="A951" s="933"/>
      <c r="B951" s="933"/>
      <c r="C951" s="933"/>
      <c r="D951" s="933"/>
      <c r="E951" s="933"/>
      <c r="F951" s="933"/>
      <c r="G951" s="933"/>
      <c r="H951" s="933"/>
      <c r="I951" s="933"/>
      <c r="J951" s="933"/>
      <c r="K951" s="933"/>
      <c r="L951" s="933"/>
      <c r="M951" s="933"/>
      <c r="N951" s="933"/>
      <c r="O951" s="933"/>
      <c r="P951" s="933"/>
      <c r="Q951" s="933"/>
      <c r="R951" s="933"/>
      <c r="S951" s="933"/>
      <c r="T951" s="933"/>
      <c r="V951" s="933"/>
      <c r="W951" s="933"/>
      <c r="X951" s="945"/>
      <c r="Y951" s="933"/>
      <c r="Z951" s="933"/>
      <c r="AA951" s="933"/>
      <c r="AB951" s="933"/>
      <c r="AC951" s="933"/>
      <c r="AD951" s="933"/>
      <c r="AE951" s="933"/>
      <c r="AF951" s="933"/>
      <c r="AG951" s="933"/>
    </row>
    <row r="952" spans="1:33" ht="12.75">
      <c r="A952" s="933"/>
      <c r="B952" s="933"/>
      <c r="C952" s="933"/>
      <c r="D952" s="933"/>
      <c r="E952" s="933"/>
      <c r="F952" s="933"/>
      <c r="G952" s="933"/>
      <c r="H952" s="933"/>
      <c r="I952" s="933"/>
      <c r="J952" s="933"/>
      <c r="K952" s="933"/>
      <c r="L952" s="933"/>
      <c r="M952" s="933"/>
      <c r="N952" s="933"/>
      <c r="O952" s="933"/>
      <c r="P952" s="933"/>
      <c r="Q952" s="933"/>
      <c r="R952" s="933"/>
      <c r="S952" s="933"/>
      <c r="T952" s="933"/>
      <c r="V952" s="933"/>
      <c r="W952" s="933"/>
      <c r="X952" s="945"/>
      <c r="Y952" s="933"/>
      <c r="Z952" s="933"/>
      <c r="AA952" s="933"/>
      <c r="AB952" s="933"/>
      <c r="AC952" s="933"/>
      <c r="AD952" s="933"/>
      <c r="AE952" s="933"/>
      <c r="AF952" s="933"/>
      <c r="AG952" s="933"/>
    </row>
    <row r="953" spans="1:33" ht="12.75">
      <c r="A953" s="933"/>
      <c r="B953" s="933"/>
      <c r="C953" s="933"/>
      <c r="D953" s="933"/>
      <c r="E953" s="933"/>
      <c r="F953" s="933"/>
      <c r="G953" s="933"/>
      <c r="H953" s="933"/>
      <c r="I953" s="933"/>
      <c r="J953" s="933"/>
      <c r="K953" s="933"/>
      <c r="L953" s="933"/>
      <c r="M953" s="933"/>
      <c r="N953" s="933"/>
      <c r="O953" s="933"/>
      <c r="P953" s="933"/>
      <c r="Q953" s="933"/>
      <c r="R953" s="933"/>
      <c r="S953" s="933"/>
      <c r="T953" s="933"/>
      <c r="V953" s="933"/>
      <c r="W953" s="933"/>
      <c r="X953" s="945"/>
      <c r="Y953" s="933"/>
      <c r="Z953" s="933"/>
      <c r="AA953" s="933"/>
      <c r="AB953" s="933"/>
      <c r="AC953" s="933"/>
      <c r="AD953" s="933"/>
      <c r="AE953" s="933"/>
      <c r="AF953" s="933"/>
      <c r="AG953" s="933"/>
    </row>
    <row r="954" spans="1:33" ht="12.75">
      <c r="A954" s="933"/>
      <c r="B954" s="933"/>
      <c r="C954" s="933"/>
      <c r="D954" s="933"/>
      <c r="E954" s="933"/>
      <c r="F954" s="933"/>
      <c r="G954" s="933"/>
      <c r="H954" s="933"/>
      <c r="I954" s="933"/>
      <c r="J954" s="933"/>
      <c r="K954" s="933"/>
      <c r="L954" s="933"/>
      <c r="M954" s="933"/>
      <c r="N954" s="933"/>
      <c r="O954" s="933"/>
      <c r="P954" s="933"/>
      <c r="Q954" s="933"/>
      <c r="R954" s="933"/>
      <c r="S954" s="933"/>
      <c r="T954" s="933"/>
      <c r="V954" s="933"/>
      <c r="W954" s="933"/>
      <c r="X954" s="945"/>
      <c r="Y954" s="933"/>
      <c r="Z954" s="933"/>
      <c r="AA954" s="933"/>
      <c r="AB954" s="933"/>
      <c r="AC954" s="933"/>
      <c r="AD954" s="933"/>
      <c r="AE954" s="933"/>
      <c r="AF954" s="933"/>
      <c r="AG954" s="933"/>
    </row>
    <row r="955" spans="1:33" ht="12.75">
      <c r="A955" s="933"/>
      <c r="B955" s="933"/>
      <c r="C955" s="933"/>
      <c r="D955" s="933"/>
      <c r="E955" s="933"/>
      <c r="F955" s="933"/>
      <c r="G955" s="933"/>
      <c r="H955" s="933"/>
      <c r="I955" s="933"/>
      <c r="J955" s="933"/>
      <c r="K955" s="933"/>
      <c r="L955" s="933"/>
      <c r="M955" s="933"/>
      <c r="N955" s="933"/>
      <c r="O955" s="933"/>
      <c r="P955" s="933"/>
      <c r="Q955" s="933"/>
      <c r="R955" s="933"/>
      <c r="S955" s="933"/>
      <c r="T955" s="933"/>
      <c r="V955" s="933"/>
      <c r="W955" s="933"/>
      <c r="X955" s="945"/>
      <c r="Y955" s="933"/>
      <c r="Z955" s="933"/>
      <c r="AA955" s="933"/>
      <c r="AB955" s="933"/>
      <c r="AC955" s="933"/>
      <c r="AD955" s="933"/>
      <c r="AE955" s="933"/>
      <c r="AF955" s="933"/>
      <c r="AG955" s="933"/>
    </row>
    <row r="956" spans="1:33" ht="12.75">
      <c r="A956" s="933"/>
      <c r="B956" s="933"/>
      <c r="C956" s="933"/>
      <c r="D956" s="933"/>
      <c r="E956" s="933"/>
      <c r="F956" s="933"/>
      <c r="G956" s="933"/>
      <c r="H956" s="933"/>
      <c r="I956" s="933"/>
      <c r="J956" s="933"/>
      <c r="K956" s="933"/>
      <c r="L956" s="933"/>
      <c r="M956" s="933"/>
      <c r="N956" s="933"/>
      <c r="O956" s="933"/>
      <c r="P956" s="933"/>
      <c r="Q956" s="933"/>
      <c r="R956" s="933"/>
      <c r="S956" s="933"/>
      <c r="T956" s="933"/>
      <c r="V956" s="933"/>
      <c r="W956" s="933"/>
      <c r="X956" s="945"/>
      <c r="Y956" s="933"/>
      <c r="Z956" s="933"/>
      <c r="AA956" s="933"/>
      <c r="AB956" s="933"/>
      <c r="AC956" s="933"/>
      <c r="AD956" s="933"/>
      <c r="AE956" s="933"/>
      <c r="AF956" s="933"/>
      <c r="AG956" s="933"/>
    </row>
    <row r="957" spans="1:33" ht="12.75">
      <c r="A957" s="933"/>
      <c r="B957" s="933"/>
      <c r="C957" s="933"/>
      <c r="D957" s="933"/>
      <c r="E957" s="933"/>
      <c r="F957" s="933"/>
      <c r="G957" s="933"/>
      <c r="H957" s="933"/>
      <c r="I957" s="933"/>
      <c r="J957" s="933"/>
      <c r="K957" s="933"/>
      <c r="L957" s="933"/>
      <c r="M957" s="933"/>
      <c r="N957" s="933"/>
      <c r="O957" s="933"/>
      <c r="P957" s="933"/>
      <c r="Q957" s="933"/>
      <c r="R957" s="933"/>
      <c r="S957" s="933"/>
      <c r="T957" s="933"/>
      <c r="V957" s="933"/>
      <c r="W957" s="933"/>
      <c r="X957" s="945"/>
      <c r="Y957" s="933"/>
      <c r="Z957" s="933"/>
      <c r="AA957" s="933"/>
      <c r="AB957" s="933"/>
      <c r="AC957" s="933"/>
      <c r="AD957" s="933"/>
      <c r="AE957" s="933"/>
      <c r="AF957" s="933"/>
      <c r="AG957" s="933"/>
    </row>
    <row r="958" spans="1:33" ht="12.75">
      <c r="A958" s="933"/>
      <c r="B958" s="933"/>
      <c r="C958" s="933"/>
      <c r="D958" s="933"/>
      <c r="E958" s="933"/>
      <c r="F958" s="933"/>
      <c r="G958" s="933"/>
      <c r="H958" s="933"/>
      <c r="I958" s="933"/>
      <c r="J958" s="933"/>
      <c r="K958" s="933"/>
      <c r="L958" s="933"/>
      <c r="M958" s="933"/>
      <c r="N958" s="933"/>
      <c r="O958" s="933"/>
      <c r="P958" s="933"/>
      <c r="Q958" s="933"/>
      <c r="R958" s="933"/>
      <c r="S958" s="933"/>
      <c r="T958" s="933"/>
      <c r="V958" s="933"/>
      <c r="W958" s="933"/>
      <c r="X958" s="945"/>
      <c r="Y958" s="933"/>
      <c r="Z958" s="933"/>
      <c r="AA958" s="933"/>
      <c r="AB958" s="933"/>
      <c r="AC958" s="933"/>
      <c r="AD958" s="933"/>
      <c r="AE958" s="933"/>
      <c r="AF958" s="933"/>
      <c r="AG958" s="933"/>
    </row>
    <row r="959" spans="1:33" ht="12.75">
      <c r="A959" s="933"/>
      <c r="B959" s="933"/>
      <c r="C959" s="933"/>
      <c r="D959" s="933"/>
      <c r="E959" s="933"/>
      <c r="F959" s="933"/>
      <c r="G959" s="933"/>
      <c r="H959" s="933"/>
      <c r="I959" s="933"/>
      <c r="J959" s="933"/>
      <c r="K959" s="933"/>
      <c r="L959" s="933"/>
      <c r="M959" s="933"/>
      <c r="N959" s="933"/>
      <c r="O959" s="933"/>
      <c r="P959" s="933"/>
      <c r="Q959" s="933"/>
      <c r="R959" s="933"/>
      <c r="S959" s="933"/>
      <c r="T959" s="933"/>
      <c r="V959" s="933"/>
      <c r="W959" s="933"/>
      <c r="X959" s="945"/>
      <c r="Y959" s="933"/>
      <c r="Z959" s="933"/>
      <c r="AA959" s="933"/>
      <c r="AB959" s="933"/>
      <c r="AC959" s="933"/>
      <c r="AD959" s="933"/>
      <c r="AE959" s="933"/>
      <c r="AF959" s="933"/>
      <c r="AG959" s="933"/>
    </row>
    <row r="960" spans="1:33" ht="12.75">
      <c r="A960" s="933"/>
      <c r="B960" s="933"/>
      <c r="C960" s="933"/>
      <c r="D960" s="933"/>
      <c r="E960" s="933"/>
      <c r="F960" s="933"/>
      <c r="G960" s="933"/>
      <c r="H960" s="933"/>
      <c r="I960" s="933"/>
      <c r="J960" s="933"/>
      <c r="K960" s="933"/>
      <c r="L960" s="933"/>
      <c r="M960" s="933"/>
      <c r="N960" s="933"/>
      <c r="O960" s="933"/>
      <c r="P960" s="933"/>
      <c r="Q960" s="933"/>
      <c r="R960" s="933"/>
      <c r="S960" s="933"/>
      <c r="T960" s="933"/>
      <c r="V960" s="933"/>
      <c r="W960" s="933"/>
      <c r="X960" s="945"/>
      <c r="Y960" s="933"/>
      <c r="Z960" s="933"/>
      <c r="AA960" s="933"/>
      <c r="AB960" s="933"/>
      <c r="AC960" s="933"/>
      <c r="AD960" s="933"/>
      <c r="AE960" s="933"/>
      <c r="AF960" s="933"/>
      <c r="AG960" s="933"/>
    </row>
    <row r="961" spans="1:33" ht="12.75">
      <c r="A961" s="933"/>
      <c r="B961" s="933"/>
      <c r="C961" s="933"/>
      <c r="D961" s="933"/>
      <c r="E961" s="933"/>
      <c r="F961" s="933"/>
      <c r="G961" s="933"/>
      <c r="H961" s="933"/>
      <c r="I961" s="933"/>
      <c r="J961" s="933"/>
      <c r="K961" s="933"/>
      <c r="L961" s="933"/>
      <c r="M961" s="933"/>
      <c r="N961" s="933"/>
      <c r="O961" s="933"/>
      <c r="P961" s="933"/>
      <c r="Q961" s="933"/>
      <c r="R961" s="933"/>
      <c r="S961" s="933"/>
      <c r="T961" s="933"/>
      <c r="V961" s="933"/>
      <c r="W961" s="933"/>
      <c r="X961" s="945"/>
      <c r="Y961" s="933"/>
      <c r="Z961" s="933"/>
      <c r="AA961" s="933"/>
      <c r="AB961" s="933"/>
      <c r="AC961" s="933"/>
      <c r="AD961" s="933"/>
      <c r="AE961" s="933"/>
      <c r="AF961" s="933"/>
      <c r="AG961" s="933"/>
    </row>
    <row r="962" spans="1:33" ht="12.75">
      <c r="A962" s="933"/>
      <c r="B962" s="933"/>
      <c r="C962" s="933"/>
      <c r="D962" s="933"/>
      <c r="E962" s="933"/>
      <c r="F962" s="933"/>
      <c r="G962" s="933"/>
      <c r="H962" s="933"/>
      <c r="I962" s="933"/>
      <c r="J962" s="933"/>
      <c r="K962" s="933"/>
      <c r="L962" s="933"/>
      <c r="M962" s="933"/>
      <c r="N962" s="933"/>
      <c r="O962" s="933"/>
      <c r="P962" s="933"/>
      <c r="Q962" s="933"/>
      <c r="R962" s="933"/>
      <c r="S962" s="933"/>
      <c r="T962" s="933"/>
      <c r="V962" s="933"/>
      <c r="W962" s="933"/>
      <c r="X962" s="945"/>
      <c r="Y962" s="933"/>
      <c r="Z962" s="933"/>
      <c r="AA962" s="933"/>
      <c r="AB962" s="933"/>
      <c r="AC962" s="933"/>
      <c r="AD962" s="933"/>
      <c r="AE962" s="933"/>
      <c r="AF962" s="933"/>
      <c r="AG962" s="933"/>
    </row>
    <row r="963" spans="1:33" ht="12.75">
      <c r="A963" s="933"/>
      <c r="B963" s="933"/>
      <c r="C963" s="933"/>
      <c r="D963" s="933"/>
      <c r="E963" s="933"/>
      <c r="F963" s="933"/>
      <c r="G963" s="933"/>
      <c r="H963" s="933"/>
      <c r="I963" s="933"/>
      <c r="J963" s="933"/>
      <c r="K963" s="933"/>
      <c r="L963" s="933"/>
      <c r="M963" s="933"/>
      <c r="N963" s="933"/>
      <c r="O963" s="933"/>
      <c r="P963" s="933"/>
      <c r="Q963" s="933"/>
      <c r="R963" s="933"/>
      <c r="S963" s="933"/>
      <c r="T963" s="933"/>
      <c r="V963" s="933"/>
      <c r="W963" s="933"/>
      <c r="X963" s="945"/>
      <c r="Y963" s="933"/>
      <c r="Z963" s="933"/>
      <c r="AA963" s="933"/>
      <c r="AB963" s="933"/>
      <c r="AC963" s="933"/>
      <c r="AD963" s="933"/>
      <c r="AE963" s="933"/>
      <c r="AF963" s="933"/>
      <c r="AG963" s="933"/>
    </row>
    <row r="964" spans="1:33" ht="12.75">
      <c r="A964" s="933"/>
      <c r="B964" s="933"/>
      <c r="C964" s="933"/>
      <c r="D964" s="933"/>
      <c r="E964" s="933"/>
      <c r="F964" s="933"/>
      <c r="G964" s="933"/>
      <c r="H964" s="933"/>
      <c r="I964" s="933"/>
      <c r="J964" s="933"/>
      <c r="K964" s="933"/>
      <c r="L964" s="933"/>
      <c r="M964" s="933"/>
      <c r="N964" s="933"/>
      <c r="O964" s="933"/>
      <c r="P964" s="933"/>
      <c r="Q964" s="933"/>
      <c r="R964" s="933"/>
      <c r="S964" s="933"/>
      <c r="T964" s="933"/>
      <c r="V964" s="933"/>
      <c r="W964" s="933"/>
      <c r="X964" s="945"/>
      <c r="Y964" s="933"/>
      <c r="Z964" s="933"/>
      <c r="AA964" s="933"/>
      <c r="AB964" s="933"/>
      <c r="AC964" s="933"/>
      <c r="AD964" s="933"/>
      <c r="AE964" s="933"/>
      <c r="AF964" s="933"/>
      <c r="AG964" s="933"/>
    </row>
    <row r="965" spans="1:33" ht="12.75">
      <c r="A965" s="933"/>
      <c r="B965" s="933"/>
      <c r="C965" s="933"/>
      <c r="D965" s="933"/>
      <c r="E965" s="933"/>
      <c r="F965" s="933"/>
      <c r="G965" s="933"/>
      <c r="H965" s="933"/>
      <c r="I965" s="933"/>
      <c r="J965" s="933"/>
      <c r="K965" s="933"/>
      <c r="L965" s="933"/>
      <c r="M965" s="933"/>
      <c r="N965" s="933"/>
      <c r="O965" s="933"/>
      <c r="P965" s="933"/>
      <c r="Q965" s="933"/>
      <c r="R965" s="933"/>
      <c r="S965" s="933"/>
      <c r="T965" s="933"/>
      <c r="V965" s="933"/>
      <c r="W965" s="933"/>
      <c r="X965" s="945"/>
      <c r="Y965" s="933"/>
      <c r="Z965" s="933"/>
      <c r="AA965" s="933"/>
      <c r="AB965" s="933"/>
      <c r="AC965" s="933"/>
      <c r="AD965" s="933"/>
      <c r="AE965" s="933"/>
      <c r="AF965" s="933"/>
      <c r="AG965" s="933"/>
    </row>
    <row r="966" spans="1:33" ht="12.75">
      <c r="A966" s="933"/>
      <c r="B966" s="933"/>
      <c r="C966" s="933"/>
      <c r="D966" s="933"/>
      <c r="E966" s="933"/>
      <c r="F966" s="933"/>
      <c r="G966" s="933"/>
      <c r="H966" s="933"/>
      <c r="I966" s="933"/>
      <c r="J966" s="933"/>
      <c r="K966" s="933"/>
      <c r="L966" s="933"/>
      <c r="M966" s="933"/>
      <c r="N966" s="933"/>
      <c r="O966" s="933"/>
      <c r="P966" s="933"/>
      <c r="Q966" s="933"/>
      <c r="R966" s="933"/>
      <c r="S966" s="933"/>
      <c r="T966" s="933"/>
      <c r="V966" s="933"/>
      <c r="W966" s="933"/>
      <c r="X966" s="945"/>
      <c r="Y966" s="933"/>
      <c r="Z966" s="933"/>
      <c r="AA966" s="933"/>
      <c r="AB966" s="933"/>
      <c r="AC966" s="933"/>
      <c r="AD966" s="933"/>
      <c r="AE966" s="933"/>
      <c r="AF966" s="933"/>
      <c r="AG966" s="933"/>
    </row>
    <row r="967" spans="1:33" ht="12.75">
      <c r="A967" s="933"/>
      <c r="B967" s="933"/>
      <c r="C967" s="933"/>
      <c r="D967" s="933"/>
      <c r="E967" s="933"/>
      <c r="F967" s="933"/>
      <c r="G967" s="933"/>
      <c r="H967" s="933"/>
      <c r="I967" s="933"/>
      <c r="J967" s="933"/>
      <c r="K967" s="933"/>
      <c r="L967" s="933"/>
      <c r="M967" s="933"/>
      <c r="N967" s="933"/>
      <c r="O967" s="933"/>
      <c r="P967" s="933"/>
      <c r="Q967" s="933"/>
      <c r="R967" s="933"/>
      <c r="S967" s="933"/>
      <c r="T967" s="933"/>
      <c r="V967" s="933"/>
      <c r="W967" s="933"/>
      <c r="X967" s="945"/>
      <c r="Y967" s="933"/>
      <c r="Z967" s="933"/>
      <c r="AA967" s="933"/>
      <c r="AB967" s="933"/>
      <c r="AC967" s="933"/>
      <c r="AD967" s="933"/>
      <c r="AE967" s="933"/>
      <c r="AF967" s="933"/>
      <c r="AG967" s="933"/>
    </row>
    <row r="968" spans="1:33" ht="12.75">
      <c r="A968" s="933"/>
      <c r="B968" s="933"/>
      <c r="C968" s="933"/>
      <c r="D968" s="933"/>
      <c r="E968" s="933"/>
      <c r="F968" s="933"/>
      <c r="G968" s="933"/>
      <c r="H968" s="933"/>
      <c r="I968" s="933"/>
      <c r="J968" s="933"/>
      <c r="K968" s="933"/>
      <c r="L968" s="933"/>
      <c r="M968" s="933"/>
      <c r="N968" s="933"/>
      <c r="O968" s="933"/>
      <c r="P968" s="933"/>
      <c r="Q968" s="933"/>
      <c r="R968" s="933"/>
      <c r="S968" s="933"/>
      <c r="T968" s="933"/>
      <c r="V968" s="933"/>
      <c r="W968" s="933"/>
      <c r="X968" s="945"/>
      <c r="Y968" s="933"/>
      <c r="Z968" s="933"/>
      <c r="AA968" s="933"/>
      <c r="AB968" s="933"/>
      <c r="AC968" s="933"/>
      <c r="AD968" s="933"/>
      <c r="AE968" s="933"/>
      <c r="AF968" s="933"/>
      <c r="AG968" s="933"/>
    </row>
    <row r="969" spans="1:33" ht="12.75">
      <c r="A969" s="933"/>
      <c r="B969" s="933"/>
      <c r="C969" s="933"/>
      <c r="D969" s="933"/>
      <c r="E969" s="933"/>
      <c r="F969" s="933"/>
      <c r="G969" s="933"/>
      <c r="H969" s="933"/>
      <c r="I969" s="933"/>
      <c r="J969" s="933"/>
      <c r="K969" s="933"/>
      <c r="L969" s="933"/>
      <c r="M969" s="933"/>
      <c r="N969" s="933"/>
      <c r="O969" s="933"/>
      <c r="P969" s="933"/>
      <c r="Q969" s="933"/>
      <c r="R969" s="933"/>
      <c r="S969" s="933"/>
      <c r="T969" s="933"/>
      <c r="V969" s="933"/>
      <c r="W969" s="933"/>
      <c r="X969" s="945"/>
      <c r="Y969" s="933"/>
      <c r="Z969" s="933"/>
      <c r="AA969" s="933"/>
      <c r="AB969" s="933"/>
      <c r="AC969" s="933"/>
      <c r="AD969" s="933"/>
      <c r="AE969" s="933"/>
      <c r="AF969" s="933"/>
      <c r="AG969" s="933"/>
    </row>
    <row r="970" spans="1:33" ht="12.75">
      <c r="A970" s="933"/>
      <c r="B970" s="933"/>
      <c r="C970" s="933"/>
      <c r="D970" s="933"/>
      <c r="E970" s="933"/>
      <c r="F970" s="933"/>
      <c r="G970" s="933"/>
      <c r="H970" s="933"/>
      <c r="I970" s="933"/>
      <c r="J970" s="933"/>
      <c r="K970" s="933"/>
      <c r="L970" s="933"/>
      <c r="M970" s="933"/>
      <c r="N970" s="933"/>
      <c r="O970" s="933"/>
      <c r="P970" s="933"/>
      <c r="Q970" s="933"/>
      <c r="R970" s="933"/>
      <c r="S970" s="933"/>
      <c r="T970" s="933"/>
      <c r="V970" s="933"/>
      <c r="W970" s="933"/>
      <c r="X970" s="945"/>
      <c r="Y970" s="933"/>
      <c r="Z970" s="933"/>
      <c r="AA970" s="933"/>
      <c r="AB970" s="933"/>
      <c r="AC970" s="933"/>
      <c r="AD970" s="933"/>
      <c r="AE970" s="933"/>
      <c r="AF970" s="933"/>
      <c r="AG970" s="933"/>
    </row>
    <row r="971" spans="1:33" ht="12.75">
      <c r="A971" s="933"/>
      <c r="B971" s="933"/>
      <c r="C971" s="933"/>
      <c r="D971" s="933"/>
      <c r="E971" s="933"/>
      <c r="F971" s="933"/>
      <c r="G971" s="933"/>
      <c r="H971" s="933"/>
      <c r="I971" s="933"/>
      <c r="J971" s="933"/>
      <c r="K971" s="933"/>
      <c r="L971" s="933"/>
      <c r="M971" s="933"/>
      <c r="N971" s="933"/>
      <c r="O971" s="933"/>
      <c r="P971" s="933"/>
      <c r="Q971" s="933"/>
      <c r="R971" s="933"/>
      <c r="S971" s="933"/>
      <c r="T971" s="933"/>
      <c r="V971" s="933"/>
      <c r="W971" s="933"/>
      <c r="X971" s="945"/>
      <c r="Y971" s="933"/>
      <c r="Z971" s="933"/>
      <c r="AA971" s="933"/>
      <c r="AB971" s="933"/>
      <c r="AC971" s="933"/>
      <c r="AD971" s="933"/>
      <c r="AE971" s="933"/>
      <c r="AF971" s="933"/>
      <c r="AG971" s="933"/>
    </row>
    <row r="972" spans="1:33" ht="12.75">
      <c r="A972" s="933"/>
      <c r="B972" s="933"/>
      <c r="C972" s="933"/>
      <c r="D972" s="933"/>
      <c r="E972" s="933"/>
      <c r="F972" s="933"/>
      <c r="G972" s="933"/>
      <c r="H972" s="933"/>
      <c r="I972" s="933"/>
      <c r="J972" s="933"/>
      <c r="K972" s="933"/>
      <c r="L972" s="933"/>
      <c r="M972" s="933"/>
      <c r="N972" s="933"/>
      <c r="O972" s="933"/>
      <c r="P972" s="933"/>
      <c r="Q972" s="933"/>
      <c r="R972" s="933"/>
      <c r="S972" s="933"/>
      <c r="T972" s="933"/>
      <c r="V972" s="933"/>
      <c r="W972" s="933"/>
      <c r="X972" s="945"/>
      <c r="Y972" s="933"/>
      <c r="Z972" s="933"/>
      <c r="AA972" s="933"/>
      <c r="AB972" s="933"/>
      <c r="AC972" s="933"/>
      <c r="AD972" s="933"/>
      <c r="AE972" s="933"/>
      <c r="AF972" s="933"/>
      <c r="AG972" s="933"/>
    </row>
    <row r="973" spans="1:33" ht="12.75">
      <c r="A973" s="933"/>
      <c r="B973" s="933"/>
      <c r="C973" s="933"/>
      <c r="D973" s="933"/>
      <c r="E973" s="933"/>
      <c r="F973" s="933"/>
      <c r="G973" s="933"/>
      <c r="H973" s="933"/>
      <c r="I973" s="933"/>
      <c r="J973" s="933"/>
      <c r="K973" s="933"/>
      <c r="L973" s="933"/>
      <c r="M973" s="933"/>
      <c r="N973" s="933"/>
      <c r="O973" s="933"/>
      <c r="P973" s="933"/>
      <c r="Q973" s="933"/>
      <c r="R973" s="933"/>
      <c r="S973" s="933"/>
      <c r="T973" s="933"/>
      <c r="V973" s="933"/>
      <c r="W973" s="933"/>
      <c r="X973" s="945"/>
      <c r="Y973" s="933"/>
      <c r="Z973" s="933"/>
      <c r="AA973" s="933"/>
      <c r="AB973" s="933"/>
      <c r="AC973" s="933"/>
      <c r="AD973" s="933"/>
      <c r="AE973" s="933"/>
      <c r="AF973" s="933"/>
      <c r="AG973" s="933"/>
    </row>
    <row r="974" spans="1:33" ht="12.75">
      <c r="A974" s="933"/>
      <c r="B974" s="933"/>
      <c r="C974" s="933"/>
      <c r="D974" s="933"/>
      <c r="E974" s="933"/>
      <c r="F974" s="933"/>
      <c r="G974" s="933"/>
      <c r="H974" s="933"/>
      <c r="I974" s="933"/>
      <c r="J974" s="933"/>
      <c r="K974" s="933"/>
      <c r="L974" s="933"/>
      <c r="M974" s="933"/>
      <c r="N974" s="933"/>
      <c r="O974" s="933"/>
      <c r="P974" s="933"/>
      <c r="Q974" s="933"/>
      <c r="R974" s="933"/>
      <c r="S974" s="933"/>
      <c r="T974" s="933"/>
      <c r="V974" s="933"/>
      <c r="W974" s="933"/>
      <c r="X974" s="945"/>
      <c r="Y974" s="933"/>
      <c r="Z974" s="933"/>
      <c r="AA974" s="933"/>
      <c r="AB974" s="933"/>
      <c r="AC974" s="933"/>
      <c r="AD974" s="933"/>
      <c r="AE974" s="933"/>
      <c r="AF974" s="933"/>
      <c r="AG974" s="933"/>
    </row>
    <row r="975" spans="1:33" ht="12.75">
      <c r="A975" s="933"/>
      <c r="B975" s="933"/>
      <c r="C975" s="933"/>
      <c r="D975" s="933"/>
      <c r="E975" s="933"/>
      <c r="F975" s="933"/>
      <c r="G975" s="933"/>
      <c r="H975" s="933"/>
      <c r="I975" s="933"/>
      <c r="J975" s="933"/>
      <c r="K975" s="933"/>
      <c r="L975" s="933"/>
      <c r="M975" s="933"/>
      <c r="N975" s="933"/>
      <c r="O975" s="933"/>
      <c r="P975" s="933"/>
      <c r="Q975" s="933"/>
      <c r="R975" s="933"/>
      <c r="S975" s="933"/>
      <c r="T975" s="933"/>
      <c r="V975" s="933"/>
      <c r="W975" s="933"/>
      <c r="X975" s="945"/>
      <c r="Y975" s="933"/>
      <c r="Z975" s="933"/>
      <c r="AA975" s="933"/>
      <c r="AB975" s="933"/>
      <c r="AC975" s="933"/>
      <c r="AD975" s="933"/>
      <c r="AE975" s="933"/>
      <c r="AF975" s="933"/>
      <c r="AG975" s="933"/>
    </row>
    <row r="976" spans="1:33" ht="12.75">
      <c r="A976" s="933"/>
      <c r="B976" s="933"/>
      <c r="C976" s="933"/>
      <c r="D976" s="933"/>
      <c r="E976" s="933"/>
      <c r="F976" s="933"/>
      <c r="G976" s="933"/>
      <c r="H976" s="933"/>
      <c r="I976" s="933"/>
      <c r="J976" s="933"/>
      <c r="K976" s="933"/>
      <c r="L976" s="933"/>
      <c r="M976" s="933"/>
      <c r="N976" s="933"/>
      <c r="O976" s="933"/>
      <c r="P976" s="933"/>
      <c r="Q976" s="933"/>
      <c r="R976" s="933"/>
      <c r="S976" s="933"/>
      <c r="T976" s="933"/>
      <c r="V976" s="933"/>
      <c r="W976" s="933"/>
      <c r="X976" s="945"/>
      <c r="Y976" s="933"/>
      <c r="Z976" s="933"/>
      <c r="AA976" s="933"/>
      <c r="AB976" s="933"/>
      <c r="AC976" s="933"/>
      <c r="AD976" s="933"/>
      <c r="AE976" s="933"/>
      <c r="AF976" s="933"/>
      <c r="AG976" s="933"/>
    </row>
    <row r="977" spans="1:33" ht="12.75">
      <c r="A977" s="933"/>
      <c r="B977" s="933"/>
      <c r="C977" s="933"/>
      <c r="D977" s="933"/>
      <c r="E977" s="933"/>
      <c r="F977" s="933"/>
      <c r="G977" s="933"/>
      <c r="H977" s="933"/>
      <c r="I977" s="933"/>
      <c r="J977" s="933"/>
      <c r="K977" s="933"/>
      <c r="L977" s="933"/>
      <c r="M977" s="933"/>
      <c r="N977" s="933"/>
      <c r="O977" s="933"/>
      <c r="P977" s="933"/>
      <c r="Q977" s="933"/>
      <c r="R977" s="933"/>
      <c r="S977" s="933"/>
      <c r="T977" s="933"/>
      <c r="V977" s="933"/>
      <c r="W977" s="933"/>
      <c r="X977" s="945"/>
      <c r="Y977" s="933"/>
      <c r="Z977" s="933"/>
      <c r="AA977" s="933"/>
      <c r="AB977" s="933"/>
      <c r="AC977" s="933"/>
      <c r="AD977" s="933"/>
      <c r="AE977" s="933"/>
      <c r="AF977" s="933"/>
      <c r="AG977" s="933"/>
    </row>
    <row r="978" spans="1:33" ht="12.75">
      <c r="A978" s="933"/>
      <c r="B978" s="933"/>
      <c r="C978" s="933"/>
      <c r="D978" s="933"/>
      <c r="E978" s="933"/>
      <c r="F978" s="933"/>
      <c r="G978" s="933"/>
      <c r="H978" s="933"/>
      <c r="I978" s="933"/>
      <c r="J978" s="933"/>
      <c r="K978" s="933"/>
      <c r="L978" s="933"/>
      <c r="M978" s="933"/>
      <c r="N978" s="933"/>
      <c r="O978" s="933"/>
      <c r="P978" s="933"/>
      <c r="Q978" s="933"/>
      <c r="R978" s="933"/>
      <c r="S978" s="933"/>
      <c r="T978" s="933"/>
      <c r="V978" s="933"/>
      <c r="W978" s="933"/>
      <c r="X978" s="945"/>
      <c r="Y978" s="933"/>
      <c r="Z978" s="933"/>
      <c r="AA978" s="933"/>
      <c r="AB978" s="933"/>
      <c r="AC978" s="933"/>
      <c r="AD978" s="933"/>
      <c r="AE978" s="933"/>
      <c r="AF978" s="933"/>
      <c r="AG978" s="933"/>
    </row>
    <row r="979" spans="1:33" ht="12.75">
      <c r="A979" s="933"/>
      <c r="B979" s="933"/>
      <c r="C979" s="933"/>
      <c r="D979" s="933"/>
      <c r="E979" s="933"/>
      <c r="F979" s="933"/>
      <c r="G979" s="933"/>
      <c r="H979" s="933"/>
      <c r="I979" s="933"/>
      <c r="J979" s="933"/>
      <c r="K979" s="933"/>
      <c r="L979" s="933"/>
      <c r="M979" s="933"/>
      <c r="N979" s="933"/>
      <c r="O979" s="933"/>
      <c r="P979" s="933"/>
      <c r="Q979" s="933"/>
      <c r="R979" s="933"/>
      <c r="S979" s="933"/>
      <c r="T979" s="933"/>
      <c r="V979" s="933"/>
      <c r="W979" s="933"/>
      <c r="X979" s="945"/>
      <c r="Y979" s="933"/>
      <c r="Z979" s="933"/>
      <c r="AA979" s="933"/>
      <c r="AB979" s="933"/>
      <c r="AC979" s="933"/>
      <c r="AD979" s="933"/>
      <c r="AE979" s="933"/>
      <c r="AF979" s="933"/>
      <c r="AG979" s="933"/>
    </row>
    <row r="980" spans="1:33" ht="12.75">
      <c r="A980" s="933"/>
      <c r="B980" s="933"/>
      <c r="C980" s="933"/>
      <c r="D980" s="933"/>
      <c r="E980" s="933"/>
      <c r="F980" s="933"/>
      <c r="G980" s="933"/>
      <c r="H980" s="933"/>
      <c r="I980" s="933"/>
      <c r="J980" s="933"/>
      <c r="K980" s="933"/>
      <c r="L980" s="933"/>
      <c r="M980" s="933"/>
      <c r="N980" s="933"/>
      <c r="O980" s="933"/>
      <c r="P980" s="933"/>
      <c r="Q980" s="933"/>
      <c r="R980" s="933"/>
      <c r="S980" s="933"/>
      <c r="T980" s="933"/>
      <c r="V980" s="933"/>
      <c r="W980" s="933"/>
      <c r="X980" s="945"/>
      <c r="Y980" s="933"/>
      <c r="Z980" s="933"/>
      <c r="AA980" s="933"/>
      <c r="AB980" s="933"/>
      <c r="AC980" s="933"/>
      <c r="AD980" s="933"/>
      <c r="AE980" s="933"/>
      <c r="AF980" s="933"/>
      <c r="AG980" s="933"/>
    </row>
    <row r="981" spans="1:33" ht="12.75">
      <c r="A981" s="933"/>
      <c r="B981" s="933"/>
      <c r="C981" s="933"/>
      <c r="D981" s="933"/>
      <c r="E981" s="933"/>
      <c r="F981" s="933"/>
      <c r="G981" s="933"/>
      <c r="H981" s="933"/>
      <c r="I981" s="933"/>
      <c r="J981" s="933"/>
      <c r="K981" s="933"/>
      <c r="L981" s="933"/>
      <c r="M981" s="933"/>
      <c r="N981" s="933"/>
      <c r="O981" s="933"/>
      <c r="P981" s="933"/>
      <c r="Q981" s="933"/>
      <c r="R981" s="933"/>
      <c r="S981" s="933"/>
      <c r="T981" s="933"/>
      <c r="V981" s="933"/>
      <c r="W981" s="933"/>
      <c r="X981" s="945"/>
      <c r="Y981" s="933"/>
      <c r="Z981" s="933"/>
      <c r="AA981" s="933"/>
      <c r="AB981" s="933"/>
      <c r="AC981" s="933"/>
      <c r="AD981" s="933"/>
      <c r="AE981" s="933"/>
      <c r="AF981" s="933"/>
      <c r="AG981" s="933"/>
    </row>
    <row r="982" spans="1:33" ht="12.75">
      <c r="A982" s="933"/>
      <c r="B982" s="933"/>
      <c r="C982" s="933"/>
      <c r="D982" s="933"/>
      <c r="E982" s="933"/>
      <c r="F982" s="933"/>
      <c r="G982" s="933"/>
      <c r="H982" s="933"/>
      <c r="I982" s="933"/>
      <c r="J982" s="933"/>
      <c r="K982" s="933"/>
      <c r="L982" s="933"/>
      <c r="M982" s="933"/>
      <c r="N982" s="933"/>
      <c r="O982" s="933"/>
      <c r="P982" s="933"/>
      <c r="Q982" s="933"/>
      <c r="R982" s="933"/>
      <c r="S982" s="933"/>
      <c r="T982" s="933"/>
      <c r="V982" s="933"/>
      <c r="W982" s="933"/>
      <c r="X982" s="945"/>
      <c r="Y982" s="933"/>
      <c r="Z982" s="933"/>
      <c r="AA982" s="933"/>
      <c r="AB982" s="933"/>
      <c r="AC982" s="933"/>
      <c r="AD982" s="933"/>
      <c r="AE982" s="933"/>
      <c r="AF982" s="933"/>
      <c r="AG982" s="933"/>
    </row>
    <row r="983" spans="1:33" ht="12.75">
      <c r="A983" s="933"/>
      <c r="B983" s="933"/>
      <c r="C983" s="933"/>
      <c r="D983" s="933"/>
      <c r="E983" s="933"/>
      <c r="F983" s="933"/>
      <c r="G983" s="933"/>
      <c r="H983" s="933"/>
      <c r="I983" s="933"/>
      <c r="J983" s="933"/>
      <c r="K983" s="933"/>
      <c r="L983" s="933"/>
      <c r="M983" s="933"/>
      <c r="N983" s="933"/>
      <c r="O983" s="933"/>
      <c r="P983" s="933"/>
      <c r="Q983" s="933"/>
      <c r="R983" s="933"/>
      <c r="S983" s="933"/>
      <c r="T983" s="933"/>
      <c r="V983" s="933"/>
      <c r="W983" s="933"/>
      <c r="X983" s="945"/>
      <c r="Y983" s="933"/>
      <c r="Z983" s="933"/>
      <c r="AA983" s="933"/>
      <c r="AB983" s="933"/>
      <c r="AC983" s="933"/>
      <c r="AD983" s="933"/>
      <c r="AE983" s="933"/>
      <c r="AF983" s="933"/>
      <c r="AG983" s="933"/>
    </row>
    <row r="984" spans="1:33" ht="12.75">
      <c r="A984" s="933"/>
      <c r="B984" s="933"/>
      <c r="C984" s="933"/>
      <c r="D984" s="933"/>
      <c r="E984" s="933"/>
      <c r="F984" s="933"/>
      <c r="G984" s="933"/>
      <c r="H984" s="933"/>
      <c r="I984" s="933"/>
      <c r="J984" s="933"/>
      <c r="K984" s="933"/>
      <c r="L984" s="933"/>
      <c r="M984" s="933"/>
      <c r="N984" s="933"/>
      <c r="O984" s="933"/>
      <c r="P984" s="933"/>
      <c r="Q984" s="933"/>
      <c r="R984" s="933"/>
      <c r="S984" s="933"/>
      <c r="T984" s="933"/>
      <c r="V984" s="933"/>
      <c r="W984" s="933"/>
      <c r="X984" s="945"/>
      <c r="Y984" s="933"/>
      <c r="Z984" s="933"/>
      <c r="AA984" s="933"/>
      <c r="AB984" s="933"/>
      <c r="AC984" s="933"/>
      <c r="AD984" s="933"/>
      <c r="AE984" s="933"/>
      <c r="AF984" s="933"/>
      <c r="AG984" s="933"/>
    </row>
    <row r="985" spans="1:33" ht="12.75">
      <c r="A985" s="933"/>
      <c r="B985" s="933"/>
      <c r="C985" s="933"/>
      <c r="D985" s="933"/>
      <c r="E985" s="933"/>
      <c r="F985" s="933"/>
      <c r="G985" s="933"/>
      <c r="H985" s="933"/>
      <c r="I985" s="933"/>
      <c r="J985" s="933"/>
      <c r="K985" s="933"/>
      <c r="L985" s="933"/>
      <c r="M985" s="933"/>
      <c r="N985" s="933"/>
      <c r="O985" s="933"/>
      <c r="P985" s="933"/>
      <c r="Q985" s="933"/>
      <c r="R985" s="933"/>
      <c r="S985" s="933"/>
      <c r="T985" s="933"/>
      <c r="V985" s="933"/>
      <c r="W985" s="933"/>
      <c r="X985" s="945"/>
      <c r="Y985" s="933"/>
      <c r="Z985" s="933"/>
      <c r="AA985" s="933"/>
      <c r="AB985" s="933"/>
      <c r="AC985" s="933"/>
      <c r="AD985" s="933"/>
      <c r="AE985" s="933"/>
      <c r="AF985" s="933"/>
      <c r="AG985" s="933"/>
    </row>
    <row r="986" spans="1:33" ht="12.75">
      <c r="A986" s="933"/>
      <c r="B986" s="933"/>
      <c r="C986" s="933"/>
      <c r="D986" s="933"/>
      <c r="E986" s="933"/>
      <c r="F986" s="933"/>
      <c r="G986" s="933"/>
      <c r="H986" s="933"/>
      <c r="I986" s="933"/>
      <c r="J986" s="933"/>
      <c r="K986" s="933"/>
      <c r="L986" s="933"/>
      <c r="M986" s="933"/>
      <c r="N986" s="933"/>
      <c r="O986" s="933"/>
      <c r="P986" s="933"/>
      <c r="Q986" s="933"/>
      <c r="R986" s="933"/>
      <c r="S986" s="933"/>
      <c r="T986" s="933"/>
      <c r="V986" s="933"/>
      <c r="W986" s="933"/>
      <c r="X986" s="945"/>
      <c r="Y986" s="933"/>
      <c r="Z986" s="933"/>
      <c r="AA986" s="933"/>
      <c r="AB986" s="933"/>
      <c r="AC986" s="933"/>
      <c r="AD986" s="933"/>
      <c r="AE986" s="933"/>
      <c r="AF986" s="933"/>
      <c r="AG986" s="933"/>
    </row>
    <row r="987" spans="1:33" ht="12.75">
      <c r="A987" s="933"/>
      <c r="B987" s="933"/>
      <c r="C987" s="933"/>
      <c r="D987" s="933"/>
      <c r="E987" s="933"/>
      <c r="F987" s="933"/>
      <c r="G987" s="933"/>
      <c r="H987" s="933"/>
      <c r="I987" s="933"/>
      <c r="J987" s="933"/>
      <c r="K987" s="933"/>
      <c r="L987" s="933"/>
      <c r="M987" s="933"/>
      <c r="N987" s="933"/>
      <c r="O987" s="933"/>
      <c r="P987" s="933"/>
      <c r="Q987" s="933"/>
      <c r="R987" s="933"/>
      <c r="S987" s="933"/>
      <c r="T987" s="933"/>
      <c r="V987" s="933"/>
      <c r="W987" s="933"/>
      <c r="X987" s="945"/>
      <c r="Y987" s="933"/>
      <c r="Z987" s="933"/>
      <c r="AA987" s="933"/>
      <c r="AB987" s="933"/>
      <c r="AC987" s="933"/>
      <c r="AD987" s="933"/>
      <c r="AE987" s="933"/>
      <c r="AF987" s="933"/>
      <c r="AG987" s="933"/>
    </row>
    <row r="988" spans="1:33" ht="12.75">
      <c r="A988" s="933"/>
      <c r="B988" s="933"/>
      <c r="C988" s="933"/>
      <c r="D988" s="933"/>
      <c r="E988" s="933"/>
      <c r="F988" s="933"/>
      <c r="G988" s="933"/>
      <c r="H988" s="933"/>
      <c r="I988" s="933"/>
      <c r="J988" s="933"/>
      <c r="K988" s="933"/>
      <c r="L988" s="933"/>
      <c r="M988" s="933"/>
      <c r="N988" s="933"/>
      <c r="O988" s="933"/>
      <c r="P988" s="933"/>
      <c r="Q988" s="933"/>
      <c r="R988" s="933"/>
      <c r="S988" s="933"/>
      <c r="T988" s="933"/>
      <c r="V988" s="933"/>
      <c r="W988" s="933"/>
      <c r="X988" s="945"/>
      <c r="Y988" s="933"/>
      <c r="Z988" s="933"/>
      <c r="AA988" s="933"/>
      <c r="AB988" s="933"/>
      <c r="AC988" s="933"/>
      <c r="AD988" s="933"/>
      <c r="AE988" s="933"/>
      <c r="AF988" s="933"/>
      <c r="AG988" s="933"/>
    </row>
    <row r="989" spans="1:33" ht="12.75">
      <c r="A989" s="933"/>
      <c r="B989" s="933"/>
      <c r="C989" s="933"/>
      <c r="D989" s="933"/>
      <c r="E989" s="933"/>
      <c r="F989" s="933"/>
      <c r="G989" s="933"/>
      <c r="H989" s="933"/>
      <c r="I989" s="933"/>
      <c r="J989" s="933"/>
      <c r="K989" s="933"/>
      <c r="L989" s="933"/>
      <c r="M989" s="933"/>
      <c r="N989" s="933"/>
      <c r="O989" s="933"/>
      <c r="P989" s="933"/>
      <c r="Q989" s="933"/>
      <c r="R989" s="933"/>
      <c r="S989" s="933"/>
      <c r="T989" s="933"/>
      <c r="V989" s="933"/>
      <c r="W989" s="933"/>
      <c r="X989" s="945"/>
      <c r="Y989" s="933"/>
      <c r="Z989" s="933"/>
      <c r="AA989" s="933"/>
      <c r="AB989" s="933"/>
      <c r="AC989" s="933"/>
      <c r="AD989" s="933"/>
      <c r="AE989" s="933"/>
      <c r="AF989" s="933"/>
      <c r="AG989" s="933"/>
    </row>
    <row r="990" spans="1:33" ht="12.75">
      <c r="A990" s="933"/>
      <c r="B990" s="933"/>
      <c r="C990" s="933"/>
      <c r="D990" s="933"/>
      <c r="E990" s="933"/>
      <c r="F990" s="933"/>
      <c r="G990" s="933"/>
      <c r="H990" s="933"/>
      <c r="I990" s="933"/>
      <c r="J990" s="933"/>
      <c r="K990" s="933"/>
      <c r="L990" s="933"/>
      <c r="M990" s="933"/>
      <c r="N990" s="933"/>
      <c r="O990" s="933"/>
      <c r="P990" s="933"/>
      <c r="Q990" s="933"/>
      <c r="R990" s="933"/>
      <c r="S990" s="933"/>
      <c r="T990" s="933"/>
      <c r="V990" s="933"/>
      <c r="W990" s="933"/>
      <c r="X990" s="945"/>
      <c r="Y990" s="933"/>
      <c r="Z990" s="933"/>
      <c r="AA990" s="933"/>
      <c r="AB990" s="933"/>
      <c r="AC990" s="933"/>
      <c r="AD990" s="933"/>
      <c r="AE990" s="933"/>
      <c r="AF990" s="933"/>
      <c r="AG990" s="933"/>
    </row>
    <row r="991" spans="1:33" ht="12.75">
      <c r="A991" s="933"/>
      <c r="B991" s="933"/>
      <c r="C991" s="933"/>
      <c r="D991" s="933"/>
      <c r="E991" s="933"/>
      <c r="F991" s="933"/>
      <c r="G991" s="933"/>
      <c r="H991" s="933"/>
      <c r="I991" s="933"/>
      <c r="J991" s="933"/>
      <c r="K991" s="933"/>
      <c r="L991" s="933"/>
      <c r="M991" s="933"/>
      <c r="N991" s="933"/>
      <c r="O991" s="933"/>
      <c r="P991" s="933"/>
      <c r="Q991" s="933"/>
      <c r="R991" s="933"/>
      <c r="S991" s="933"/>
      <c r="T991" s="933"/>
      <c r="V991" s="933"/>
      <c r="W991" s="933"/>
      <c r="X991" s="945"/>
      <c r="Y991" s="933"/>
      <c r="Z991" s="933"/>
      <c r="AA991" s="933"/>
      <c r="AB991" s="933"/>
      <c r="AC991" s="933"/>
      <c r="AD991" s="933"/>
      <c r="AE991" s="933"/>
      <c r="AF991" s="933"/>
      <c r="AG991" s="933"/>
    </row>
    <row r="992" spans="1:33" ht="12.75">
      <c r="A992" s="933"/>
      <c r="B992" s="933"/>
      <c r="C992" s="933"/>
      <c r="D992" s="933"/>
      <c r="E992" s="933"/>
      <c r="F992" s="933"/>
      <c r="G992" s="933"/>
      <c r="H992" s="933"/>
      <c r="I992" s="933"/>
      <c r="J992" s="933"/>
      <c r="K992" s="933"/>
      <c r="L992" s="933"/>
      <c r="M992" s="933"/>
      <c r="N992" s="933"/>
      <c r="O992" s="933"/>
      <c r="P992" s="933"/>
      <c r="Q992" s="933"/>
      <c r="R992" s="933"/>
      <c r="S992" s="933"/>
      <c r="T992" s="933"/>
      <c r="V992" s="933"/>
      <c r="W992" s="933"/>
      <c r="X992" s="945"/>
      <c r="Y992" s="933"/>
      <c r="Z992" s="933"/>
      <c r="AA992" s="933"/>
      <c r="AB992" s="933"/>
      <c r="AC992" s="933"/>
      <c r="AD992" s="933"/>
      <c r="AE992" s="933"/>
      <c r="AF992" s="933"/>
      <c r="AG992" s="933"/>
    </row>
    <row r="993" spans="1:33" ht="12.75">
      <c r="A993" s="933"/>
      <c r="B993" s="933"/>
      <c r="C993" s="933"/>
      <c r="D993" s="933"/>
      <c r="E993" s="933"/>
      <c r="F993" s="933"/>
      <c r="G993" s="933"/>
      <c r="H993" s="933"/>
      <c r="I993" s="933"/>
      <c r="J993" s="933"/>
      <c r="K993" s="933"/>
      <c r="L993" s="933"/>
      <c r="M993" s="933"/>
      <c r="N993" s="933"/>
      <c r="O993" s="933"/>
      <c r="P993" s="933"/>
      <c r="Q993" s="933"/>
      <c r="R993" s="933"/>
      <c r="S993" s="933"/>
      <c r="T993" s="933"/>
      <c r="V993" s="933"/>
      <c r="W993" s="933"/>
      <c r="X993" s="945"/>
      <c r="Y993" s="933"/>
      <c r="Z993" s="933"/>
      <c r="AA993" s="933"/>
      <c r="AB993" s="933"/>
      <c r="AC993" s="933"/>
      <c r="AD993" s="933"/>
      <c r="AE993" s="933"/>
      <c r="AF993" s="933"/>
      <c r="AG993" s="933"/>
    </row>
    <row r="994" spans="1:33" ht="12.75">
      <c r="A994" s="933"/>
      <c r="B994" s="933"/>
      <c r="C994" s="933"/>
      <c r="D994" s="933"/>
      <c r="E994" s="933"/>
      <c r="F994" s="933"/>
      <c r="G994" s="933"/>
      <c r="H994" s="933"/>
      <c r="I994" s="933"/>
      <c r="J994" s="933"/>
      <c r="K994" s="933"/>
      <c r="L994" s="933"/>
      <c r="M994" s="933"/>
      <c r="N994" s="933"/>
      <c r="O994" s="933"/>
      <c r="P994" s="933"/>
      <c r="Q994" s="933"/>
      <c r="R994" s="933"/>
      <c r="S994" s="933"/>
      <c r="T994" s="933"/>
      <c r="V994" s="933"/>
      <c r="W994" s="933"/>
      <c r="X994" s="945"/>
      <c r="Y994" s="933"/>
      <c r="Z994" s="933"/>
      <c r="AA994" s="933"/>
      <c r="AB994" s="933"/>
      <c r="AC994" s="933"/>
      <c r="AD994" s="933"/>
      <c r="AE994" s="933"/>
      <c r="AF994" s="933"/>
      <c r="AG994" s="933"/>
    </row>
    <row r="995" spans="1:33" ht="12.75">
      <c r="A995" s="933"/>
      <c r="B995" s="933"/>
      <c r="C995" s="933"/>
      <c r="D995" s="933"/>
      <c r="E995" s="933"/>
      <c r="F995" s="933"/>
      <c r="G995" s="933"/>
      <c r="H995" s="933"/>
      <c r="I995" s="933"/>
      <c r="J995" s="933"/>
      <c r="K995" s="933"/>
      <c r="L995" s="933"/>
      <c r="M995" s="933"/>
      <c r="N995" s="933"/>
      <c r="O995" s="933"/>
      <c r="P995" s="933"/>
      <c r="Q995" s="933"/>
      <c r="R995" s="933"/>
      <c r="S995" s="933"/>
      <c r="T995" s="933"/>
      <c r="V995" s="933"/>
      <c r="W995" s="933"/>
      <c r="X995" s="945"/>
      <c r="Y995" s="933"/>
      <c r="Z995" s="933"/>
      <c r="AA995" s="933"/>
      <c r="AB995" s="933"/>
      <c r="AC995" s="933"/>
      <c r="AD995" s="933"/>
      <c r="AE995" s="933"/>
      <c r="AF995" s="933"/>
      <c r="AG995" s="933"/>
    </row>
    <row r="996" spans="1:33" ht="12.75">
      <c r="A996" s="933"/>
      <c r="B996" s="933"/>
      <c r="C996" s="933"/>
      <c r="D996" s="933"/>
      <c r="E996" s="933"/>
      <c r="F996" s="933"/>
      <c r="G996" s="933"/>
      <c r="H996" s="933"/>
      <c r="I996" s="933"/>
      <c r="J996" s="933"/>
      <c r="K996" s="933"/>
      <c r="L996" s="933"/>
      <c r="M996" s="933"/>
      <c r="N996" s="933"/>
      <c r="O996" s="933"/>
      <c r="P996" s="933"/>
      <c r="Q996" s="933"/>
      <c r="R996" s="933"/>
      <c r="S996" s="933"/>
      <c r="T996" s="933"/>
      <c r="V996" s="933"/>
      <c r="W996" s="933"/>
      <c r="X996" s="945"/>
      <c r="Y996" s="933"/>
      <c r="Z996" s="933"/>
      <c r="AA996" s="933"/>
      <c r="AB996" s="933"/>
      <c r="AC996" s="933"/>
      <c r="AD996" s="933"/>
      <c r="AE996" s="933"/>
      <c r="AF996" s="933"/>
      <c r="AG996" s="933"/>
    </row>
    <row r="997" spans="1:33" ht="12.75">
      <c r="A997" s="933"/>
      <c r="B997" s="933"/>
      <c r="C997" s="933"/>
      <c r="D997" s="933"/>
      <c r="E997" s="933"/>
      <c r="F997" s="933"/>
      <c r="G997" s="933"/>
      <c r="H997" s="933"/>
      <c r="I997" s="933"/>
      <c r="J997" s="933"/>
      <c r="K997" s="933"/>
      <c r="L997" s="933"/>
      <c r="M997" s="933"/>
      <c r="N997" s="933"/>
      <c r="O997" s="933"/>
      <c r="P997" s="933"/>
      <c r="Q997" s="933"/>
      <c r="R997" s="933"/>
      <c r="S997" s="933"/>
      <c r="T997" s="933"/>
      <c r="V997" s="933"/>
      <c r="W997" s="933"/>
      <c r="X997" s="945"/>
      <c r="Y997" s="933"/>
      <c r="Z997" s="933"/>
      <c r="AA997" s="933"/>
      <c r="AB997" s="933"/>
      <c r="AC997" s="933"/>
      <c r="AD997" s="933"/>
      <c r="AE997" s="933"/>
      <c r="AF997" s="933"/>
      <c r="AG997" s="933"/>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86365-34FA-4438-A3F9-B88E4EC7481E}">
  <sheetPr>
    <outlinePr summaryBelow="0" summaryRight="0"/>
  </sheetPr>
  <dimension ref="A1:AC1004"/>
  <sheetViews>
    <sheetView workbookViewId="0"/>
  </sheetViews>
  <sheetFormatPr defaultColWidth="12.5703125" defaultRowHeight="15.75" customHeight="1"/>
  <cols>
    <col min="1" max="1" width="17.42578125" style="929" customWidth="1"/>
    <col min="2" max="2" width="14.140625" style="929" customWidth="1"/>
    <col min="3" max="4" width="14.42578125" style="929" customWidth="1"/>
    <col min="5" max="5" width="12.5703125" style="929"/>
    <col min="6" max="7" width="19.28515625" style="929" customWidth="1"/>
    <col min="8" max="15" width="12.5703125" style="929"/>
    <col min="16" max="16" width="16.28515625" style="929" customWidth="1"/>
    <col min="17" max="17" width="18.7109375" style="929" customWidth="1"/>
    <col min="18" max="18" width="17.42578125" style="929" customWidth="1"/>
    <col min="19" max="19" width="18.7109375" style="929" customWidth="1"/>
    <col min="20" max="16384" width="12.5703125" style="929"/>
  </cols>
  <sheetData>
    <row r="1" spans="1:29" ht="15.75" customHeight="1">
      <c r="A1" s="933"/>
      <c r="Q1" s="930"/>
    </row>
    <row r="2" spans="1:29" ht="15.75" customHeight="1">
      <c r="A2" s="945" t="s">
        <v>2001</v>
      </c>
      <c r="F2" s="930"/>
    </row>
    <row r="3" spans="1:29" ht="15.75" customHeight="1">
      <c r="A3" s="933"/>
    </row>
    <row r="4" spans="1:29" ht="15.75" customHeight="1">
      <c r="A4" s="945"/>
    </row>
    <row r="5" spans="1:29" ht="15.75" customHeight="1">
      <c r="A5" s="933"/>
    </row>
    <row r="6" spans="1:29" ht="15.75" customHeight="1">
      <c r="A6" s="959" t="s">
        <v>1953</v>
      </c>
      <c r="B6" s="959" t="s">
        <v>1998</v>
      </c>
      <c r="C6" s="959" t="s">
        <v>1997</v>
      </c>
      <c r="D6" s="959" t="s">
        <v>1996</v>
      </c>
      <c r="E6" s="959" t="s">
        <v>1995</v>
      </c>
      <c r="F6" s="959" t="s">
        <v>1994</v>
      </c>
      <c r="G6" s="959" t="s">
        <v>1993</v>
      </c>
      <c r="H6" s="959" t="s">
        <v>1992</v>
      </c>
      <c r="I6" s="959" t="s">
        <v>1991</v>
      </c>
      <c r="J6" s="959" t="s">
        <v>1990</v>
      </c>
      <c r="K6" s="959" t="s">
        <v>1989</v>
      </c>
      <c r="L6" s="959" t="s">
        <v>1988</v>
      </c>
      <c r="M6" s="959" t="s">
        <v>1987</v>
      </c>
      <c r="N6" s="959" t="s">
        <v>1986</v>
      </c>
      <c r="O6" s="959" t="s">
        <v>1985</v>
      </c>
      <c r="P6" s="959" t="s">
        <v>1984</v>
      </c>
      <c r="Q6" s="959" t="s">
        <v>1983</v>
      </c>
      <c r="R6" s="959" t="s">
        <v>1982</v>
      </c>
      <c r="S6" s="959" t="s">
        <v>1953</v>
      </c>
      <c r="T6" s="965"/>
      <c r="U6" s="965"/>
      <c r="V6" s="965"/>
      <c r="W6" s="965"/>
      <c r="X6" s="965"/>
      <c r="Y6" s="965"/>
      <c r="Z6" s="965"/>
      <c r="AA6" s="965"/>
      <c r="AB6" s="965"/>
      <c r="AC6" s="965"/>
    </row>
    <row r="7" spans="1:29" ht="15.75" customHeight="1">
      <c r="A7" s="937" t="s">
        <v>1949</v>
      </c>
      <c r="B7" s="946" t="s">
        <v>1930</v>
      </c>
      <c r="C7" s="946" t="s">
        <v>1930</v>
      </c>
      <c r="D7" s="946" t="s">
        <v>1930</v>
      </c>
      <c r="E7" s="946" t="s">
        <v>1930</v>
      </c>
      <c r="F7" s="946" t="s">
        <v>1930</v>
      </c>
      <c r="G7" s="946" t="s">
        <v>1930</v>
      </c>
      <c r="H7" s="946" t="s">
        <v>1930</v>
      </c>
      <c r="I7" s="946" t="s">
        <v>1930</v>
      </c>
      <c r="J7" s="946" t="s">
        <v>1930</v>
      </c>
      <c r="K7" s="946" t="s">
        <v>1930</v>
      </c>
      <c r="L7" s="946">
        <v>2</v>
      </c>
      <c r="M7" s="946" t="s">
        <v>1930</v>
      </c>
      <c r="N7" s="946" t="s">
        <v>1930</v>
      </c>
      <c r="O7" s="946" t="s">
        <v>1930</v>
      </c>
      <c r="P7" s="946" t="s">
        <v>1930</v>
      </c>
      <c r="Q7" s="934" t="s">
        <v>1893</v>
      </c>
      <c r="R7" s="934" t="s">
        <v>1893</v>
      </c>
      <c r="S7" s="937" t="s">
        <v>1949</v>
      </c>
    </row>
    <row r="8" spans="1:29" ht="15.75" customHeight="1">
      <c r="A8" s="937"/>
      <c r="B8" s="935"/>
      <c r="C8" s="935"/>
      <c r="D8" s="935"/>
      <c r="E8" s="935"/>
      <c r="F8" s="935"/>
      <c r="G8" s="935"/>
      <c r="H8" s="935"/>
      <c r="I8" s="935"/>
      <c r="J8" s="935"/>
      <c r="K8" s="935"/>
      <c r="L8" s="935"/>
      <c r="M8" s="935"/>
      <c r="N8" s="935"/>
      <c r="O8" s="935"/>
      <c r="P8" s="935"/>
      <c r="Q8" s="935"/>
      <c r="R8" s="935"/>
      <c r="S8" s="937"/>
    </row>
    <row r="9" spans="1:29" ht="15.75" customHeight="1">
      <c r="A9" s="937" t="s">
        <v>1946</v>
      </c>
      <c r="B9" s="934" t="s">
        <v>1893</v>
      </c>
      <c r="C9" s="934" t="s">
        <v>1893</v>
      </c>
      <c r="D9" s="934" t="s">
        <v>1893</v>
      </c>
      <c r="E9" s="946" t="s">
        <v>1930</v>
      </c>
      <c r="F9" s="934" t="s">
        <v>1893</v>
      </c>
      <c r="G9" s="938" t="s">
        <v>1941</v>
      </c>
      <c r="H9" s="934" t="s">
        <v>1893</v>
      </c>
      <c r="I9" s="934" t="s">
        <v>1893</v>
      </c>
      <c r="J9" s="946" t="s">
        <v>1930</v>
      </c>
      <c r="K9" s="934" t="s">
        <v>1893</v>
      </c>
      <c r="L9" s="934" t="s">
        <v>1893</v>
      </c>
      <c r="M9" s="934" t="s">
        <v>1893</v>
      </c>
      <c r="N9" s="934" t="s">
        <v>1893</v>
      </c>
      <c r="O9" s="938">
        <v>14</v>
      </c>
      <c r="P9" s="946">
        <v>1</v>
      </c>
      <c r="Q9" s="934" t="s">
        <v>1893</v>
      </c>
      <c r="R9" s="934" t="s">
        <v>1893</v>
      </c>
      <c r="S9" s="937" t="s">
        <v>1946</v>
      </c>
    </row>
    <row r="10" spans="1:29" ht="15.75" customHeight="1">
      <c r="A10" s="937"/>
      <c r="B10" s="935"/>
      <c r="C10" s="935"/>
      <c r="D10" s="935"/>
      <c r="E10" s="935"/>
      <c r="F10" s="935"/>
      <c r="G10" s="935"/>
      <c r="H10" s="935"/>
      <c r="I10" s="935"/>
      <c r="J10" s="935"/>
      <c r="K10" s="935"/>
      <c r="L10" s="935"/>
      <c r="M10" s="935"/>
      <c r="N10" s="935"/>
      <c r="O10" s="934"/>
      <c r="P10" s="935"/>
      <c r="Q10" s="935"/>
      <c r="R10" s="935"/>
      <c r="S10" s="937"/>
    </row>
    <row r="11" spans="1:29" ht="15.75" customHeight="1">
      <c r="A11" s="937" t="s">
        <v>1945</v>
      </c>
      <c r="B11" s="934" t="s">
        <v>1893</v>
      </c>
      <c r="C11" s="934" t="s">
        <v>1893</v>
      </c>
      <c r="D11" s="934" t="s">
        <v>1893</v>
      </c>
      <c r="E11" s="934" t="s">
        <v>1893</v>
      </c>
      <c r="F11" s="934" t="s">
        <v>1893</v>
      </c>
      <c r="G11" s="934" t="s">
        <v>1893</v>
      </c>
      <c r="H11" s="934" t="s">
        <v>1893</v>
      </c>
      <c r="I11" s="934" t="s">
        <v>1893</v>
      </c>
      <c r="J11" s="934" t="s">
        <v>1893</v>
      </c>
      <c r="K11" s="934" t="s">
        <v>1893</v>
      </c>
      <c r="L11" s="934" t="s">
        <v>1893</v>
      </c>
      <c r="M11" s="934" t="s">
        <v>1893</v>
      </c>
      <c r="N11" s="934" t="s">
        <v>1893</v>
      </c>
      <c r="O11" s="934" t="s">
        <v>1893</v>
      </c>
      <c r="P11" s="938">
        <v>3</v>
      </c>
      <c r="Q11" s="934" t="s">
        <v>1893</v>
      </c>
      <c r="R11" s="934" t="s">
        <v>1893</v>
      </c>
      <c r="S11" s="937" t="s">
        <v>1945</v>
      </c>
    </row>
    <row r="12" spans="1:29" ht="15.75" customHeight="1">
      <c r="A12" s="937"/>
      <c r="B12" s="935"/>
      <c r="C12" s="935"/>
      <c r="D12" s="935"/>
      <c r="E12" s="935"/>
      <c r="F12" s="935"/>
      <c r="G12" s="935"/>
      <c r="H12" s="935"/>
      <c r="I12" s="935"/>
      <c r="J12" s="935"/>
      <c r="K12" s="935"/>
      <c r="L12" s="935"/>
      <c r="M12" s="935"/>
      <c r="N12" s="935"/>
      <c r="O12" s="935"/>
      <c r="P12" s="935"/>
      <c r="Q12" s="935"/>
      <c r="R12" s="935"/>
      <c r="S12" s="937"/>
    </row>
    <row r="13" spans="1:29" ht="15.75" customHeight="1">
      <c r="A13" s="937" t="s">
        <v>1944</v>
      </c>
      <c r="B13" s="946" t="s">
        <v>1930</v>
      </c>
      <c r="C13" s="946" t="s">
        <v>1930</v>
      </c>
      <c r="D13" s="946" t="s">
        <v>1930</v>
      </c>
      <c r="E13" s="946" t="s">
        <v>1930</v>
      </c>
      <c r="F13" s="946" t="s">
        <v>1930</v>
      </c>
      <c r="G13" s="946" t="s">
        <v>1930</v>
      </c>
      <c r="H13" s="946" t="s">
        <v>1930</v>
      </c>
      <c r="I13" s="946" t="s">
        <v>1930</v>
      </c>
      <c r="J13" s="946" t="s">
        <v>1930</v>
      </c>
      <c r="K13" s="946" t="s">
        <v>1930</v>
      </c>
      <c r="L13" s="946">
        <v>1</v>
      </c>
      <c r="M13" s="946" t="s">
        <v>1930</v>
      </c>
      <c r="N13" s="946" t="s">
        <v>1930</v>
      </c>
      <c r="O13" s="946" t="s">
        <v>1930</v>
      </c>
      <c r="P13" s="946" t="s">
        <v>1930</v>
      </c>
      <c r="Q13" s="934" t="s">
        <v>1893</v>
      </c>
      <c r="R13" s="934" t="s">
        <v>1893</v>
      </c>
      <c r="S13" s="937" t="s">
        <v>1944</v>
      </c>
    </row>
    <row r="14" spans="1:29" ht="15.75" customHeight="1">
      <c r="A14" s="937"/>
      <c r="B14" s="935"/>
      <c r="C14" s="935"/>
      <c r="D14" s="935"/>
      <c r="E14" s="935"/>
      <c r="F14" s="935"/>
      <c r="G14" s="935"/>
      <c r="H14" s="935"/>
      <c r="I14" s="935"/>
      <c r="J14" s="935"/>
      <c r="K14" s="935"/>
      <c r="L14" s="935"/>
      <c r="M14" s="935"/>
      <c r="N14" s="935"/>
      <c r="O14" s="935"/>
      <c r="P14" s="935"/>
      <c r="Q14" s="935"/>
      <c r="R14" s="935"/>
      <c r="S14" s="937"/>
    </row>
    <row r="15" spans="1:29" ht="15.75" customHeight="1">
      <c r="A15" s="937" t="s">
        <v>1943</v>
      </c>
      <c r="B15" s="934" t="s">
        <v>1893</v>
      </c>
      <c r="C15" s="934" t="s">
        <v>1893</v>
      </c>
      <c r="D15" s="938" t="s">
        <v>1941</v>
      </c>
      <c r="E15" s="946" t="s">
        <v>1930</v>
      </c>
      <c r="F15" s="934" t="s">
        <v>1893</v>
      </c>
      <c r="G15" s="946" t="s">
        <v>1930</v>
      </c>
      <c r="H15" s="938" t="s">
        <v>1941</v>
      </c>
      <c r="I15" s="946" t="s">
        <v>1930</v>
      </c>
      <c r="J15" s="946" t="s">
        <v>1930</v>
      </c>
      <c r="K15" s="938" t="s">
        <v>1941</v>
      </c>
      <c r="L15" s="934" t="s">
        <v>1893</v>
      </c>
      <c r="M15" s="934" t="s">
        <v>1893</v>
      </c>
      <c r="N15" s="934" t="s">
        <v>1893</v>
      </c>
      <c r="O15" s="934" t="s">
        <v>1893</v>
      </c>
      <c r="P15" s="941">
        <v>1</v>
      </c>
      <c r="Q15" s="934" t="s">
        <v>1893</v>
      </c>
      <c r="R15" s="934" t="s">
        <v>1893</v>
      </c>
      <c r="S15" s="937" t="s">
        <v>1943</v>
      </c>
    </row>
    <row r="16" spans="1:29" ht="15.75" customHeight="1">
      <c r="A16" s="937"/>
      <c r="B16" s="935"/>
      <c r="C16" s="935"/>
      <c r="D16" s="935"/>
      <c r="E16" s="935"/>
      <c r="F16" s="935"/>
      <c r="G16" s="935"/>
      <c r="H16" s="935"/>
      <c r="I16" s="935"/>
      <c r="J16" s="935"/>
      <c r="K16" s="935"/>
      <c r="L16" s="935"/>
      <c r="M16" s="935"/>
      <c r="N16" s="935"/>
      <c r="O16" s="934"/>
      <c r="P16" s="941"/>
      <c r="Q16" s="935"/>
      <c r="R16" s="935"/>
      <c r="S16" s="937"/>
    </row>
    <row r="17" spans="1:29" ht="15.75" customHeight="1">
      <c r="A17" s="937" t="s">
        <v>1942</v>
      </c>
      <c r="B17" s="934" t="s">
        <v>1893</v>
      </c>
      <c r="C17" s="934" t="s">
        <v>1893</v>
      </c>
      <c r="D17" s="934" t="s">
        <v>1893</v>
      </c>
      <c r="E17" s="938" t="s">
        <v>1941</v>
      </c>
      <c r="F17" s="934" t="s">
        <v>1893</v>
      </c>
      <c r="G17" s="934" t="s">
        <v>1893</v>
      </c>
      <c r="H17" s="934" t="s">
        <v>1893</v>
      </c>
      <c r="I17" s="934" t="s">
        <v>1893</v>
      </c>
      <c r="J17" s="934" t="s">
        <v>1893</v>
      </c>
      <c r="K17" s="934" t="s">
        <v>1893</v>
      </c>
      <c r="L17" s="934" t="s">
        <v>1893</v>
      </c>
      <c r="M17" s="934" t="s">
        <v>1893</v>
      </c>
      <c r="N17" s="934" t="s">
        <v>1893</v>
      </c>
      <c r="O17" s="934" t="s">
        <v>1893</v>
      </c>
      <c r="P17" s="941">
        <v>1</v>
      </c>
      <c r="Q17" s="934" t="s">
        <v>1893</v>
      </c>
      <c r="R17" s="934" t="s">
        <v>1893</v>
      </c>
      <c r="S17" s="937" t="str">
        <f>HYPERLINK("http://i.imgur.com/Df2fzlM.jpg","Medium Tank")</f>
        <v>Medium Tank</v>
      </c>
    </row>
    <row r="18" spans="1:29" ht="15.75" customHeight="1">
      <c r="A18" s="937"/>
      <c r="B18" s="935"/>
      <c r="C18" s="935"/>
      <c r="D18" s="935"/>
      <c r="E18" s="935"/>
      <c r="F18" s="935"/>
      <c r="G18" s="935"/>
      <c r="H18" s="935"/>
      <c r="I18" s="935"/>
      <c r="J18" s="935"/>
      <c r="K18" s="935"/>
      <c r="L18" s="935"/>
      <c r="M18" s="935"/>
      <c r="N18" s="935"/>
      <c r="O18" s="934"/>
      <c r="P18" s="941"/>
      <c r="S18" s="937"/>
    </row>
    <row r="19" spans="1:29" ht="15.75" customHeight="1">
      <c r="A19" s="964" t="str">
        <f>HYPERLINK("http://i.imgur.com/Df2fzlM.jpg","Heavy Tank")</f>
        <v>Heavy Tank</v>
      </c>
      <c r="B19" s="934" t="s">
        <v>1893</v>
      </c>
      <c r="C19" s="934" t="s">
        <v>1893</v>
      </c>
      <c r="D19" s="934" t="s">
        <v>1893</v>
      </c>
      <c r="E19" s="934" t="s">
        <v>1893</v>
      </c>
      <c r="F19" s="934" t="s">
        <v>1893</v>
      </c>
      <c r="G19" s="934" t="s">
        <v>1893</v>
      </c>
      <c r="H19" s="934" t="s">
        <v>1893</v>
      </c>
      <c r="I19" s="934" t="s">
        <v>1893</v>
      </c>
      <c r="J19" s="934" t="s">
        <v>1893</v>
      </c>
      <c r="K19" s="934" t="s">
        <v>1893</v>
      </c>
      <c r="L19" s="934" t="s">
        <v>1893</v>
      </c>
      <c r="M19" s="934" t="s">
        <v>1893</v>
      </c>
      <c r="N19" s="934" t="s">
        <v>1893</v>
      </c>
      <c r="O19" s="934" t="s">
        <v>1893</v>
      </c>
      <c r="P19" s="941">
        <v>1</v>
      </c>
      <c r="Q19" s="934" t="s">
        <v>1893</v>
      </c>
      <c r="R19" s="934" t="s">
        <v>1893</v>
      </c>
      <c r="S19" s="964" t="str">
        <f>HYPERLINK("http://i.imgur.com/Df2fzlM.jpg","Heavy Tank")</f>
        <v>Heavy Tank</v>
      </c>
    </row>
    <row r="20" spans="1:29" ht="15.75" customHeight="1">
      <c r="A20" s="937"/>
      <c r="B20" s="935"/>
      <c r="C20" s="935"/>
      <c r="D20" s="935"/>
      <c r="E20" s="935"/>
      <c r="F20" s="935"/>
      <c r="G20" s="935"/>
      <c r="H20" s="935"/>
      <c r="I20" s="935"/>
      <c r="J20" s="935"/>
      <c r="K20" s="935"/>
      <c r="L20" s="935"/>
      <c r="M20" s="935"/>
      <c r="N20" s="935"/>
      <c r="O20" s="935"/>
      <c r="P20" s="941"/>
      <c r="Q20" s="935"/>
      <c r="R20" s="935"/>
      <c r="S20" s="937"/>
    </row>
    <row r="21" spans="1:29" ht="15.75" customHeight="1">
      <c r="A21" s="937" t="s">
        <v>1937</v>
      </c>
      <c r="B21" s="934" t="s">
        <v>1893</v>
      </c>
      <c r="C21" s="934" t="s">
        <v>1893</v>
      </c>
      <c r="D21" s="934" t="s">
        <v>1893</v>
      </c>
      <c r="E21" s="934" t="s">
        <v>1893</v>
      </c>
      <c r="F21" s="934" t="s">
        <v>1893</v>
      </c>
      <c r="G21" s="934" t="s">
        <v>1893</v>
      </c>
      <c r="H21" s="934" t="s">
        <v>1893</v>
      </c>
      <c r="I21" s="934" t="s">
        <v>1893</v>
      </c>
      <c r="J21" s="934" t="s">
        <v>1893</v>
      </c>
      <c r="K21" s="934" t="s">
        <v>1893</v>
      </c>
      <c r="L21" s="934" t="s">
        <v>1893</v>
      </c>
      <c r="M21" s="934" t="s">
        <v>1893</v>
      </c>
      <c r="N21" s="934" t="s">
        <v>1893</v>
      </c>
      <c r="O21" s="934" t="s">
        <v>1893</v>
      </c>
      <c r="P21" s="941">
        <v>2</v>
      </c>
      <c r="Q21" s="934" t="s">
        <v>1893</v>
      </c>
      <c r="R21" s="934" t="s">
        <v>1893</v>
      </c>
      <c r="S21" s="937" t="s">
        <v>1937</v>
      </c>
    </row>
    <row r="22" spans="1:29" ht="15.75" customHeight="1">
      <c r="A22" s="960"/>
      <c r="B22" s="935"/>
      <c r="C22" s="935"/>
      <c r="D22" s="935"/>
      <c r="E22" s="935"/>
      <c r="F22" s="935"/>
      <c r="G22" s="935"/>
      <c r="H22" s="935"/>
      <c r="I22" s="935"/>
      <c r="J22" s="935"/>
      <c r="K22" s="935"/>
      <c r="L22" s="935"/>
      <c r="M22" s="935"/>
      <c r="N22" s="935"/>
      <c r="O22" s="935"/>
      <c r="P22" s="935"/>
      <c r="Q22" s="935"/>
      <c r="R22" s="935"/>
      <c r="S22" s="960"/>
    </row>
    <row r="23" spans="1:29" ht="15.75" customHeight="1">
      <c r="A23" s="963" t="s">
        <v>1936</v>
      </c>
      <c r="B23" s="959" t="s">
        <v>1998</v>
      </c>
      <c r="C23" s="959" t="s">
        <v>1997</v>
      </c>
      <c r="D23" s="959" t="s">
        <v>1996</v>
      </c>
      <c r="E23" s="959" t="s">
        <v>1995</v>
      </c>
      <c r="F23" s="959" t="s">
        <v>1994</v>
      </c>
      <c r="G23" s="959" t="s">
        <v>1993</v>
      </c>
      <c r="H23" s="959" t="s">
        <v>1992</v>
      </c>
      <c r="I23" s="959" t="s">
        <v>1991</v>
      </c>
      <c r="J23" s="959" t="s">
        <v>1990</v>
      </c>
      <c r="K23" s="959" t="s">
        <v>1989</v>
      </c>
      <c r="L23" s="959" t="s">
        <v>1988</v>
      </c>
      <c r="M23" s="959" t="s">
        <v>1987</v>
      </c>
      <c r="N23" s="959" t="s">
        <v>1986</v>
      </c>
      <c r="O23" s="959" t="s">
        <v>1985</v>
      </c>
      <c r="P23" s="959" t="s">
        <v>1984</v>
      </c>
      <c r="Q23" s="959" t="s">
        <v>1983</v>
      </c>
      <c r="R23" s="959" t="s">
        <v>1982</v>
      </c>
      <c r="S23" s="963" t="s">
        <v>1936</v>
      </c>
      <c r="T23" s="962"/>
      <c r="U23" s="962"/>
      <c r="V23" s="962"/>
      <c r="W23" s="962"/>
      <c r="X23" s="962"/>
      <c r="Y23" s="962"/>
      <c r="Z23" s="962"/>
      <c r="AA23" s="962"/>
      <c r="AB23" s="962"/>
      <c r="AC23" s="962"/>
    </row>
    <row r="24" spans="1:29" ht="12.75">
      <c r="A24" s="935"/>
      <c r="B24" s="935"/>
      <c r="C24" s="935"/>
      <c r="D24" s="935"/>
      <c r="E24" s="935"/>
      <c r="F24" s="935"/>
      <c r="G24" s="935"/>
      <c r="H24" s="935"/>
      <c r="I24" s="935"/>
      <c r="J24" s="935"/>
      <c r="K24" s="935"/>
      <c r="L24" s="935"/>
      <c r="M24" s="935"/>
      <c r="N24" s="935"/>
      <c r="O24" s="935"/>
      <c r="P24" s="935"/>
      <c r="Q24" s="935"/>
      <c r="R24" s="935"/>
      <c r="S24" s="935"/>
    </row>
    <row r="25" spans="1:29" ht="14.25">
      <c r="A25" s="937" t="s">
        <v>1934</v>
      </c>
      <c r="B25" s="946" t="s">
        <v>1930</v>
      </c>
      <c r="C25" s="946" t="s">
        <v>1930</v>
      </c>
      <c r="D25" s="946" t="s">
        <v>1930</v>
      </c>
      <c r="E25" s="946" t="s">
        <v>1930</v>
      </c>
      <c r="F25" s="946" t="s">
        <v>1930</v>
      </c>
      <c r="G25" s="946" t="s">
        <v>1930</v>
      </c>
      <c r="H25" s="946" t="s">
        <v>1930</v>
      </c>
      <c r="I25" s="946" t="s">
        <v>1930</v>
      </c>
      <c r="J25" s="946" t="s">
        <v>1930</v>
      </c>
      <c r="K25" s="946" t="s">
        <v>1930</v>
      </c>
      <c r="L25" s="946" t="s">
        <v>1930</v>
      </c>
      <c r="M25" s="946" t="s">
        <v>1930</v>
      </c>
      <c r="N25" s="946" t="s">
        <v>1930</v>
      </c>
      <c r="O25" s="946" t="s">
        <v>1930</v>
      </c>
      <c r="P25" s="935">
        <v>1</v>
      </c>
      <c r="Q25" s="935">
        <v>1</v>
      </c>
      <c r="R25" s="935">
        <v>1</v>
      </c>
      <c r="S25" s="937" t="s">
        <v>1934</v>
      </c>
    </row>
    <row r="26" spans="1:29" ht="14.25">
      <c r="A26" s="937"/>
      <c r="B26" s="935"/>
      <c r="C26" s="935"/>
      <c r="D26" s="935"/>
      <c r="E26" s="935"/>
      <c r="F26" s="935"/>
      <c r="G26" s="935"/>
      <c r="H26" s="935"/>
      <c r="I26" s="935"/>
      <c r="J26" s="935"/>
      <c r="K26" s="935"/>
      <c r="L26" s="935"/>
      <c r="M26" s="935"/>
      <c r="N26" s="935"/>
      <c r="O26" s="935"/>
      <c r="P26" s="935"/>
      <c r="Q26" s="935"/>
      <c r="R26" s="935"/>
      <c r="S26" s="937"/>
    </row>
    <row r="27" spans="1:29" ht="14.25">
      <c r="A27" s="937" t="s">
        <v>1931</v>
      </c>
      <c r="B27" s="946" t="s">
        <v>1930</v>
      </c>
      <c r="C27" s="946" t="s">
        <v>1930</v>
      </c>
      <c r="D27" s="946" t="s">
        <v>1930</v>
      </c>
      <c r="E27" s="946" t="s">
        <v>1930</v>
      </c>
      <c r="F27" s="946" t="s">
        <v>1930</v>
      </c>
      <c r="G27" s="946" t="s">
        <v>1930</v>
      </c>
      <c r="H27" s="946" t="s">
        <v>1930</v>
      </c>
      <c r="I27" s="946" t="s">
        <v>1930</v>
      </c>
      <c r="J27" s="946" t="s">
        <v>1930</v>
      </c>
      <c r="K27" s="946" t="s">
        <v>1930</v>
      </c>
      <c r="L27" s="946" t="s">
        <v>1930</v>
      </c>
      <c r="M27" s="946" t="s">
        <v>1930</v>
      </c>
      <c r="N27" s="946" t="s">
        <v>1930</v>
      </c>
      <c r="O27" s="946" t="s">
        <v>1930</v>
      </c>
      <c r="P27" s="935">
        <v>1</v>
      </c>
      <c r="Q27" s="935">
        <v>1</v>
      </c>
      <c r="R27" s="935">
        <v>1</v>
      </c>
      <c r="S27" s="937" t="s">
        <v>1931</v>
      </c>
    </row>
    <row r="28" spans="1:29" ht="14.25">
      <c r="A28" s="937"/>
      <c r="B28" s="935"/>
      <c r="C28" s="935"/>
      <c r="D28" s="935"/>
      <c r="E28" s="935"/>
      <c r="F28" s="935"/>
      <c r="G28" s="935"/>
      <c r="H28" s="935"/>
      <c r="I28" s="935"/>
      <c r="J28" s="935"/>
      <c r="K28" s="935"/>
      <c r="L28" s="935"/>
      <c r="M28" s="935"/>
      <c r="N28" s="935"/>
      <c r="O28" s="935"/>
      <c r="P28" s="935"/>
      <c r="Q28" s="935"/>
      <c r="R28" s="935"/>
      <c r="S28" s="937"/>
    </row>
    <row r="29" spans="1:29" ht="14.25">
      <c r="A29" s="937" t="s">
        <v>1927</v>
      </c>
      <c r="B29" s="934" t="s">
        <v>1893</v>
      </c>
      <c r="C29" s="934" t="s">
        <v>1893</v>
      </c>
      <c r="D29" s="934" t="s">
        <v>1893</v>
      </c>
      <c r="E29" s="934" t="s">
        <v>1893</v>
      </c>
      <c r="F29" s="934" t="s">
        <v>1893</v>
      </c>
      <c r="G29" s="934" t="s">
        <v>1893</v>
      </c>
      <c r="H29" s="934" t="s">
        <v>1893</v>
      </c>
      <c r="I29" s="934" t="s">
        <v>1893</v>
      </c>
      <c r="J29" s="934" t="s">
        <v>1893</v>
      </c>
      <c r="K29" s="934" t="s">
        <v>1893</v>
      </c>
      <c r="L29" s="934" t="s">
        <v>1893</v>
      </c>
      <c r="M29" s="934" t="s">
        <v>1893</v>
      </c>
      <c r="N29" s="934" t="s">
        <v>1893</v>
      </c>
      <c r="O29" s="934" t="s">
        <v>1893</v>
      </c>
      <c r="P29" s="935">
        <v>1</v>
      </c>
      <c r="Q29" s="935">
        <v>1</v>
      </c>
      <c r="R29" s="935">
        <v>1</v>
      </c>
      <c r="S29" s="937" t="s">
        <v>1927</v>
      </c>
    </row>
    <row r="30" spans="1:29" ht="14.25">
      <c r="A30" s="937"/>
      <c r="B30" s="935"/>
      <c r="C30" s="935"/>
      <c r="D30" s="935"/>
      <c r="E30" s="935"/>
      <c r="F30" s="935"/>
      <c r="G30" s="935"/>
      <c r="H30" s="935"/>
      <c r="I30" s="935"/>
      <c r="J30" s="935"/>
      <c r="K30" s="935"/>
      <c r="L30" s="935"/>
      <c r="M30" s="935"/>
      <c r="N30" s="935"/>
      <c r="O30" s="935"/>
      <c r="P30" s="935"/>
      <c r="Q30" s="935"/>
      <c r="R30" s="935"/>
      <c r="S30" s="937"/>
    </row>
    <row r="31" spans="1:29" ht="14.25">
      <c r="A31" s="937" t="s">
        <v>1925</v>
      </c>
      <c r="B31" s="949" t="s">
        <v>1893</v>
      </c>
      <c r="C31" s="949" t="s">
        <v>1893</v>
      </c>
      <c r="D31" s="949" t="s">
        <v>1893</v>
      </c>
      <c r="E31" s="949" t="s">
        <v>1893</v>
      </c>
      <c r="F31" s="949" t="s">
        <v>1893</v>
      </c>
      <c r="G31" s="949" t="s">
        <v>1893</v>
      </c>
      <c r="H31" s="949" t="s">
        <v>1893</v>
      </c>
      <c r="I31" s="949" t="s">
        <v>1893</v>
      </c>
      <c r="J31" s="949" t="s">
        <v>1893</v>
      </c>
      <c r="K31" s="949" t="s">
        <v>1893</v>
      </c>
      <c r="L31" s="949" t="s">
        <v>1893</v>
      </c>
      <c r="M31" s="949" t="s">
        <v>1893</v>
      </c>
      <c r="N31" s="949" t="s">
        <v>1893</v>
      </c>
      <c r="O31" s="949" t="s">
        <v>1893</v>
      </c>
      <c r="P31" s="935">
        <v>3</v>
      </c>
      <c r="Q31" s="935">
        <v>1</v>
      </c>
      <c r="R31" s="935">
        <v>1</v>
      </c>
      <c r="S31" s="937" t="s">
        <v>1925</v>
      </c>
    </row>
    <row r="32" spans="1:29" ht="14.25">
      <c r="A32" s="937"/>
      <c r="B32" s="935"/>
      <c r="C32" s="935"/>
      <c r="D32" s="935"/>
      <c r="E32" s="935"/>
      <c r="F32" s="935"/>
      <c r="G32" s="935"/>
      <c r="H32" s="935"/>
      <c r="I32" s="935"/>
      <c r="J32" s="935"/>
      <c r="K32" s="935"/>
      <c r="L32" s="935"/>
      <c r="M32" s="935"/>
      <c r="N32" s="935"/>
      <c r="O32" s="935"/>
      <c r="P32" s="935"/>
      <c r="Q32" s="935"/>
      <c r="R32" s="935"/>
      <c r="S32" s="937"/>
    </row>
    <row r="33" spans="1:29" ht="14.25">
      <c r="A33" s="937" t="s">
        <v>1924</v>
      </c>
      <c r="B33" s="934" t="s">
        <v>1893</v>
      </c>
      <c r="C33" s="934" t="s">
        <v>1893</v>
      </c>
      <c r="D33" s="934" t="s">
        <v>1893</v>
      </c>
      <c r="E33" s="934" t="s">
        <v>1893</v>
      </c>
      <c r="F33" s="934" t="s">
        <v>1893</v>
      </c>
      <c r="G33" s="934" t="s">
        <v>1893</v>
      </c>
      <c r="H33" s="934" t="s">
        <v>1893</v>
      </c>
      <c r="I33" s="934" t="s">
        <v>1893</v>
      </c>
      <c r="J33" s="934" t="s">
        <v>1893</v>
      </c>
      <c r="K33" s="934" t="s">
        <v>1893</v>
      </c>
      <c r="L33" s="934" t="s">
        <v>1893</v>
      </c>
      <c r="M33" s="934" t="s">
        <v>1893</v>
      </c>
      <c r="N33" s="934" t="s">
        <v>1893</v>
      </c>
      <c r="O33" s="934" t="s">
        <v>1893</v>
      </c>
      <c r="P33" s="935" t="s">
        <v>2000</v>
      </c>
      <c r="Q33" s="935">
        <v>1</v>
      </c>
      <c r="R33" s="935">
        <v>1</v>
      </c>
      <c r="S33" s="937" t="s">
        <v>1924</v>
      </c>
    </row>
    <row r="34" spans="1:29" ht="14.25">
      <c r="A34" s="937"/>
      <c r="B34" s="935"/>
      <c r="C34" s="935"/>
      <c r="D34" s="935"/>
      <c r="E34" s="935"/>
      <c r="F34" s="935"/>
      <c r="G34" s="935"/>
      <c r="H34" s="935"/>
      <c r="I34" s="935"/>
      <c r="J34" s="935"/>
      <c r="K34" s="935"/>
      <c r="L34" s="935"/>
      <c r="M34" s="935"/>
      <c r="N34" s="935"/>
      <c r="O34" s="935"/>
      <c r="Q34" s="935"/>
      <c r="R34" s="935"/>
      <c r="S34" s="937"/>
    </row>
    <row r="35" spans="1:29" ht="14.25">
      <c r="A35" s="937" t="s">
        <v>1923</v>
      </c>
      <c r="B35" s="934" t="s">
        <v>1893</v>
      </c>
      <c r="C35" s="934" t="s">
        <v>1893</v>
      </c>
      <c r="D35" s="934" t="s">
        <v>1893</v>
      </c>
      <c r="E35" s="934" t="s">
        <v>1893</v>
      </c>
      <c r="F35" s="934" t="s">
        <v>1893</v>
      </c>
      <c r="G35" s="934" t="s">
        <v>1893</v>
      </c>
      <c r="H35" s="934" t="s">
        <v>1893</v>
      </c>
      <c r="I35" s="934" t="s">
        <v>1893</v>
      </c>
      <c r="J35" s="934" t="s">
        <v>1893</v>
      </c>
      <c r="K35" s="934" t="s">
        <v>1893</v>
      </c>
      <c r="L35" s="934" t="s">
        <v>1893</v>
      </c>
      <c r="M35" s="934" t="s">
        <v>1893</v>
      </c>
      <c r="N35" s="934" t="s">
        <v>1893</v>
      </c>
      <c r="O35" s="934" t="s">
        <v>1893</v>
      </c>
      <c r="P35" s="935" t="s">
        <v>2000</v>
      </c>
      <c r="Q35" s="935">
        <v>1</v>
      </c>
      <c r="R35" s="935">
        <v>1</v>
      </c>
      <c r="S35" s="937" t="s">
        <v>1923</v>
      </c>
    </row>
    <row r="36" spans="1:29" ht="14.25">
      <c r="A36" s="937"/>
      <c r="B36" s="935"/>
      <c r="C36" s="935"/>
      <c r="D36" s="935"/>
      <c r="E36" s="935"/>
      <c r="F36" s="935"/>
      <c r="G36" s="935"/>
      <c r="H36" s="935"/>
      <c r="I36" s="935"/>
      <c r="J36" s="935"/>
      <c r="K36" s="935"/>
      <c r="L36" s="935"/>
      <c r="M36" s="935"/>
      <c r="N36" s="935"/>
      <c r="O36" s="935"/>
      <c r="P36" s="935"/>
      <c r="Q36" s="935"/>
      <c r="R36" s="935"/>
      <c r="S36" s="937"/>
    </row>
    <row r="37" spans="1:29" ht="14.25">
      <c r="A37" s="937" t="s">
        <v>1921</v>
      </c>
      <c r="B37" s="934" t="s">
        <v>1893</v>
      </c>
      <c r="C37" s="934" t="s">
        <v>1893</v>
      </c>
      <c r="D37" s="934" t="s">
        <v>1893</v>
      </c>
      <c r="E37" s="934" t="s">
        <v>1893</v>
      </c>
      <c r="F37" s="934" t="s">
        <v>1893</v>
      </c>
      <c r="G37" s="934" t="s">
        <v>1893</v>
      </c>
      <c r="H37" s="934" t="s">
        <v>1893</v>
      </c>
      <c r="I37" s="934" t="s">
        <v>1893</v>
      </c>
      <c r="J37" s="934" t="s">
        <v>1893</v>
      </c>
      <c r="K37" s="934" t="s">
        <v>1893</v>
      </c>
      <c r="L37" s="934" t="s">
        <v>1893</v>
      </c>
      <c r="M37" s="934" t="s">
        <v>1893</v>
      </c>
      <c r="N37" s="934" t="s">
        <v>1893</v>
      </c>
      <c r="O37" s="934" t="s">
        <v>1893</v>
      </c>
      <c r="P37" s="961" t="s">
        <v>1999</v>
      </c>
      <c r="Q37" s="935">
        <v>4</v>
      </c>
      <c r="R37" s="935">
        <v>3</v>
      </c>
      <c r="S37" s="937" t="s">
        <v>1921</v>
      </c>
    </row>
    <row r="38" spans="1:29" ht="14.25">
      <c r="A38" s="937"/>
      <c r="B38" s="935"/>
      <c r="C38" s="935"/>
      <c r="D38" s="935"/>
      <c r="E38" s="935"/>
      <c r="F38" s="935"/>
      <c r="G38" s="935"/>
      <c r="H38" s="935"/>
      <c r="I38" s="935"/>
      <c r="J38" s="935"/>
      <c r="K38" s="935"/>
      <c r="L38" s="935"/>
      <c r="M38" s="935"/>
      <c r="N38" s="935"/>
      <c r="O38" s="935"/>
      <c r="P38" s="935"/>
      <c r="Q38" s="935"/>
      <c r="R38" s="935"/>
      <c r="S38" s="937"/>
    </row>
    <row r="39" spans="1:29" ht="14.25">
      <c r="A39" s="937" t="s">
        <v>1920</v>
      </c>
      <c r="B39" s="934" t="s">
        <v>1893</v>
      </c>
      <c r="C39" s="934" t="s">
        <v>1893</v>
      </c>
      <c r="D39" s="934" t="s">
        <v>1893</v>
      </c>
      <c r="E39" s="934" t="s">
        <v>1893</v>
      </c>
      <c r="F39" s="934" t="s">
        <v>1893</v>
      </c>
      <c r="G39" s="934" t="s">
        <v>1893</v>
      </c>
      <c r="H39" s="934" t="s">
        <v>1893</v>
      </c>
      <c r="I39" s="934" t="s">
        <v>1893</v>
      </c>
      <c r="J39" s="934" t="s">
        <v>1893</v>
      </c>
      <c r="K39" s="934" t="s">
        <v>1893</v>
      </c>
      <c r="L39" s="934" t="s">
        <v>1893</v>
      </c>
      <c r="M39" s="934" t="s">
        <v>1893</v>
      </c>
      <c r="N39" s="934" t="s">
        <v>1893</v>
      </c>
      <c r="O39" s="934" t="s">
        <v>1893</v>
      </c>
      <c r="P39" s="935" t="s">
        <v>1999</v>
      </c>
      <c r="Q39" s="935">
        <v>4</v>
      </c>
      <c r="R39" s="935">
        <v>3</v>
      </c>
      <c r="S39" s="937" t="s">
        <v>1920</v>
      </c>
    </row>
    <row r="40" spans="1:29" ht="15">
      <c r="A40" s="960"/>
      <c r="B40" s="935"/>
      <c r="C40" s="935"/>
      <c r="D40" s="935"/>
      <c r="E40" s="935"/>
      <c r="F40" s="935"/>
      <c r="G40" s="935"/>
      <c r="H40" s="935"/>
      <c r="I40" s="935"/>
      <c r="J40" s="935"/>
      <c r="K40" s="935"/>
      <c r="L40" s="935"/>
      <c r="M40" s="935"/>
      <c r="N40" s="935"/>
      <c r="O40" s="935"/>
      <c r="P40" s="935"/>
      <c r="Q40" s="935"/>
      <c r="R40" s="935"/>
      <c r="S40" s="960"/>
    </row>
    <row r="41" spans="1:29" ht="12.75">
      <c r="A41" s="943" t="s">
        <v>1917</v>
      </c>
      <c r="B41" s="959" t="s">
        <v>1998</v>
      </c>
      <c r="C41" s="959" t="s">
        <v>1997</v>
      </c>
      <c r="D41" s="959" t="s">
        <v>1996</v>
      </c>
      <c r="E41" s="959" t="s">
        <v>1995</v>
      </c>
      <c r="F41" s="959" t="s">
        <v>1994</v>
      </c>
      <c r="G41" s="959" t="s">
        <v>1993</v>
      </c>
      <c r="H41" s="959" t="s">
        <v>1992</v>
      </c>
      <c r="I41" s="959" t="s">
        <v>1991</v>
      </c>
      <c r="J41" s="959" t="s">
        <v>1990</v>
      </c>
      <c r="K41" s="959" t="s">
        <v>1989</v>
      </c>
      <c r="L41" s="959" t="s">
        <v>1988</v>
      </c>
      <c r="M41" s="959" t="s">
        <v>1987</v>
      </c>
      <c r="N41" s="959" t="s">
        <v>1986</v>
      </c>
      <c r="O41" s="959" t="s">
        <v>1985</v>
      </c>
      <c r="P41" s="959" t="s">
        <v>1984</v>
      </c>
      <c r="Q41" s="959" t="s">
        <v>1983</v>
      </c>
      <c r="R41" s="959" t="s">
        <v>1982</v>
      </c>
      <c r="S41" s="943" t="s">
        <v>1917</v>
      </c>
      <c r="U41" s="930" t="s">
        <v>1981</v>
      </c>
    </row>
    <row r="42" spans="1:29" ht="12.75">
      <c r="A42" s="953"/>
      <c r="B42" s="953"/>
      <c r="C42" s="953"/>
      <c r="D42" s="953"/>
      <c r="E42" s="953"/>
      <c r="F42" s="953"/>
      <c r="G42" s="953"/>
      <c r="H42" s="953"/>
      <c r="I42" s="953"/>
      <c r="J42" s="953"/>
      <c r="K42" s="953"/>
      <c r="L42" s="953"/>
      <c r="M42" s="953"/>
      <c r="N42" s="953"/>
      <c r="O42" s="953"/>
      <c r="P42" s="953"/>
      <c r="Q42" s="953"/>
      <c r="R42" s="953"/>
      <c r="S42" s="953"/>
      <c r="T42" s="931"/>
      <c r="U42" s="931" t="s">
        <v>1980</v>
      </c>
      <c r="V42" s="931"/>
      <c r="W42" s="931"/>
      <c r="X42" s="931"/>
      <c r="Y42" s="931"/>
      <c r="Z42" s="931"/>
      <c r="AA42" s="931"/>
      <c r="AB42" s="931"/>
      <c r="AC42" s="931"/>
    </row>
    <row r="43" spans="1:29" ht="15">
      <c r="A43" s="939" t="s">
        <v>1901</v>
      </c>
      <c r="B43" s="935"/>
      <c r="C43" s="935"/>
      <c r="D43" s="935"/>
      <c r="E43" s="935"/>
      <c r="F43" s="935"/>
      <c r="G43" s="935"/>
      <c r="H43" s="935"/>
      <c r="I43" s="935"/>
      <c r="J43" s="935"/>
      <c r="K43" s="935"/>
      <c r="L43" s="935"/>
      <c r="M43" s="935"/>
      <c r="N43" s="935"/>
      <c r="O43" s="935"/>
      <c r="P43" s="935"/>
      <c r="Q43" s="935"/>
      <c r="R43" s="935"/>
      <c r="S43" s="958" t="s">
        <v>1901</v>
      </c>
      <c r="U43" s="930" t="s">
        <v>1979</v>
      </c>
    </row>
    <row r="44" spans="1:29" ht="15">
      <c r="A44" s="939"/>
      <c r="B44" s="935"/>
      <c r="C44" s="935"/>
      <c r="D44" s="935"/>
      <c r="E44" s="935"/>
      <c r="F44" s="935"/>
      <c r="G44" s="935"/>
      <c r="H44" s="935"/>
      <c r="I44" s="935"/>
      <c r="J44" s="935"/>
      <c r="K44" s="935"/>
      <c r="L44" s="935"/>
      <c r="M44" s="935"/>
      <c r="N44" s="935"/>
      <c r="O44" s="935"/>
      <c r="P44" s="935"/>
      <c r="Q44" s="935"/>
      <c r="R44" s="935"/>
      <c r="S44" s="958"/>
      <c r="U44" s="930" t="s">
        <v>1978</v>
      </c>
    </row>
    <row r="45" spans="1:29" ht="14.25">
      <c r="A45" s="940" t="s">
        <v>1897</v>
      </c>
      <c r="B45" s="934" t="s">
        <v>1893</v>
      </c>
      <c r="C45" s="934" t="s">
        <v>1893</v>
      </c>
      <c r="D45" s="934" t="s">
        <v>1893</v>
      </c>
      <c r="E45" s="934" t="s">
        <v>1893</v>
      </c>
      <c r="F45" s="934" t="s">
        <v>1893</v>
      </c>
      <c r="G45" s="934" t="s">
        <v>1893</v>
      </c>
      <c r="H45" s="934" t="s">
        <v>1893</v>
      </c>
      <c r="I45" s="934" t="s">
        <v>1893</v>
      </c>
      <c r="J45" s="934" t="s">
        <v>1893</v>
      </c>
      <c r="K45" s="934" t="s">
        <v>1893</v>
      </c>
      <c r="L45" s="934" t="s">
        <v>1893</v>
      </c>
      <c r="M45" s="934" t="s">
        <v>1893</v>
      </c>
      <c r="N45" s="934" t="s">
        <v>1893</v>
      </c>
      <c r="O45" s="934" t="s">
        <v>1893</v>
      </c>
      <c r="P45" s="935" t="s">
        <v>295</v>
      </c>
      <c r="Q45" s="934" t="s">
        <v>1893</v>
      </c>
      <c r="R45" s="934" t="s">
        <v>1893</v>
      </c>
      <c r="S45" s="940" t="s">
        <v>1897</v>
      </c>
    </row>
    <row r="46" spans="1:29" ht="14.25">
      <c r="A46" s="940"/>
      <c r="B46" s="935"/>
      <c r="C46" s="935"/>
      <c r="D46" s="935"/>
      <c r="E46" s="935"/>
      <c r="F46" s="935"/>
      <c r="G46" s="935"/>
      <c r="H46" s="935"/>
      <c r="I46" s="935"/>
      <c r="J46" s="935"/>
      <c r="K46" s="935"/>
      <c r="L46" s="935"/>
      <c r="M46" s="935"/>
      <c r="N46" s="935"/>
      <c r="O46" s="935"/>
      <c r="P46" s="935"/>
      <c r="Q46" s="935"/>
      <c r="R46" s="935"/>
      <c r="S46" s="940"/>
    </row>
    <row r="47" spans="1:29" ht="14.25">
      <c r="A47" s="940" t="s">
        <v>1896</v>
      </c>
      <c r="B47" s="949" t="s">
        <v>1893</v>
      </c>
      <c r="C47" s="949" t="s">
        <v>1893</v>
      </c>
      <c r="D47" s="949" t="s">
        <v>1893</v>
      </c>
      <c r="E47" s="949" t="s">
        <v>1893</v>
      </c>
      <c r="F47" s="949" t="s">
        <v>1893</v>
      </c>
      <c r="G47" s="949" t="s">
        <v>1893</v>
      </c>
      <c r="H47" s="949" t="s">
        <v>1893</v>
      </c>
      <c r="I47" s="949" t="s">
        <v>1893</v>
      </c>
      <c r="J47" s="949" t="s">
        <v>1893</v>
      </c>
      <c r="K47" s="949" t="s">
        <v>1893</v>
      </c>
      <c r="L47" s="949" t="s">
        <v>1893</v>
      </c>
      <c r="M47" s="949" t="s">
        <v>1893</v>
      </c>
      <c r="N47" s="949" t="s">
        <v>1893</v>
      </c>
      <c r="O47" s="949" t="s">
        <v>1893</v>
      </c>
      <c r="Q47" s="949" t="s">
        <v>1893</v>
      </c>
      <c r="R47" s="949" t="s">
        <v>1893</v>
      </c>
      <c r="S47" s="940" t="s">
        <v>1896</v>
      </c>
    </row>
    <row r="48" spans="1:29" ht="14.25">
      <c r="A48" s="940"/>
      <c r="B48" s="935"/>
      <c r="C48" s="935"/>
      <c r="D48" s="935"/>
      <c r="E48" s="935"/>
      <c r="F48" s="935"/>
      <c r="G48" s="935"/>
      <c r="H48" s="935"/>
      <c r="I48" s="935"/>
      <c r="J48" s="935"/>
      <c r="K48" s="935"/>
      <c r="L48" s="935"/>
      <c r="M48" s="935"/>
      <c r="N48" s="935"/>
      <c r="O48" s="935"/>
      <c r="P48" s="935"/>
      <c r="Q48" s="935"/>
      <c r="R48" s="935"/>
      <c r="S48" s="940"/>
    </row>
    <row r="49" spans="1:19" ht="14.25">
      <c r="A49" s="940" t="s">
        <v>1900</v>
      </c>
      <c r="B49" s="934" t="s">
        <v>1893</v>
      </c>
      <c r="C49" s="934" t="s">
        <v>1893</v>
      </c>
      <c r="D49" s="934" t="s">
        <v>1893</v>
      </c>
      <c r="E49" s="934" t="s">
        <v>1893</v>
      </c>
      <c r="F49" s="934" t="s">
        <v>1893</v>
      </c>
      <c r="G49" s="934" t="s">
        <v>1893</v>
      </c>
      <c r="H49" s="934" t="s">
        <v>1893</v>
      </c>
      <c r="I49" s="934" t="s">
        <v>1893</v>
      </c>
      <c r="J49" s="934" t="s">
        <v>1893</v>
      </c>
      <c r="K49" s="934" t="s">
        <v>1893</v>
      </c>
      <c r="L49" s="934" t="s">
        <v>1893</v>
      </c>
      <c r="M49" s="934" t="s">
        <v>1893</v>
      </c>
      <c r="N49" s="934" t="s">
        <v>1893</v>
      </c>
      <c r="O49" s="934" t="s">
        <v>1893</v>
      </c>
      <c r="P49" s="935" t="s">
        <v>295</v>
      </c>
      <c r="Q49" s="934" t="s">
        <v>1893</v>
      </c>
      <c r="R49" s="934" t="s">
        <v>1893</v>
      </c>
      <c r="S49" s="940" t="s">
        <v>1900</v>
      </c>
    </row>
    <row r="50" spans="1:19" ht="14.25">
      <c r="A50" s="940"/>
      <c r="B50" s="935"/>
      <c r="C50" s="935"/>
      <c r="D50" s="935"/>
      <c r="E50" s="935"/>
      <c r="F50" s="935"/>
      <c r="G50" s="935"/>
      <c r="H50" s="935"/>
      <c r="I50" s="935"/>
      <c r="J50" s="935"/>
      <c r="K50" s="935"/>
      <c r="L50" s="935"/>
      <c r="M50" s="935"/>
      <c r="N50" s="935"/>
      <c r="O50" s="935"/>
      <c r="P50" s="935"/>
      <c r="Q50" s="935"/>
      <c r="R50" s="935"/>
      <c r="S50" s="940"/>
    </row>
    <row r="51" spans="1:19" ht="14.25">
      <c r="A51" s="939" t="s">
        <v>1898</v>
      </c>
      <c r="P51" s="935"/>
      <c r="S51" s="939" t="s">
        <v>1898</v>
      </c>
    </row>
    <row r="52" spans="1:19" ht="14.25">
      <c r="A52" s="939"/>
      <c r="P52" s="935"/>
      <c r="S52" s="939"/>
    </row>
    <row r="53" spans="1:19" ht="14.25">
      <c r="A53" s="937" t="s">
        <v>1897</v>
      </c>
      <c r="B53" s="934" t="s">
        <v>1893</v>
      </c>
      <c r="C53" s="934" t="s">
        <v>1893</v>
      </c>
      <c r="D53" s="934" t="s">
        <v>1893</v>
      </c>
      <c r="E53" s="934" t="s">
        <v>1893</v>
      </c>
      <c r="F53" s="934" t="s">
        <v>1893</v>
      </c>
      <c r="G53" s="934" t="s">
        <v>1893</v>
      </c>
      <c r="H53" s="934" t="s">
        <v>1893</v>
      </c>
      <c r="I53" s="934" t="s">
        <v>1893</v>
      </c>
      <c r="J53" s="934" t="s">
        <v>1893</v>
      </c>
      <c r="K53" s="934" t="s">
        <v>1893</v>
      </c>
      <c r="L53" s="934" t="s">
        <v>1893</v>
      </c>
      <c r="M53" s="934" t="s">
        <v>1893</v>
      </c>
      <c r="N53" s="934" t="s">
        <v>1893</v>
      </c>
      <c r="O53" s="934" t="s">
        <v>1893</v>
      </c>
      <c r="P53" s="935" t="s">
        <v>295</v>
      </c>
      <c r="Q53" s="934" t="s">
        <v>1893</v>
      </c>
      <c r="R53" s="934" t="s">
        <v>1893</v>
      </c>
      <c r="S53" s="937" t="s">
        <v>1897</v>
      </c>
    </row>
    <row r="54" spans="1:19" ht="14.25">
      <c r="A54" s="937"/>
      <c r="B54" s="935"/>
      <c r="C54" s="935"/>
      <c r="D54" s="935"/>
      <c r="E54" s="935"/>
      <c r="F54" s="935"/>
      <c r="G54" s="935"/>
      <c r="H54" s="935"/>
      <c r="I54" s="935"/>
      <c r="J54" s="935"/>
      <c r="K54" s="935"/>
      <c r="L54" s="935"/>
      <c r="M54" s="935"/>
      <c r="N54" s="935"/>
      <c r="O54" s="935"/>
      <c r="P54" s="935"/>
      <c r="Q54" s="935"/>
      <c r="R54" s="935"/>
      <c r="S54" s="937"/>
    </row>
    <row r="55" spans="1:19" ht="14.25">
      <c r="A55" s="937" t="s">
        <v>1896</v>
      </c>
      <c r="B55" s="934" t="s">
        <v>1893</v>
      </c>
      <c r="C55" s="934" t="s">
        <v>1893</v>
      </c>
      <c r="D55" s="934" t="s">
        <v>1893</v>
      </c>
      <c r="E55" s="934" t="s">
        <v>1893</v>
      </c>
      <c r="F55" s="934" t="s">
        <v>1893</v>
      </c>
      <c r="G55" s="934" t="s">
        <v>1893</v>
      </c>
      <c r="H55" s="934" t="s">
        <v>1893</v>
      </c>
      <c r="I55" s="934" t="s">
        <v>1893</v>
      </c>
      <c r="J55" s="934" t="s">
        <v>1893</v>
      </c>
      <c r="K55" s="934" t="s">
        <v>1893</v>
      </c>
      <c r="L55" s="934" t="s">
        <v>1893</v>
      </c>
      <c r="M55" s="934" t="s">
        <v>1893</v>
      </c>
      <c r="N55" s="934" t="s">
        <v>1893</v>
      </c>
      <c r="O55" s="934" t="s">
        <v>1893</v>
      </c>
      <c r="P55" s="935"/>
      <c r="Q55" s="934" t="s">
        <v>1893</v>
      </c>
      <c r="R55" s="934" t="s">
        <v>1893</v>
      </c>
      <c r="S55" s="937" t="s">
        <v>1896</v>
      </c>
    </row>
    <row r="56" spans="1:19" ht="14.25">
      <c r="A56" s="937"/>
      <c r="B56" s="935"/>
      <c r="C56" s="935"/>
      <c r="D56" s="935"/>
      <c r="E56" s="935"/>
      <c r="F56" s="935"/>
      <c r="G56" s="935"/>
      <c r="H56" s="935"/>
      <c r="I56" s="935"/>
      <c r="J56" s="935"/>
      <c r="K56" s="935"/>
      <c r="L56" s="935"/>
      <c r="M56" s="935"/>
      <c r="N56" s="935"/>
      <c r="O56" s="935"/>
      <c r="P56" s="935"/>
      <c r="Q56" s="935"/>
      <c r="R56" s="935"/>
      <c r="S56" s="937"/>
    </row>
    <row r="57" spans="1:19" ht="14.25">
      <c r="A57" s="936" t="s">
        <v>1894</v>
      </c>
      <c r="B57" s="934" t="s">
        <v>1893</v>
      </c>
      <c r="C57" s="934" t="s">
        <v>1893</v>
      </c>
      <c r="D57" s="934" t="s">
        <v>1893</v>
      </c>
      <c r="E57" s="934" t="s">
        <v>1893</v>
      </c>
      <c r="F57" s="934" t="s">
        <v>1893</v>
      </c>
      <c r="G57" s="934" t="s">
        <v>1893</v>
      </c>
      <c r="H57" s="934" t="s">
        <v>1893</v>
      </c>
      <c r="I57" s="934" t="s">
        <v>1893</v>
      </c>
      <c r="J57" s="934" t="s">
        <v>1893</v>
      </c>
      <c r="K57" s="934" t="s">
        <v>1893</v>
      </c>
      <c r="L57" s="934" t="s">
        <v>1893</v>
      </c>
      <c r="M57" s="934" t="s">
        <v>1893</v>
      </c>
      <c r="N57" s="934" t="s">
        <v>1893</v>
      </c>
      <c r="O57" s="934" t="s">
        <v>1893</v>
      </c>
      <c r="P57" s="935"/>
      <c r="Q57" s="934" t="s">
        <v>1893</v>
      </c>
      <c r="R57" s="934" t="s">
        <v>1893</v>
      </c>
      <c r="S57" s="936" t="s">
        <v>1894</v>
      </c>
    </row>
    <row r="63" spans="1:19" ht="12.75">
      <c r="A63" s="933"/>
    </row>
    <row r="64" spans="1:19" ht="12.75">
      <c r="A64" s="933"/>
    </row>
    <row r="65" spans="1:1" ht="12.75">
      <c r="A65" s="933"/>
    </row>
    <row r="66" spans="1:1" ht="12.75">
      <c r="A66" s="933"/>
    </row>
    <row r="67" spans="1:1" ht="12.75">
      <c r="A67" s="933"/>
    </row>
    <row r="68" spans="1:1" ht="12.75">
      <c r="A68" s="933"/>
    </row>
    <row r="69" spans="1:1" ht="12.75">
      <c r="A69" s="933"/>
    </row>
    <row r="70" spans="1:1" ht="12.75">
      <c r="A70" s="933"/>
    </row>
    <row r="71" spans="1:1" ht="12.75">
      <c r="A71" s="933"/>
    </row>
    <row r="72" spans="1:1" ht="12.75">
      <c r="A72" s="933"/>
    </row>
    <row r="73" spans="1:1" ht="12.75">
      <c r="A73" s="933"/>
    </row>
    <row r="74" spans="1:1" ht="12.75">
      <c r="A74" s="933"/>
    </row>
    <row r="75" spans="1:1" ht="12.75">
      <c r="A75" s="933"/>
    </row>
    <row r="76" spans="1:1" ht="12.75">
      <c r="A76" s="933"/>
    </row>
    <row r="77" spans="1:1" ht="12.75">
      <c r="A77" s="933"/>
    </row>
    <row r="78" spans="1:1" ht="12.75">
      <c r="A78" s="933"/>
    </row>
    <row r="79" spans="1:1" ht="12.75">
      <c r="A79" s="933"/>
    </row>
    <row r="80" spans="1:1" ht="12.75">
      <c r="A80" s="933"/>
    </row>
    <row r="81" spans="1:1" ht="12.75">
      <c r="A81" s="933"/>
    </row>
    <row r="82" spans="1:1" ht="12.75">
      <c r="A82" s="933"/>
    </row>
    <row r="83" spans="1:1" ht="12.75">
      <c r="A83" s="933"/>
    </row>
    <row r="84" spans="1:1" ht="12.75">
      <c r="A84" s="933"/>
    </row>
    <row r="85" spans="1:1" ht="12.75">
      <c r="A85" s="933"/>
    </row>
    <row r="86" spans="1:1" ht="12.75">
      <c r="A86" s="933"/>
    </row>
    <row r="87" spans="1:1" ht="12.75">
      <c r="A87" s="933"/>
    </row>
    <row r="88" spans="1:1" ht="12.75">
      <c r="A88" s="933"/>
    </row>
    <row r="89" spans="1:1" ht="12.75">
      <c r="A89" s="933"/>
    </row>
    <row r="90" spans="1:1" ht="12.75">
      <c r="A90" s="933"/>
    </row>
    <row r="91" spans="1:1" ht="12.75">
      <c r="A91" s="933"/>
    </row>
    <row r="92" spans="1:1" ht="12.75">
      <c r="A92" s="933"/>
    </row>
    <row r="93" spans="1:1" ht="12.75">
      <c r="A93" s="933"/>
    </row>
    <row r="94" spans="1:1" ht="12.75">
      <c r="A94" s="933"/>
    </row>
    <row r="95" spans="1:1" ht="12.75">
      <c r="A95" s="933"/>
    </row>
    <row r="96" spans="1:1" ht="12.75">
      <c r="A96" s="933"/>
    </row>
    <row r="97" spans="1:1" ht="12.75">
      <c r="A97" s="933"/>
    </row>
    <row r="98" spans="1:1" ht="12.75">
      <c r="A98" s="933"/>
    </row>
    <row r="99" spans="1:1" ht="12.75">
      <c r="A99" s="933"/>
    </row>
    <row r="100" spans="1:1" ht="12.75">
      <c r="A100" s="933"/>
    </row>
    <row r="101" spans="1:1" ht="12.75">
      <c r="A101" s="933"/>
    </row>
    <row r="102" spans="1:1" ht="12.75">
      <c r="A102" s="933"/>
    </row>
    <row r="103" spans="1:1" ht="12.75">
      <c r="A103" s="933"/>
    </row>
    <row r="104" spans="1:1" ht="12.75">
      <c r="A104" s="933"/>
    </row>
    <row r="105" spans="1:1" ht="12.75">
      <c r="A105" s="933"/>
    </row>
    <row r="106" spans="1:1" ht="12.75">
      <c r="A106" s="933"/>
    </row>
    <row r="107" spans="1:1" ht="12.75">
      <c r="A107" s="933"/>
    </row>
    <row r="108" spans="1:1" ht="12.75">
      <c r="A108" s="933"/>
    </row>
    <row r="109" spans="1:1" ht="12.75">
      <c r="A109" s="933"/>
    </row>
    <row r="110" spans="1:1" ht="12.75">
      <c r="A110" s="933"/>
    </row>
    <row r="111" spans="1:1" ht="12.75">
      <c r="A111" s="933"/>
    </row>
    <row r="112" spans="1:1" ht="12.75">
      <c r="A112" s="933"/>
    </row>
    <row r="113" spans="1:1" ht="12.75">
      <c r="A113" s="933"/>
    </row>
    <row r="114" spans="1:1" ht="12.75">
      <c r="A114" s="933"/>
    </row>
    <row r="115" spans="1:1" ht="12.75">
      <c r="A115" s="933"/>
    </row>
    <row r="116" spans="1:1" ht="12.75">
      <c r="A116" s="933"/>
    </row>
    <row r="117" spans="1:1" ht="12.75">
      <c r="A117" s="933"/>
    </row>
    <row r="118" spans="1:1" ht="12.75">
      <c r="A118" s="933"/>
    </row>
    <row r="119" spans="1:1" ht="12.75">
      <c r="A119" s="933"/>
    </row>
    <row r="120" spans="1:1" ht="12.75">
      <c r="A120" s="933"/>
    </row>
    <row r="121" spans="1:1" ht="12.75">
      <c r="A121" s="933"/>
    </row>
    <row r="122" spans="1:1" ht="12.75">
      <c r="A122" s="933"/>
    </row>
    <row r="123" spans="1:1" ht="12.75">
      <c r="A123" s="933"/>
    </row>
    <row r="124" spans="1:1" ht="12.75">
      <c r="A124" s="933"/>
    </row>
    <row r="125" spans="1:1" ht="12.75">
      <c r="A125" s="933"/>
    </row>
    <row r="126" spans="1:1" ht="12.75">
      <c r="A126" s="933"/>
    </row>
    <row r="127" spans="1:1" ht="12.75">
      <c r="A127" s="933"/>
    </row>
    <row r="128" spans="1:1" ht="12.75">
      <c r="A128" s="933"/>
    </row>
    <row r="129" spans="1:1" ht="12.75">
      <c r="A129" s="933"/>
    </row>
    <row r="130" spans="1:1" ht="12.75">
      <c r="A130" s="933"/>
    </row>
    <row r="131" spans="1:1" ht="12.75">
      <c r="A131" s="933"/>
    </row>
    <row r="132" spans="1:1" ht="12.75">
      <c r="A132" s="933"/>
    </row>
    <row r="133" spans="1:1" ht="12.75">
      <c r="A133" s="933"/>
    </row>
    <row r="134" spans="1:1" ht="12.75">
      <c r="A134" s="933"/>
    </row>
    <row r="135" spans="1:1" ht="12.75">
      <c r="A135" s="933"/>
    </row>
    <row r="136" spans="1:1" ht="12.75">
      <c r="A136" s="933"/>
    </row>
    <row r="137" spans="1:1" ht="12.75">
      <c r="A137" s="933"/>
    </row>
    <row r="138" spans="1:1" ht="12.75">
      <c r="A138" s="933"/>
    </row>
    <row r="139" spans="1:1" ht="12.75">
      <c r="A139" s="933"/>
    </row>
    <row r="140" spans="1:1" ht="12.75">
      <c r="A140" s="933"/>
    </row>
    <row r="141" spans="1:1" ht="12.75">
      <c r="A141" s="933"/>
    </row>
    <row r="142" spans="1:1" ht="12.75">
      <c r="A142" s="933"/>
    </row>
    <row r="143" spans="1:1" ht="12.75">
      <c r="A143" s="933"/>
    </row>
    <row r="144" spans="1:1" ht="12.75">
      <c r="A144" s="933"/>
    </row>
    <row r="145" spans="1:1" ht="12.75">
      <c r="A145" s="933"/>
    </row>
    <row r="146" spans="1:1" ht="12.75">
      <c r="A146" s="933"/>
    </row>
    <row r="147" spans="1:1" ht="12.75">
      <c r="A147" s="933"/>
    </row>
    <row r="148" spans="1:1" ht="12.75">
      <c r="A148" s="933"/>
    </row>
    <row r="149" spans="1:1" ht="12.75">
      <c r="A149" s="933"/>
    </row>
    <row r="150" spans="1:1" ht="12.75">
      <c r="A150" s="933"/>
    </row>
    <row r="151" spans="1:1" ht="12.75">
      <c r="A151" s="933"/>
    </row>
    <row r="152" spans="1:1" ht="12.75">
      <c r="A152" s="933"/>
    </row>
    <row r="153" spans="1:1" ht="12.75">
      <c r="A153" s="933"/>
    </row>
    <row r="154" spans="1:1" ht="12.75">
      <c r="A154" s="933"/>
    </row>
    <row r="155" spans="1:1" ht="12.75">
      <c r="A155" s="933"/>
    </row>
    <row r="156" spans="1:1" ht="12.75">
      <c r="A156" s="933"/>
    </row>
    <row r="157" spans="1:1" ht="12.75">
      <c r="A157" s="933"/>
    </row>
    <row r="158" spans="1:1" ht="12.75">
      <c r="A158" s="933"/>
    </row>
    <row r="159" spans="1:1" ht="12.75">
      <c r="A159" s="933"/>
    </row>
    <row r="160" spans="1:1" ht="12.75">
      <c r="A160" s="933"/>
    </row>
    <row r="161" spans="1:1" ht="12.75">
      <c r="A161" s="933"/>
    </row>
    <row r="162" spans="1:1" ht="12.75">
      <c r="A162" s="933"/>
    </row>
    <row r="163" spans="1:1" ht="12.75">
      <c r="A163" s="933"/>
    </row>
    <row r="164" spans="1:1" ht="12.75">
      <c r="A164" s="933"/>
    </row>
    <row r="165" spans="1:1" ht="12.75">
      <c r="A165" s="933"/>
    </row>
    <row r="166" spans="1:1" ht="12.75">
      <c r="A166" s="933"/>
    </row>
    <row r="167" spans="1:1" ht="12.75">
      <c r="A167" s="933"/>
    </row>
    <row r="168" spans="1:1" ht="12.75">
      <c r="A168" s="933"/>
    </row>
    <row r="169" spans="1:1" ht="12.75">
      <c r="A169" s="933"/>
    </row>
    <row r="170" spans="1:1" ht="12.75">
      <c r="A170" s="933"/>
    </row>
    <row r="171" spans="1:1" ht="12.75">
      <c r="A171" s="933"/>
    </row>
    <row r="172" spans="1:1" ht="12.75">
      <c r="A172" s="933"/>
    </row>
    <row r="173" spans="1:1" ht="12.75">
      <c r="A173" s="933"/>
    </row>
    <row r="174" spans="1:1" ht="12.75">
      <c r="A174" s="933"/>
    </row>
    <row r="175" spans="1:1" ht="12.75">
      <c r="A175" s="933"/>
    </row>
    <row r="176" spans="1:1" ht="12.75">
      <c r="A176" s="933"/>
    </row>
    <row r="177" spans="1:1" ht="12.75">
      <c r="A177" s="933"/>
    </row>
    <row r="178" spans="1:1" ht="12.75">
      <c r="A178" s="933"/>
    </row>
    <row r="179" spans="1:1" ht="12.75">
      <c r="A179" s="933"/>
    </row>
    <row r="180" spans="1:1" ht="12.75">
      <c r="A180" s="933"/>
    </row>
    <row r="181" spans="1:1" ht="12.75">
      <c r="A181" s="933"/>
    </row>
    <row r="182" spans="1:1" ht="12.75">
      <c r="A182" s="933"/>
    </row>
    <row r="183" spans="1:1" ht="12.75">
      <c r="A183" s="933"/>
    </row>
    <row r="184" spans="1:1" ht="12.75">
      <c r="A184" s="933"/>
    </row>
    <row r="185" spans="1:1" ht="12.75">
      <c r="A185" s="933"/>
    </row>
    <row r="186" spans="1:1" ht="12.75">
      <c r="A186" s="933"/>
    </row>
    <row r="187" spans="1:1" ht="12.75">
      <c r="A187" s="933"/>
    </row>
    <row r="188" spans="1:1" ht="12.75">
      <c r="A188" s="933"/>
    </row>
    <row r="189" spans="1:1" ht="12.75">
      <c r="A189" s="933"/>
    </row>
    <row r="190" spans="1:1" ht="12.75">
      <c r="A190" s="933"/>
    </row>
    <row r="191" spans="1:1" ht="12.75">
      <c r="A191" s="933"/>
    </row>
    <row r="192" spans="1:1" ht="12.75">
      <c r="A192" s="933"/>
    </row>
    <row r="193" spans="1:1" ht="12.75">
      <c r="A193" s="933"/>
    </row>
    <row r="194" spans="1:1" ht="12.75">
      <c r="A194" s="933"/>
    </row>
    <row r="195" spans="1:1" ht="12.75">
      <c r="A195" s="933"/>
    </row>
    <row r="196" spans="1:1" ht="12.75">
      <c r="A196" s="933"/>
    </row>
    <row r="197" spans="1:1" ht="12.75">
      <c r="A197" s="933"/>
    </row>
    <row r="198" spans="1:1" ht="12.75">
      <c r="A198" s="933"/>
    </row>
    <row r="199" spans="1:1" ht="12.75">
      <c r="A199" s="933"/>
    </row>
    <row r="200" spans="1:1" ht="12.75">
      <c r="A200" s="933"/>
    </row>
    <row r="201" spans="1:1" ht="12.75">
      <c r="A201" s="933"/>
    </row>
    <row r="202" spans="1:1" ht="12.75">
      <c r="A202" s="933"/>
    </row>
    <row r="203" spans="1:1" ht="12.75">
      <c r="A203" s="933"/>
    </row>
    <row r="204" spans="1:1" ht="12.75">
      <c r="A204" s="933"/>
    </row>
    <row r="205" spans="1:1" ht="12.75">
      <c r="A205" s="933"/>
    </row>
    <row r="206" spans="1:1" ht="12.75">
      <c r="A206" s="933"/>
    </row>
    <row r="207" spans="1:1" ht="12.75">
      <c r="A207" s="933"/>
    </row>
    <row r="208" spans="1:1" ht="12.75">
      <c r="A208" s="933"/>
    </row>
    <row r="209" spans="1:1" ht="12.75">
      <c r="A209" s="933"/>
    </row>
    <row r="210" spans="1:1" ht="12.75">
      <c r="A210" s="933"/>
    </row>
    <row r="211" spans="1:1" ht="12.75">
      <c r="A211" s="933"/>
    </row>
    <row r="212" spans="1:1" ht="12.75">
      <c r="A212" s="933"/>
    </row>
    <row r="213" spans="1:1" ht="12.75">
      <c r="A213" s="933"/>
    </row>
    <row r="214" spans="1:1" ht="12.75">
      <c r="A214" s="933"/>
    </row>
    <row r="215" spans="1:1" ht="12.75">
      <c r="A215" s="933"/>
    </row>
    <row r="216" spans="1:1" ht="12.75">
      <c r="A216" s="933"/>
    </row>
    <row r="217" spans="1:1" ht="12.75">
      <c r="A217" s="933"/>
    </row>
    <row r="218" spans="1:1" ht="12.75">
      <c r="A218" s="933"/>
    </row>
    <row r="219" spans="1:1" ht="12.75">
      <c r="A219" s="933"/>
    </row>
    <row r="220" spans="1:1" ht="12.75">
      <c r="A220" s="933"/>
    </row>
    <row r="221" spans="1:1" ht="12.75">
      <c r="A221" s="933"/>
    </row>
    <row r="222" spans="1:1" ht="12.75">
      <c r="A222" s="933"/>
    </row>
    <row r="223" spans="1:1" ht="12.75">
      <c r="A223" s="933"/>
    </row>
    <row r="224" spans="1:1" ht="12.75">
      <c r="A224" s="933"/>
    </row>
    <row r="225" spans="1:1" ht="12.75">
      <c r="A225" s="933"/>
    </row>
    <row r="226" spans="1:1" ht="12.75">
      <c r="A226" s="933"/>
    </row>
    <row r="227" spans="1:1" ht="12.75">
      <c r="A227" s="933"/>
    </row>
    <row r="228" spans="1:1" ht="12.75">
      <c r="A228" s="933"/>
    </row>
    <row r="229" spans="1:1" ht="12.75">
      <c r="A229" s="933"/>
    </row>
    <row r="230" spans="1:1" ht="12.75">
      <c r="A230" s="933"/>
    </row>
    <row r="231" spans="1:1" ht="12.75">
      <c r="A231" s="933"/>
    </row>
    <row r="232" spans="1:1" ht="12.75">
      <c r="A232" s="933"/>
    </row>
    <row r="233" spans="1:1" ht="12.75">
      <c r="A233" s="933"/>
    </row>
    <row r="234" spans="1:1" ht="12.75">
      <c r="A234" s="933"/>
    </row>
    <row r="235" spans="1:1" ht="12.75">
      <c r="A235" s="933"/>
    </row>
    <row r="236" spans="1:1" ht="12.75">
      <c r="A236" s="933"/>
    </row>
    <row r="237" spans="1:1" ht="12.75">
      <c r="A237" s="933"/>
    </row>
    <row r="238" spans="1:1" ht="12.75">
      <c r="A238" s="933"/>
    </row>
    <row r="239" spans="1:1" ht="12.75">
      <c r="A239" s="933"/>
    </row>
    <row r="240" spans="1:1" ht="12.75">
      <c r="A240" s="933"/>
    </row>
    <row r="241" spans="1:1" ht="12.75">
      <c r="A241" s="933"/>
    </row>
    <row r="242" spans="1:1" ht="12.75">
      <c r="A242" s="933"/>
    </row>
    <row r="243" spans="1:1" ht="12.75">
      <c r="A243" s="933"/>
    </row>
    <row r="244" spans="1:1" ht="12.75">
      <c r="A244" s="933"/>
    </row>
    <row r="245" spans="1:1" ht="12.75">
      <c r="A245" s="933"/>
    </row>
    <row r="246" spans="1:1" ht="12.75">
      <c r="A246" s="933"/>
    </row>
    <row r="247" spans="1:1" ht="12.75">
      <c r="A247" s="933"/>
    </row>
    <row r="248" spans="1:1" ht="12.75">
      <c r="A248" s="933"/>
    </row>
    <row r="249" spans="1:1" ht="12.75">
      <c r="A249" s="933"/>
    </row>
    <row r="250" spans="1:1" ht="12.75">
      <c r="A250" s="933"/>
    </row>
    <row r="251" spans="1:1" ht="12.75">
      <c r="A251" s="933"/>
    </row>
    <row r="252" spans="1:1" ht="12.75">
      <c r="A252" s="933"/>
    </row>
    <row r="253" spans="1:1" ht="12.75">
      <c r="A253" s="933"/>
    </row>
    <row r="254" spans="1:1" ht="12.75">
      <c r="A254" s="933"/>
    </row>
    <row r="255" spans="1:1" ht="12.75">
      <c r="A255" s="933"/>
    </row>
    <row r="256" spans="1:1" ht="12.75">
      <c r="A256" s="933"/>
    </row>
    <row r="257" spans="1:1" ht="12.75">
      <c r="A257" s="933"/>
    </row>
    <row r="258" spans="1:1" ht="12.75">
      <c r="A258" s="933"/>
    </row>
    <row r="259" spans="1:1" ht="12.75">
      <c r="A259" s="933"/>
    </row>
    <row r="260" spans="1:1" ht="12.75">
      <c r="A260" s="933"/>
    </row>
    <row r="261" spans="1:1" ht="12.75">
      <c r="A261" s="933"/>
    </row>
    <row r="262" spans="1:1" ht="12.75">
      <c r="A262" s="933"/>
    </row>
    <row r="263" spans="1:1" ht="12.75">
      <c r="A263" s="933"/>
    </row>
    <row r="264" spans="1:1" ht="12.75">
      <c r="A264" s="933"/>
    </row>
    <row r="265" spans="1:1" ht="12.75">
      <c r="A265" s="933"/>
    </row>
    <row r="266" spans="1:1" ht="12.75">
      <c r="A266" s="933"/>
    </row>
    <row r="267" spans="1:1" ht="12.75">
      <c r="A267" s="933"/>
    </row>
    <row r="268" spans="1:1" ht="12.75">
      <c r="A268" s="933"/>
    </row>
    <row r="269" spans="1:1" ht="12.75">
      <c r="A269" s="933"/>
    </row>
    <row r="270" spans="1:1" ht="12.75">
      <c r="A270" s="933"/>
    </row>
    <row r="271" spans="1:1" ht="12.75">
      <c r="A271" s="933"/>
    </row>
    <row r="272" spans="1:1" ht="12.75">
      <c r="A272" s="933"/>
    </row>
    <row r="273" spans="1:1" ht="12.75">
      <c r="A273" s="933"/>
    </row>
    <row r="274" spans="1:1" ht="12.75">
      <c r="A274" s="933"/>
    </row>
    <row r="275" spans="1:1" ht="12.75">
      <c r="A275" s="933"/>
    </row>
    <row r="276" spans="1:1" ht="12.75">
      <c r="A276" s="933"/>
    </row>
    <row r="277" spans="1:1" ht="12.75">
      <c r="A277" s="933"/>
    </row>
    <row r="278" spans="1:1" ht="12.75">
      <c r="A278" s="933"/>
    </row>
    <row r="279" spans="1:1" ht="12.75">
      <c r="A279" s="933"/>
    </row>
    <row r="280" spans="1:1" ht="12.75">
      <c r="A280" s="933"/>
    </row>
    <row r="281" spans="1:1" ht="12.75">
      <c r="A281" s="933"/>
    </row>
    <row r="282" spans="1:1" ht="12.75">
      <c r="A282" s="933"/>
    </row>
    <row r="283" spans="1:1" ht="12.75">
      <c r="A283" s="933"/>
    </row>
    <row r="284" spans="1:1" ht="12.75">
      <c r="A284" s="933"/>
    </row>
    <row r="285" spans="1:1" ht="12.75">
      <c r="A285" s="933"/>
    </row>
    <row r="286" spans="1:1" ht="12.75">
      <c r="A286" s="933"/>
    </row>
    <row r="287" spans="1:1" ht="12.75">
      <c r="A287" s="933"/>
    </row>
    <row r="288" spans="1:1" ht="12.75">
      <c r="A288" s="933"/>
    </row>
    <row r="289" spans="1:1" ht="12.75">
      <c r="A289" s="933"/>
    </row>
    <row r="290" spans="1:1" ht="12.75">
      <c r="A290" s="933"/>
    </row>
    <row r="291" spans="1:1" ht="12.75">
      <c r="A291" s="933"/>
    </row>
    <row r="292" spans="1:1" ht="12.75">
      <c r="A292" s="933"/>
    </row>
    <row r="293" spans="1:1" ht="12.75">
      <c r="A293" s="933"/>
    </row>
    <row r="294" spans="1:1" ht="12.75">
      <c r="A294" s="933"/>
    </row>
    <row r="295" spans="1:1" ht="12.75">
      <c r="A295" s="933"/>
    </row>
    <row r="296" spans="1:1" ht="12.75">
      <c r="A296" s="933"/>
    </row>
    <row r="297" spans="1:1" ht="12.75">
      <c r="A297" s="933"/>
    </row>
    <row r="298" spans="1:1" ht="12.75">
      <c r="A298" s="933"/>
    </row>
    <row r="299" spans="1:1" ht="12.75">
      <c r="A299" s="933"/>
    </row>
    <row r="300" spans="1:1" ht="12.75">
      <c r="A300" s="933"/>
    </row>
    <row r="301" spans="1:1" ht="12.75">
      <c r="A301" s="933"/>
    </row>
    <row r="302" spans="1:1" ht="12.75">
      <c r="A302" s="933"/>
    </row>
    <row r="303" spans="1:1" ht="12.75">
      <c r="A303" s="933"/>
    </row>
    <row r="304" spans="1:1" ht="12.75">
      <c r="A304" s="933"/>
    </row>
    <row r="305" spans="1:1" ht="12.75">
      <c r="A305" s="933"/>
    </row>
    <row r="306" spans="1:1" ht="12.75">
      <c r="A306" s="933"/>
    </row>
    <row r="307" spans="1:1" ht="12.75">
      <c r="A307" s="933"/>
    </row>
    <row r="308" spans="1:1" ht="12.75">
      <c r="A308" s="933"/>
    </row>
    <row r="309" spans="1:1" ht="12.75">
      <c r="A309" s="933"/>
    </row>
    <row r="310" spans="1:1" ht="12.75">
      <c r="A310" s="933"/>
    </row>
    <row r="311" spans="1:1" ht="12.75">
      <c r="A311" s="933"/>
    </row>
    <row r="312" spans="1:1" ht="12.75">
      <c r="A312" s="933"/>
    </row>
    <row r="313" spans="1:1" ht="12.75">
      <c r="A313" s="933"/>
    </row>
    <row r="314" spans="1:1" ht="12.75">
      <c r="A314" s="933"/>
    </row>
    <row r="315" spans="1:1" ht="12.75">
      <c r="A315" s="933"/>
    </row>
    <row r="316" spans="1:1" ht="12.75">
      <c r="A316" s="933"/>
    </row>
    <row r="317" spans="1:1" ht="12.75">
      <c r="A317" s="933"/>
    </row>
    <row r="318" spans="1:1" ht="12.75">
      <c r="A318" s="933"/>
    </row>
    <row r="319" spans="1:1" ht="12.75">
      <c r="A319" s="933"/>
    </row>
    <row r="320" spans="1:1" ht="12.75">
      <c r="A320" s="933"/>
    </row>
    <row r="321" spans="1:1" ht="12.75">
      <c r="A321" s="933"/>
    </row>
    <row r="322" spans="1:1" ht="12.75">
      <c r="A322" s="933"/>
    </row>
    <row r="323" spans="1:1" ht="12.75">
      <c r="A323" s="933"/>
    </row>
    <row r="324" spans="1:1" ht="12.75">
      <c r="A324" s="933"/>
    </row>
    <row r="325" spans="1:1" ht="12.75">
      <c r="A325" s="933"/>
    </row>
    <row r="326" spans="1:1" ht="12.75">
      <c r="A326" s="933"/>
    </row>
    <row r="327" spans="1:1" ht="12.75">
      <c r="A327" s="933"/>
    </row>
    <row r="328" spans="1:1" ht="12.75">
      <c r="A328" s="933"/>
    </row>
    <row r="329" spans="1:1" ht="12.75">
      <c r="A329" s="933"/>
    </row>
    <row r="330" spans="1:1" ht="12.75">
      <c r="A330" s="933"/>
    </row>
    <row r="331" spans="1:1" ht="12.75">
      <c r="A331" s="933"/>
    </row>
    <row r="332" spans="1:1" ht="12.75">
      <c r="A332" s="933"/>
    </row>
    <row r="333" spans="1:1" ht="12.75">
      <c r="A333" s="933"/>
    </row>
    <row r="334" spans="1:1" ht="12.75">
      <c r="A334" s="933"/>
    </row>
    <row r="335" spans="1:1" ht="12.75">
      <c r="A335" s="933"/>
    </row>
    <row r="336" spans="1:1" ht="12.75">
      <c r="A336" s="933"/>
    </row>
    <row r="337" spans="1:1" ht="12.75">
      <c r="A337" s="933"/>
    </row>
    <row r="338" spans="1:1" ht="12.75">
      <c r="A338" s="933"/>
    </row>
    <row r="339" spans="1:1" ht="12.75">
      <c r="A339" s="933"/>
    </row>
    <row r="340" spans="1:1" ht="12.75">
      <c r="A340" s="933"/>
    </row>
    <row r="341" spans="1:1" ht="12.75">
      <c r="A341" s="933"/>
    </row>
    <row r="342" spans="1:1" ht="12.75">
      <c r="A342" s="933"/>
    </row>
    <row r="343" spans="1:1" ht="12.75">
      <c r="A343" s="933"/>
    </row>
    <row r="344" spans="1:1" ht="12.75">
      <c r="A344" s="933"/>
    </row>
    <row r="345" spans="1:1" ht="12.75">
      <c r="A345" s="933"/>
    </row>
    <row r="346" spans="1:1" ht="12.75">
      <c r="A346" s="933"/>
    </row>
    <row r="347" spans="1:1" ht="12.75">
      <c r="A347" s="933"/>
    </row>
    <row r="348" spans="1:1" ht="12.75">
      <c r="A348" s="933"/>
    </row>
    <row r="349" spans="1:1" ht="12.75">
      <c r="A349" s="933"/>
    </row>
    <row r="350" spans="1:1" ht="12.75">
      <c r="A350" s="933"/>
    </row>
    <row r="351" spans="1:1" ht="12.75">
      <c r="A351" s="933"/>
    </row>
    <row r="352" spans="1:1" ht="12.75">
      <c r="A352" s="933"/>
    </row>
    <row r="353" spans="1:1" ht="12.75">
      <c r="A353" s="933"/>
    </row>
    <row r="354" spans="1:1" ht="12.75">
      <c r="A354" s="933"/>
    </row>
    <row r="355" spans="1:1" ht="12.75">
      <c r="A355" s="933"/>
    </row>
    <row r="356" spans="1:1" ht="12.75">
      <c r="A356" s="933"/>
    </row>
    <row r="357" spans="1:1" ht="12.75">
      <c r="A357" s="933"/>
    </row>
    <row r="358" spans="1:1" ht="12.75">
      <c r="A358" s="933"/>
    </row>
    <row r="359" spans="1:1" ht="12.75">
      <c r="A359" s="933"/>
    </row>
    <row r="360" spans="1:1" ht="12.75">
      <c r="A360" s="933"/>
    </row>
    <row r="361" spans="1:1" ht="12.75">
      <c r="A361" s="933"/>
    </row>
    <row r="362" spans="1:1" ht="12.75">
      <c r="A362" s="933"/>
    </row>
    <row r="363" spans="1:1" ht="12.75">
      <c r="A363" s="933"/>
    </row>
    <row r="364" spans="1:1" ht="12.75">
      <c r="A364" s="933"/>
    </row>
    <row r="365" spans="1:1" ht="12.75">
      <c r="A365" s="933"/>
    </row>
    <row r="366" spans="1:1" ht="12.75">
      <c r="A366" s="933"/>
    </row>
    <row r="367" spans="1:1" ht="12.75">
      <c r="A367" s="933"/>
    </row>
    <row r="368" spans="1:1" ht="12.75">
      <c r="A368" s="933"/>
    </row>
    <row r="369" spans="1:1" ht="12.75">
      <c r="A369" s="933"/>
    </row>
    <row r="370" spans="1:1" ht="12.75">
      <c r="A370" s="933"/>
    </row>
    <row r="371" spans="1:1" ht="12.75">
      <c r="A371" s="933"/>
    </row>
    <row r="372" spans="1:1" ht="12.75">
      <c r="A372" s="933"/>
    </row>
    <row r="373" spans="1:1" ht="12.75">
      <c r="A373" s="933"/>
    </row>
    <row r="374" spans="1:1" ht="12.75">
      <c r="A374" s="933"/>
    </row>
    <row r="375" spans="1:1" ht="12.75">
      <c r="A375" s="933"/>
    </row>
    <row r="376" spans="1:1" ht="12.75">
      <c r="A376" s="933"/>
    </row>
    <row r="377" spans="1:1" ht="12.75">
      <c r="A377" s="933"/>
    </row>
    <row r="378" spans="1:1" ht="12.75">
      <c r="A378" s="933"/>
    </row>
    <row r="379" spans="1:1" ht="12.75">
      <c r="A379" s="933"/>
    </row>
    <row r="380" spans="1:1" ht="12.75">
      <c r="A380" s="933"/>
    </row>
    <row r="381" spans="1:1" ht="12.75">
      <c r="A381" s="933"/>
    </row>
    <row r="382" spans="1:1" ht="12.75">
      <c r="A382" s="933"/>
    </row>
    <row r="383" spans="1:1" ht="12.75">
      <c r="A383" s="933"/>
    </row>
    <row r="384" spans="1:1" ht="12.75">
      <c r="A384" s="933"/>
    </row>
    <row r="385" spans="1:1" ht="12.75">
      <c r="A385" s="933"/>
    </row>
    <row r="386" spans="1:1" ht="12.75">
      <c r="A386" s="933"/>
    </row>
    <row r="387" spans="1:1" ht="12.75">
      <c r="A387" s="933"/>
    </row>
    <row r="388" spans="1:1" ht="12.75">
      <c r="A388" s="933"/>
    </row>
    <row r="389" spans="1:1" ht="12.75">
      <c r="A389" s="933"/>
    </row>
    <row r="390" spans="1:1" ht="12.75">
      <c r="A390" s="933"/>
    </row>
    <row r="391" spans="1:1" ht="12.75">
      <c r="A391" s="933"/>
    </row>
    <row r="392" spans="1:1" ht="12.75">
      <c r="A392" s="933"/>
    </row>
    <row r="393" spans="1:1" ht="12.75">
      <c r="A393" s="933"/>
    </row>
    <row r="394" spans="1:1" ht="12.75">
      <c r="A394" s="933"/>
    </row>
    <row r="395" spans="1:1" ht="12.75">
      <c r="A395" s="933"/>
    </row>
    <row r="396" spans="1:1" ht="12.75">
      <c r="A396" s="933"/>
    </row>
    <row r="397" spans="1:1" ht="12.75">
      <c r="A397" s="933"/>
    </row>
    <row r="398" spans="1:1" ht="12.75">
      <c r="A398" s="933"/>
    </row>
    <row r="399" spans="1:1" ht="12.75">
      <c r="A399" s="933"/>
    </row>
    <row r="400" spans="1:1" ht="12.75">
      <c r="A400" s="933"/>
    </row>
    <row r="401" spans="1:1" ht="12.75">
      <c r="A401" s="933"/>
    </row>
    <row r="402" spans="1:1" ht="12.75">
      <c r="A402" s="933"/>
    </row>
    <row r="403" spans="1:1" ht="12.75">
      <c r="A403" s="933"/>
    </row>
    <row r="404" spans="1:1" ht="12.75">
      <c r="A404" s="933"/>
    </row>
    <row r="405" spans="1:1" ht="12.75">
      <c r="A405" s="933"/>
    </row>
    <row r="406" spans="1:1" ht="12.75">
      <c r="A406" s="933"/>
    </row>
    <row r="407" spans="1:1" ht="12.75">
      <c r="A407" s="933"/>
    </row>
    <row r="408" spans="1:1" ht="12.75">
      <c r="A408" s="933"/>
    </row>
    <row r="409" spans="1:1" ht="12.75">
      <c r="A409" s="933"/>
    </row>
    <row r="410" spans="1:1" ht="12.75">
      <c r="A410" s="933"/>
    </row>
    <row r="411" spans="1:1" ht="12.75">
      <c r="A411" s="933"/>
    </row>
    <row r="412" spans="1:1" ht="12.75">
      <c r="A412" s="933"/>
    </row>
    <row r="413" spans="1:1" ht="12.75">
      <c r="A413" s="933"/>
    </row>
    <row r="414" spans="1:1" ht="12.75">
      <c r="A414" s="933"/>
    </row>
    <row r="415" spans="1:1" ht="12.75">
      <c r="A415" s="933"/>
    </row>
    <row r="416" spans="1:1" ht="12.75">
      <c r="A416" s="933"/>
    </row>
    <row r="417" spans="1:1" ht="12.75">
      <c r="A417" s="933"/>
    </row>
    <row r="418" spans="1:1" ht="12.75">
      <c r="A418" s="933"/>
    </row>
    <row r="419" spans="1:1" ht="12.75">
      <c r="A419" s="933"/>
    </row>
    <row r="420" spans="1:1" ht="12.75">
      <c r="A420" s="933"/>
    </row>
    <row r="421" spans="1:1" ht="12.75">
      <c r="A421" s="933"/>
    </row>
    <row r="422" spans="1:1" ht="12.75">
      <c r="A422" s="933"/>
    </row>
    <row r="423" spans="1:1" ht="12.75">
      <c r="A423" s="933"/>
    </row>
    <row r="424" spans="1:1" ht="12.75">
      <c r="A424" s="933"/>
    </row>
    <row r="425" spans="1:1" ht="12.75">
      <c r="A425" s="933"/>
    </row>
    <row r="426" spans="1:1" ht="12.75">
      <c r="A426" s="933"/>
    </row>
    <row r="427" spans="1:1" ht="12.75">
      <c r="A427" s="933"/>
    </row>
    <row r="428" spans="1:1" ht="12.75">
      <c r="A428" s="933"/>
    </row>
    <row r="429" spans="1:1" ht="12.75">
      <c r="A429" s="933"/>
    </row>
    <row r="430" spans="1:1" ht="12.75">
      <c r="A430" s="933"/>
    </row>
    <row r="431" spans="1:1" ht="12.75">
      <c r="A431" s="933"/>
    </row>
    <row r="432" spans="1:1" ht="12.75">
      <c r="A432" s="933"/>
    </row>
    <row r="433" spans="1:1" ht="12.75">
      <c r="A433" s="933"/>
    </row>
    <row r="434" spans="1:1" ht="12.75">
      <c r="A434" s="933"/>
    </row>
    <row r="435" spans="1:1" ht="12.75">
      <c r="A435" s="933"/>
    </row>
    <row r="436" spans="1:1" ht="12.75">
      <c r="A436" s="933"/>
    </row>
    <row r="437" spans="1:1" ht="12.75">
      <c r="A437" s="933"/>
    </row>
    <row r="438" spans="1:1" ht="12.75">
      <c r="A438" s="933"/>
    </row>
    <row r="439" spans="1:1" ht="12.75">
      <c r="A439" s="933"/>
    </row>
    <row r="440" spans="1:1" ht="12.75">
      <c r="A440" s="933"/>
    </row>
    <row r="441" spans="1:1" ht="12.75">
      <c r="A441" s="933"/>
    </row>
    <row r="442" spans="1:1" ht="12.75">
      <c r="A442" s="933"/>
    </row>
    <row r="443" spans="1:1" ht="12.75">
      <c r="A443" s="933"/>
    </row>
    <row r="444" spans="1:1" ht="12.75">
      <c r="A444" s="933"/>
    </row>
    <row r="445" spans="1:1" ht="12.75">
      <c r="A445" s="933"/>
    </row>
    <row r="446" spans="1:1" ht="12.75">
      <c r="A446" s="933"/>
    </row>
    <row r="447" spans="1:1" ht="12.75">
      <c r="A447" s="933"/>
    </row>
    <row r="448" spans="1:1" ht="12.75">
      <c r="A448" s="933"/>
    </row>
    <row r="449" spans="1:1" ht="12.75">
      <c r="A449" s="933"/>
    </row>
    <row r="450" spans="1:1" ht="12.75">
      <c r="A450" s="933"/>
    </row>
    <row r="451" spans="1:1" ht="12.75">
      <c r="A451" s="933"/>
    </row>
    <row r="452" spans="1:1" ht="12.75">
      <c r="A452" s="933"/>
    </row>
    <row r="453" spans="1:1" ht="12.75">
      <c r="A453" s="933"/>
    </row>
    <row r="454" spans="1:1" ht="12.75">
      <c r="A454" s="933"/>
    </row>
    <row r="455" spans="1:1" ht="12.75">
      <c r="A455" s="933"/>
    </row>
    <row r="456" spans="1:1" ht="12.75">
      <c r="A456" s="933"/>
    </row>
    <row r="457" spans="1:1" ht="12.75">
      <c r="A457" s="933"/>
    </row>
    <row r="458" spans="1:1" ht="12.75">
      <c r="A458" s="933"/>
    </row>
    <row r="459" spans="1:1" ht="12.75">
      <c r="A459" s="933"/>
    </row>
    <row r="460" spans="1:1" ht="12.75">
      <c r="A460" s="933"/>
    </row>
    <row r="461" spans="1:1" ht="12.75">
      <c r="A461" s="933"/>
    </row>
    <row r="462" spans="1:1" ht="12.75">
      <c r="A462" s="933"/>
    </row>
    <row r="463" spans="1:1" ht="12.75">
      <c r="A463" s="933"/>
    </row>
    <row r="464" spans="1:1" ht="12.75">
      <c r="A464" s="933"/>
    </row>
    <row r="465" spans="1:1" ht="12.75">
      <c r="A465" s="933"/>
    </row>
    <row r="466" spans="1:1" ht="12.75">
      <c r="A466" s="933"/>
    </row>
    <row r="467" spans="1:1" ht="12.75">
      <c r="A467" s="933"/>
    </row>
    <row r="468" spans="1:1" ht="12.75">
      <c r="A468" s="933"/>
    </row>
    <row r="469" spans="1:1" ht="12.75">
      <c r="A469" s="933"/>
    </row>
    <row r="470" spans="1:1" ht="12.75">
      <c r="A470" s="933"/>
    </row>
    <row r="471" spans="1:1" ht="12.75">
      <c r="A471" s="933"/>
    </row>
    <row r="472" spans="1:1" ht="12.75">
      <c r="A472" s="933"/>
    </row>
    <row r="473" spans="1:1" ht="12.75">
      <c r="A473" s="933"/>
    </row>
    <row r="474" spans="1:1" ht="12.75">
      <c r="A474" s="933"/>
    </row>
    <row r="475" spans="1:1" ht="12.75">
      <c r="A475" s="933"/>
    </row>
    <row r="476" spans="1:1" ht="12.75">
      <c r="A476" s="933"/>
    </row>
    <row r="477" spans="1:1" ht="12.75">
      <c r="A477" s="933"/>
    </row>
    <row r="478" spans="1:1" ht="12.75">
      <c r="A478" s="933"/>
    </row>
    <row r="479" spans="1:1" ht="12.75">
      <c r="A479" s="933"/>
    </row>
    <row r="480" spans="1:1" ht="12.75">
      <c r="A480" s="933"/>
    </row>
    <row r="481" spans="1:1" ht="12.75">
      <c r="A481" s="933"/>
    </row>
    <row r="482" spans="1:1" ht="12.75">
      <c r="A482" s="933"/>
    </row>
    <row r="483" spans="1:1" ht="12.75">
      <c r="A483" s="933"/>
    </row>
    <row r="484" spans="1:1" ht="12.75">
      <c r="A484" s="933"/>
    </row>
    <row r="485" spans="1:1" ht="12.75">
      <c r="A485" s="933"/>
    </row>
    <row r="486" spans="1:1" ht="12.75">
      <c r="A486" s="933"/>
    </row>
    <row r="487" spans="1:1" ht="12.75">
      <c r="A487" s="933"/>
    </row>
    <row r="488" spans="1:1" ht="12.75">
      <c r="A488" s="933"/>
    </row>
    <row r="489" spans="1:1" ht="12.75">
      <c r="A489" s="933"/>
    </row>
    <row r="490" spans="1:1" ht="12.75">
      <c r="A490" s="933"/>
    </row>
    <row r="491" spans="1:1" ht="12.75">
      <c r="A491" s="933"/>
    </row>
    <row r="492" spans="1:1" ht="12.75">
      <c r="A492" s="933"/>
    </row>
    <row r="493" spans="1:1" ht="12.75">
      <c r="A493" s="933"/>
    </row>
    <row r="494" spans="1:1" ht="12.75">
      <c r="A494" s="933"/>
    </row>
    <row r="495" spans="1:1" ht="12.75">
      <c r="A495" s="933"/>
    </row>
    <row r="496" spans="1:1" ht="12.75">
      <c r="A496" s="933"/>
    </row>
    <row r="497" spans="1:1" ht="12.75">
      <c r="A497" s="933"/>
    </row>
    <row r="498" spans="1:1" ht="12.75">
      <c r="A498" s="933"/>
    </row>
    <row r="499" spans="1:1" ht="12.75">
      <c r="A499" s="933"/>
    </row>
    <row r="500" spans="1:1" ht="12.75">
      <c r="A500" s="933"/>
    </row>
    <row r="501" spans="1:1" ht="12.75">
      <c r="A501" s="933"/>
    </row>
    <row r="502" spans="1:1" ht="12.75">
      <c r="A502" s="933"/>
    </row>
    <row r="503" spans="1:1" ht="12.75">
      <c r="A503" s="933"/>
    </row>
    <row r="504" spans="1:1" ht="12.75">
      <c r="A504" s="933"/>
    </row>
    <row r="505" spans="1:1" ht="12.75">
      <c r="A505" s="933"/>
    </row>
    <row r="506" spans="1:1" ht="12.75">
      <c r="A506" s="933"/>
    </row>
    <row r="507" spans="1:1" ht="12.75">
      <c r="A507" s="933"/>
    </row>
    <row r="508" spans="1:1" ht="12.75">
      <c r="A508" s="933"/>
    </row>
    <row r="509" spans="1:1" ht="12.75">
      <c r="A509" s="933"/>
    </row>
    <row r="510" spans="1:1" ht="12.75">
      <c r="A510" s="933"/>
    </row>
    <row r="511" spans="1:1" ht="12.75">
      <c r="A511" s="933"/>
    </row>
    <row r="512" spans="1:1" ht="12.75">
      <c r="A512" s="933"/>
    </row>
    <row r="513" spans="1:1" ht="12.75">
      <c r="A513" s="933"/>
    </row>
    <row r="514" spans="1:1" ht="12.75">
      <c r="A514" s="933"/>
    </row>
    <row r="515" spans="1:1" ht="12.75">
      <c r="A515" s="933"/>
    </row>
    <row r="516" spans="1:1" ht="12.75">
      <c r="A516" s="933"/>
    </row>
    <row r="517" spans="1:1" ht="12.75">
      <c r="A517" s="933"/>
    </row>
    <row r="518" spans="1:1" ht="12.75">
      <c r="A518" s="933"/>
    </row>
    <row r="519" spans="1:1" ht="12.75">
      <c r="A519" s="933"/>
    </row>
    <row r="520" spans="1:1" ht="12.75">
      <c r="A520" s="933"/>
    </row>
    <row r="521" spans="1:1" ht="12.75">
      <c r="A521" s="933"/>
    </row>
    <row r="522" spans="1:1" ht="12.75">
      <c r="A522" s="933"/>
    </row>
    <row r="523" spans="1:1" ht="12.75">
      <c r="A523" s="933"/>
    </row>
    <row r="524" spans="1:1" ht="12.75">
      <c r="A524" s="933"/>
    </row>
    <row r="525" spans="1:1" ht="12.75">
      <c r="A525" s="933"/>
    </row>
    <row r="526" spans="1:1" ht="12.75">
      <c r="A526" s="933"/>
    </row>
    <row r="527" spans="1:1" ht="12.75">
      <c r="A527" s="933"/>
    </row>
    <row r="528" spans="1:1" ht="12.75">
      <c r="A528" s="933"/>
    </row>
    <row r="529" spans="1:1" ht="12.75">
      <c r="A529" s="933"/>
    </row>
    <row r="530" spans="1:1" ht="12.75">
      <c r="A530" s="933"/>
    </row>
    <row r="531" spans="1:1" ht="12.75">
      <c r="A531" s="933"/>
    </row>
    <row r="532" spans="1:1" ht="12.75">
      <c r="A532" s="933"/>
    </row>
    <row r="533" spans="1:1" ht="12.75">
      <c r="A533" s="933"/>
    </row>
    <row r="534" spans="1:1" ht="12.75">
      <c r="A534" s="933"/>
    </row>
    <row r="535" spans="1:1" ht="12.75">
      <c r="A535" s="933"/>
    </row>
    <row r="536" spans="1:1" ht="12.75">
      <c r="A536" s="933"/>
    </row>
    <row r="537" spans="1:1" ht="12.75">
      <c r="A537" s="933"/>
    </row>
    <row r="538" spans="1:1" ht="12.75">
      <c r="A538" s="933"/>
    </row>
    <row r="539" spans="1:1" ht="12.75">
      <c r="A539" s="933"/>
    </row>
    <row r="540" spans="1:1" ht="12.75">
      <c r="A540" s="933"/>
    </row>
    <row r="541" spans="1:1" ht="12.75">
      <c r="A541" s="933"/>
    </row>
    <row r="542" spans="1:1" ht="12.75">
      <c r="A542" s="933"/>
    </row>
    <row r="543" spans="1:1" ht="12.75">
      <c r="A543" s="933"/>
    </row>
    <row r="544" spans="1:1" ht="12.75">
      <c r="A544" s="933"/>
    </row>
    <row r="545" spans="1:1" ht="12.75">
      <c r="A545" s="933"/>
    </row>
    <row r="546" spans="1:1" ht="12.75">
      <c r="A546" s="933"/>
    </row>
    <row r="547" spans="1:1" ht="12.75">
      <c r="A547" s="933"/>
    </row>
    <row r="548" spans="1:1" ht="12.75">
      <c r="A548" s="933"/>
    </row>
    <row r="549" spans="1:1" ht="12.75">
      <c r="A549" s="933"/>
    </row>
    <row r="550" spans="1:1" ht="12.75">
      <c r="A550" s="933"/>
    </row>
    <row r="551" spans="1:1" ht="12.75">
      <c r="A551" s="933"/>
    </row>
    <row r="552" spans="1:1" ht="12.75">
      <c r="A552" s="933"/>
    </row>
    <row r="553" spans="1:1" ht="12.75">
      <c r="A553" s="933"/>
    </row>
    <row r="554" spans="1:1" ht="12.75">
      <c r="A554" s="933"/>
    </row>
    <row r="555" spans="1:1" ht="12.75">
      <c r="A555" s="933"/>
    </row>
    <row r="556" spans="1:1" ht="12.75">
      <c r="A556" s="933"/>
    </row>
    <row r="557" spans="1:1" ht="12.75">
      <c r="A557" s="933"/>
    </row>
    <row r="558" spans="1:1" ht="12.75">
      <c r="A558" s="933"/>
    </row>
    <row r="559" spans="1:1" ht="12.75">
      <c r="A559" s="933"/>
    </row>
    <row r="560" spans="1:1" ht="12.75">
      <c r="A560" s="933"/>
    </row>
    <row r="561" spans="1:1" ht="12.75">
      <c r="A561" s="933"/>
    </row>
    <row r="562" spans="1:1" ht="12.75">
      <c r="A562" s="933"/>
    </row>
    <row r="563" spans="1:1" ht="12.75">
      <c r="A563" s="933"/>
    </row>
    <row r="564" spans="1:1" ht="12.75">
      <c r="A564" s="933"/>
    </row>
    <row r="565" spans="1:1" ht="12.75">
      <c r="A565" s="933"/>
    </row>
    <row r="566" spans="1:1" ht="12.75">
      <c r="A566" s="933"/>
    </row>
    <row r="567" spans="1:1" ht="12.75">
      <c r="A567" s="933"/>
    </row>
    <row r="568" spans="1:1" ht="12.75">
      <c r="A568" s="933"/>
    </row>
    <row r="569" spans="1:1" ht="12.75">
      <c r="A569" s="933"/>
    </row>
    <row r="570" spans="1:1" ht="12.75">
      <c r="A570" s="933"/>
    </row>
    <row r="571" spans="1:1" ht="12.75">
      <c r="A571" s="933"/>
    </row>
    <row r="572" spans="1:1" ht="12.75">
      <c r="A572" s="933"/>
    </row>
    <row r="573" spans="1:1" ht="12.75">
      <c r="A573" s="933"/>
    </row>
    <row r="574" spans="1:1" ht="12.75">
      <c r="A574" s="933"/>
    </row>
    <row r="575" spans="1:1" ht="12.75">
      <c r="A575" s="933"/>
    </row>
    <row r="576" spans="1:1" ht="12.75">
      <c r="A576" s="933"/>
    </row>
    <row r="577" spans="1:1" ht="12.75">
      <c r="A577" s="933"/>
    </row>
    <row r="578" spans="1:1" ht="12.75">
      <c r="A578" s="933"/>
    </row>
    <row r="579" spans="1:1" ht="12.75">
      <c r="A579" s="933"/>
    </row>
    <row r="580" spans="1:1" ht="12.75">
      <c r="A580" s="933"/>
    </row>
    <row r="581" spans="1:1" ht="12.75">
      <c r="A581" s="933"/>
    </row>
    <row r="582" spans="1:1" ht="12.75">
      <c r="A582" s="933"/>
    </row>
    <row r="583" spans="1:1" ht="12.75">
      <c r="A583" s="933"/>
    </row>
    <row r="584" spans="1:1" ht="12.75">
      <c r="A584" s="933"/>
    </row>
    <row r="585" spans="1:1" ht="12.75">
      <c r="A585" s="933"/>
    </row>
    <row r="586" spans="1:1" ht="12.75">
      <c r="A586" s="933"/>
    </row>
    <row r="587" spans="1:1" ht="12.75">
      <c r="A587" s="933"/>
    </row>
    <row r="588" spans="1:1" ht="12.75">
      <c r="A588" s="933"/>
    </row>
    <row r="589" spans="1:1" ht="12.75">
      <c r="A589" s="933"/>
    </row>
    <row r="590" spans="1:1" ht="12.75">
      <c r="A590" s="933"/>
    </row>
    <row r="591" spans="1:1" ht="12.75">
      <c r="A591" s="933"/>
    </row>
    <row r="592" spans="1:1" ht="12.75">
      <c r="A592" s="933"/>
    </row>
    <row r="593" spans="1:1" ht="12.75">
      <c r="A593" s="933"/>
    </row>
    <row r="594" spans="1:1" ht="12.75">
      <c r="A594" s="933"/>
    </row>
    <row r="595" spans="1:1" ht="12.75">
      <c r="A595" s="933"/>
    </row>
    <row r="596" spans="1:1" ht="12.75">
      <c r="A596" s="933"/>
    </row>
    <row r="597" spans="1:1" ht="12.75">
      <c r="A597" s="933"/>
    </row>
    <row r="598" spans="1:1" ht="12.75">
      <c r="A598" s="933"/>
    </row>
    <row r="599" spans="1:1" ht="12.75">
      <c r="A599" s="933"/>
    </row>
    <row r="600" spans="1:1" ht="12.75">
      <c r="A600" s="933"/>
    </row>
    <row r="601" spans="1:1" ht="12.75">
      <c r="A601" s="933"/>
    </row>
    <row r="602" spans="1:1" ht="12.75">
      <c r="A602" s="933"/>
    </row>
    <row r="603" spans="1:1" ht="12.75">
      <c r="A603" s="933"/>
    </row>
    <row r="604" spans="1:1" ht="12.75">
      <c r="A604" s="933"/>
    </row>
    <row r="605" spans="1:1" ht="12.75">
      <c r="A605" s="933"/>
    </row>
    <row r="606" spans="1:1" ht="12.75">
      <c r="A606" s="933"/>
    </row>
    <row r="607" spans="1:1" ht="12.75">
      <c r="A607" s="933"/>
    </row>
    <row r="608" spans="1:1" ht="12.75">
      <c r="A608" s="933"/>
    </row>
    <row r="609" spans="1:1" ht="12.75">
      <c r="A609" s="933"/>
    </row>
    <row r="610" spans="1:1" ht="12.75">
      <c r="A610" s="933"/>
    </row>
    <row r="611" spans="1:1" ht="12.75">
      <c r="A611" s="933"/>
    </row>
    <row r="612" spans="1:1" ht="12.75">
      <c r="A612" s="933"/>
    </row>
    <row r="613" spans="1:1" ht="12.75">
      <c r="A613" s="933"/>
    </row>
    <row r="614" spans="1:1" ht="12.75">
      <c r="A614" s="933"/>
    </row>
    <row r="615" spans="1:1" ht="12.75">
      <c r="A615" s="933"/>
    </row>
    <row r="616" spans="1:1" ht="12.75">
      <c r="A616" s="933"/>
    </row>
    <row r="617" spans="1:1" ht="12.75">
      <c r="A617" s="933"/>
    </row>
    <row r="618" spans="1:1" ht="12.75">
      <c r="A618" s="933"/>
    </row>
    <row r="619" spans="1:1" ht="12.75">
      <c r="A619" s="933"/>
    </row>
    <row r="620" spans="1:1" ht="12.75">
      <c r="A620" s="933"/>
    </row>
    <row r="621" spans="1:1" ht="12.75">
      <c r="A621" s="933"/>
    </row>
    <row r="622" spans="1:1" ht="12.75">
      <c r="A622" s="933"/>
    </row>
    <row r="623" spans="1:1" ht="12.75">
      <c r="A623" s="933"/>
    </row>
    <row r="624" spans="1:1" ht="12.75">
      <c r="A624" s="933"/>
    </row>
    <row r="625" spans="1:1" ht="12.75">
      <c r="A625" s="933"/>
    </row>
    <row r="626" spans="1:1" ht="12.75">
      <c r="A626" s="933"/>
    </row>
    <row r="627" spans="1:1" ht="12.75">
      <c r="A627" s="933"/>
    </row>
    <row r="628" spans="1:1" ht="12.75">
      <c r="A628" s="933"/>
    </row>
    <row r="629" spans="1:1" ht="12.75">
      <c r="A629" s="933"/>
    </row>
    <row r="630" spans="1:1" ht="12.75">
      <c r="A630" s="933"/>
    </row>
    <row r="631" spans="1:1" ht="12.75">
      <c r="A631" s="933"/>
    </row>
    <row r="632" spans="1:1" ht="12.75">
      <c r="A632" s="933"/>
    </row>
    <row r="633" spans="1:1" ht="12.75">
      <c r="A633" s="933"/>
    </row>
    <row r="634" spans="1:1" ht="12.75">
      <c r="A634" s="933"/>
    </row>
    <row r="635" spans="1:1" ht="12.75">
      <c r="A635" s="933"/>
    </row>
    <row r="636" spans="1:1" ht="12.75">
      <c r="A636" s="933"/>
    </row>
    <row r="637" spans="1:1" ht="12.75">
      <c r="A637" s="933"/>
    </row>
    <row r="638" spans="1:1" ht="12.75">
      <c r="A638" s="933"/>
    </row>
    <row r="639" spans="1:1" ht="12.75">
      <c r="A639" s="933"/>
    </row>
    <row r="640" spans="1:1" ht="12.75">
      <c r="A640" s="933"/>
    </row>
    <row r="641" spans="1:1" ht="12.75">
      <c r="A641" s="933"/>
    </row>
    <row r="642" spans="1:1" ht="12.75">
      <c r="A642" s="933"/>
    </row>
    <row r="643" spans="1:1" ht="12.75">
      <c r="A643" s="933"/>
    </row>
    <row r="644" spans="1:1" ht="12.75">
      <c r="A644" s="933"/>
    </row>
    <row r="645" spans="1:1" ht="12.75">
      <c r="A645" s="933"/>
    </row>
    <row r="646" spans="1:1" ht="12.75">
      <c r="A646" s="933"/>
    </row>
    <row r="647" spans="1:1" ht="12.75">
      <c r="A647" s="933"/>
    </row>
    <row r="648" spans="1:1" ht="12.75">
      <c r="A648" s="933"/>
    </row>
    <row r="649" spans="1:1" ht="12.75">
      <c r="A649" s="933"/>
    </row>
    <row r="650" spans="1:1" ht="12.75">
      <c r="A650" s="933"/>
    </row>
    <row r="651" spans="1:1" ht="12.75">
      <c r="A651" s="933"/>
    </row>
    <row r="652" spans="1:1" ht="12.75">
      <c r="A652" s="933"/>
    </row>
    <row r="653" spans="1:1" ht="12.75">
      <c r="A653" s="933"/>
    </row>
    <row r="654" spans="1:1" ht="12.75">
      <c r="A654" s="933"/>
    </row>
    <row r="655" spans="1:1" ht="12.75">
      <c r="A655" s="933"/>
    </row>
    <row r="656" spans="1:1" ht="12.75">
      <c r="A656" s="933"/>
    </row>
    <row r="657" spans="1:1" ht="12.75">
      <c r="A657" s="933"/>
    </row>
    <row r="658" spans="1:1" ht="12.75">
      <c r="A658" s="933"/>
    </row>
    <row r="659" spans="1:1" ht="12.75">
      <c r="A659" s="933"/>
    </row>
    <row r="660" spans="1:1" ht="12.75">
      <c r="A660" s="933"/>
    </row>
    <row r="661" spans="1:1" ht="12.75">
      <c r="A661" s="933"/>
    </row>
    <row r="662" spans="1:1" ht="12.75">
      <c r="A662" s="933"/>
    </row>
    <row r="663" spans="1:1" ht="12.75">
      <c r="A663" s="933"/>
    </row>
    <row r="664" spans="1:1" ht="12.75">
      <c r="A664" s="933"/>
    </row>
    <row r="665" spans="1:1" ht="12.75">
      <c r="A665" s="933"/>
    </row>
    <row r="666" spans="1:1" ht="12.75">
      <c r="A666" s="933"/>
    </row>
    <row r="667" spans="1:1" ht="12.75">
      <c r="A667" s="933"/>
    </row>
    <row r="668" spans="1:1" ht="12.75">
      <c r="A668" s="933"/>
    </row>
    <row r="669" spans="1:1" ht="12.75">
      <c r="A669" s="933"/>
    </row>
    <row r="670" spans="1:1" ht="12.75">
      <c r="A670" s="933"/>
    </row>
    <row r="671" spans="1:1" ht="12.75">
      <c r="A671" s="933"/>
    </row>
    <row r="672" spans="1:1" ht="12.75">
      <c r="A672" s="933"/>
    </row>
    <row r="673" spans="1:1" ht="12.75">
      <c r="A673" s="933"/>
    </row>
    <row r="674" spans="1:1" ht="12.75">
      <c r="A674" s="933"/>
    </row>
    <row r="675" spans="1:1" ht="12.75">
      <c r="A675" s="933"/>
    </row>
    <row r="676" spans="1:1" ht="12.75">
      <c r="A676" s="933"/>
    </row>
    <row r="677" spans="1:1" ht="12.75">
      <c r="A677" s="933"/>
    </row>
    <row r="678" spans="1:1" ht="12.75">
      <c r="A678" s="933"/>
    </row>
    <row r="679" spans="1:1" ht="12.75">
      <c r="A679" s="933"/>
    </row>
    <row r="680" spans="1:1" ht="12.75">
      <c r="A680" s="933"/>
    </row>
    <row r="681" spans="1:1" ht="12.75">
      <c r="A681" s="933"/>
    </row>
    <row r="682" spans="1:1" ht="12.75">
      <c r="A682" s="933"/>
    </row>
    <row r="683" spans="1:1" ht="12.75">
      <c r="A683" s="933"/>
    </row>
    <row r="684" spans="1:1" ht="12.75">
      <c r="A684" s="933"/>
    </row>
    <row r="685" spans="1:1" ht="12.75">
      <c r="A685" s="933"/>
    </row>
    <row r="686" spans="1:1" ht="12.75">
      <c r="A686" s="933"/>
    </row>
    <row r="687" spans="1:1" ht="12.75">
      <c r="A687" s="933"/>
    </row>
    <row r="688" spans="1:1" ht="12.75">
      <c r="A688" s="933"/>
    </row>
    <row r="689" spans="1:1" ht="12.75">
      <c r="A689" s="933"/>
    </row>
    <row r="690" spans="1:1" ht="12.75">
      <c r="A690" s="933"/>
    </row>
    <row r="691" spans="1:1" ht="12.75">
      <c r="A691" s="933"/>
    </row>
    <row r="692" spans="1:1" ht="12.75">
      <c r="A692" s="933"/>
    </row>
    <row r="693" spans="1:1" ht="12.75">
      <c r="A693" s="933"/>
    </row>
    <row r="694" spans="1:1" ht="12.75">
      <c r="A694" s="933"/>
    </row>
    <row r="695" spans="1:1" ht="12.75">
      <c r="A695" s="933"/>
    </row>
    <row r="696" spans="1:1" ht="12.75">
      <c r="A696" s="933"/>
    </row>
    <row r="697" spans="1:1" ht="12.75">
      <c r="A697" s="933"/>
    </row>
    <row r="698" spans="1:1" ht="12.75">
      <c r="A698" s="933"/>
    </row>
    <row r="699" spans="1:1" ht="12.75">
      <c r="A699" s="933"/>
    </row>
    <row r="700" spans="1:1" ht="12.75">
      <c r="A700" s="933"/>
    </row>
    <row r="701" spans="1:1" ht="12.75">
      <c r="A701" s="933"/>
    </row>
    <row r="702" spans="1:1" ht="12.75">
      <c r="A702" s="933"/>
    </row>
    <row r="703" spans="1:1" ht="12.75">
      <c r="A703" s="933"/>
    </row>
    <row r="704" spans="1:1" ht="12.75">
      <c r="A704" s="933"/>
    </row>
    <row r="705" spans="1:1" ht="12.75">
      <c r="A705" s="933"/>
    </row>
    <row r="706" spans="1:1" ht="12.75">
      <c r="A706" s="933"/>
    </row>
    <row r="707" spans="1:1" ht="12.75">
      <c r="A707" s="933"/>
    </row>
    <row r="708" spans="1:1" ht="12.75">
      <c r="A708" s="933"/>
    </row>
    <row r="709" spans="1:1" ht="12.75">
      <c r="A709" s="933"/>
    </row>
    <row r="710" spans="1:1" ht="12.75">
      <c r="A710" s="933"/>
    </row>
    <row r="711" spans="1:1" ht="12.75">
      <c r="A711" s="933"/>
    </row>
    <row r="712" spans="1:1" ht="12.75">
      <c r="A712" s="933"/>
    </row>
    <row r="713" spans="1:1" ht="12.75">
      <c r="A713" s="933"/>
    </row>
    <row r="714" spans="1:1" ht="12.75">
      <c r="A714" s="933"/>
    </row>
    <row r="715" spans="1:1" ht="12.75">
      <c r="A715" s="933"/>
    </row>
    <row r="716" spans="1:1" ht="12.75">
      <c r="A716" s="933"/>
    </row>
    <row r="717" spans="1:1" ht="12.75">
      <c r="A717" s="933"/>
    </row>
    <row r="718" spans="1:1" ht="12.75">
      <c r="A718" s="933"/>
    </row>
    <row r="719" spans="1:1" ht="12.75">
      <c r="A719" s="933"/>
    </row>
    <row r="720" spans="1:1" ht="12.75">
      <c r="A720" s="933"/>
    </row>
    <row r="721" spans="1:1" ht="12.75">
      <c r="A721" s="933"/>
    </row>
    <row r="722" spans="1:1" ht="12.75">
      <c r="A722" s="933"/>
    </row>
    <row r="723" spans="1:1" ht="12.75">
      <c r="A723" s="933"/>
    </row>
    <row r="724" spans="1:1" ht="12.75">
      <c r="A724" s="933"/>
    </row>
    <row r="725" spans="1:1" ht="12.75">
      <c r="A725" s="933"/>
    </row>
    <row r="726" spans="1:1" ht="12.75">
      <c r="A726" s="933"/>
    </row>
    <row r="727" spans="1:1" ht="12.75">
      <c r="A727" s="933"/>
    </row>
    <row r="728" spans="1:1" ht="12.75">
      <c r="A728" s="933"/>
    </row>
    <row r="729" spans="1:1" ht="12.75">
      <c r="A729" s="933"/>
    </row>
    <row r="730" spans="1:1" ht="12.75">
      <c r="A730" s="933"/>
    </row>
    <row r="731" spans="1:1" ht="12.75">
      <c r="A731" s="933"/>
    </row>
    <row r="732" spans="1:1" ht="12.75">
      <c r="A732" s="933"/>
    </row>
    <row r="733" spans="1:1" ht="12.75">
      <c r="A733" s="933"/>
    </row>
    <row r="734" spans="1:1" ht="12.75">
      <c r="A734" s="933"/>
    </row>
    <row r="735" spans="1:1" ht="12.75">
      <c r="A735" s="933"/>
    </row>
    <row r="736" spans="1:1" ht="12.75">
      <c r="A736" s="933"/>
    </row>
    <row r="737" spans="1:1" ht="12.75">
      <c r="A737" s="933"/>
    </row>
    <row r="738" spans="1:1" ht="12.75">
      <c r="A738" s="933"/>
    </row>
    <row r="739" spans="1:1" ht="12.75">
      <c r="A739" s="933"/>
    </row>
    <row r="740" spans="1:1" ht="12.75">
      <c r="A740" s="933"/>
    </row>
    <row r="741" spans="1:1" ht="12.75">
      <c r="A741" s="933"/>
    </row>
    <row r="742" spans="1:1" ht="12.75">
      <c r="A742" s="933"/>
    </row>
    <row r="743" spans="1:1" ht="12.75">
      <c r="A743" s="933"/>
    </row>
    <row r="744" spans="1:1" ht="12.75">
      <c r="A744" s="933"/>
    </row>
    <row r="745" spans="1:1" ht="12.75">
      <c r="A745" s="933"/>
    </row>
    <row r="746" spans="1:1" ht="12.75">
      <c r="A746" s="933"/>
    </row>
    <row r="747" spans="1:1" ht="12.75">
      <c r="A747" s="933"/>
    </row>
    <row r="748" spans="1:1" ht="12.75">
      <c r="A748" s="933"/>
    </row>
    <row r="749" spans="1:1" ht="12.75">
      <c r="A749" s="933"/>
    </row>
    <row r="750" spans="1:1" ht="12.75">
      <c r="A750" s="933"/>
    </row>
    <row r="751" spans="1:1" ht="12.75">
      <c r="A751" s="933"/>
    </row>
    <row r="752" spans="1:1" ht="12.75">
      <c r="A752" s="933"/>
    </row>
    <row r="753" spans="1:1" ht="12.75">
      <c r="A753" s="933"/>
    </row>
    <row r="754" spans="1:1" ht="12.75">
      <c r="A754" s="933"/>
    </row>
    <row r="755" spans="1:1" ht="12.75">
      <c r="A755" s="933"/>
    </row>
    <row r="756" spans="1:1" ht="12.75">
      <c r="A756" s="933"/>
    </row>
    <row r="757" spans="1:1" ht="12.75">
      <c r="A757" s="933"/>
    </row>
    <row r="758" spans="1:1" ht="12.75">
      <c r="A758" s="933"/>
    </row>
    <row r="759" spans="1:1" ht="12.75">
      <c r="A759" s="933"/>
    </row>
    <row r="760" spans="1:1" ht="12.75">
      <c r="A760" s="933"/>
    </row>
    <row r="761" spans="1:1" ht="12.75">
      <c r="A761" s="933"/>
    </row>
    <row r="762" spans="1:1" ht="12.75">
      <c r="A762" s="933"/>
    </row>
    <row r="763" spans="1:1" ht="12.75">
      <c r="A763" s="933"/>
    </row>
    <row r="764" spans="1:1" ht="12.75">
      <c r="A764" s="933"/>
    </row>
    <row r="765" spans="1:1" ht="12.75">
      <c r="A765" s="933"/>
    </row>
    <row r="766" spans="1:1" ht="12.75">
      <c r="A766" s="933"/>
    </row>
    <row r="767" spans="1:1" ht="12.75">
      <c r="A767" s="933"/>
    </row>
    <row r="768" spans="1:1" ht="12.75">
      <c r="A768" s="933"/>
    </row>
    <row r="769" spans="1:1" ht="12.75">
      <c r="A769" s="933"/>
    </row>
    <row r="770" spans="1:1" ht="12.75">
      <c r="A770" s="933"/>
    </row>
    <row r="771" spans="1:1" ht="12.75">
      <c r="A771" s="933"/>
    </row>
    <row r="772" spans="1:1" ht="12.75">
      <c r="A772" s="933"/>
    </row>
    <row r="773" spans="1:1" ht="12.75">
      <c r="A773" s="933"/>
    </row>
    <row r="774" spans="1:1" ht="12.75">
      <c r="A774" s="933"/>
    </row>
    <row r="775" spans="1:1" ht="12.75">
      <c r="A775" s="933"/>
    </row>
    <row r="776" spans="1:1" ht="12.75">
      <c r="A776" s="933"/>
    </row>
    <row r="777" spans="1:1" ht="12.75">
      <c r="A777" s="933"/>
    </row>
    <row r="778" spans="1:1" ht="12.75">
      <c r="A778" s="933"/>
    </row>
    <row r="779" spans="1:1" ht="12.75">
      <c r="A779" s="933"/>
    </row>
    <row r="780" spans="1:1" ht="12.75">
      <c r="A780" s="933"/>
    </row>
    <row r="781" spans="1:1" ht="12.75">
      <c r="A781" s="933"/>
    </row>
    <row r="782" spans="1:1" ht="12.75">
      <c r="A782" s="933"/>
    </row>
    <row r="783" spans="1:1" ht="12.75">
      <c r="A783" s="933"/>
    </row>
    <row r="784" spans="1:1" ht="12.75">
      <c r="A784" s="933"/>
    </row>
    <row r="785" spans="1:1" ht="12.75">
      <c r="A785" s="933"/>
    </row>
    <row r="786" spans="1:1" ht="12.75">
      <c r="A786" s="933"/>
    </row>
    <row r="787" spans="1:1" ht="12.75">
      <c r="A787" s="933"/>
    </row>
    <row r="788" spans="1:1" ht="12.75">
      <c r="A788" s="933"/>
    </row>
    <row r="789" spans="1:1" ht="12.75">
      <c r="A789" s="933"/>
    </row>
    <row r="790" spans="1:1" ht="12.75">
      <c r="A790" s="933"/>
    </row>
    <row r="791" spans="1:1" ht="12.75">
      <c r="A791" s="933"/>
    </row>
    <row r="792" spans="1:1" ht="12.75">
      <c r="A792" s="933"/>
    </row>
    <row r="793" spans="1:1" ht="12.75">
      <c r="A793" s="933"/>
    </row>
    <row r="794" spans="1:1" ht="12.75">
      <c r="A794" s="933"/>
    </row>
    <row r="795" spans="1:1" ht="12.75">
      <c r="A795" s="933"/>
    </row>
    <row r="796" spans="1:1" ht="12.75">
      <c r="A796" s="933"/>
    </row>
    <row r="797" spans="1:1" ht="12.75">
      <c r="A797" s="933"/>
    </row>
    <row r="798" spans="1:1" ht="12.75">
      <c r="A798" s="933"/>
    </row>
    <row r="799" spans="1:1" ht="12.75">
      <c r="A799" s="933"/>
    </row>
    <row r="800" spans="1:1" ht="12.75">
      <c r="A800" s="933"/>
    </row>
    <row r="801" spans="1:1" ht="12.75">
      <c r="A801" s="933"/>
    </row>
    <row r="802" spans="1:1" ht="12.75">
      <c r="A802" s="933"/>
    </row>
    <row r="803" spans="1:1" ht="12.75">
      <c r="A803" s="933"/>
    </row>
    <row r="804" spans="1:1" ht="12.75">
      <c r="A804" s="933"/>
    </row>
    <row r="805" spans="1:1" ht="12.75">
      <c r="A805" s="933"/>
    </row>
    <row r="806" spans="1:1" ht="12.75">
      <c r="A806" s="933"/>
    </row>
    <row r="807" spans="1:1" ht="12.75">
      <c r="A807" s="933"/>
    </row>
    <row r="808" spans="1:1" ht="12.75">
      <c r="A808" s="933"/>
    </row>
    <row r="809" spans="1:1" ht="12.75">
      <c r="A809" s="933"/>
    </row>
    <row r="810" spans="1:1" ht="12.75">
      <c r="A810" s="933"/>
    </row>
    <row r="811" spans="1:1" ht="12.75">
      <c r="A811" s="933"/>
    </row>
    <row r="812" spans="1:1" ht="12.75">
      <c r="A812" s="933"/>
    </row>
    <row r="813" spans="1:1" ht="12.75">
      <c r="A813" s="933"/>
    </row>
    <row r="814" spans="1:1" ht="12.75">
      <c r="A814" s="933"/>
    </row>
    <row r="815" spans="1:1" ht="12.75">
      <c r="A815" s="933"/>
    </row>
    <row r="816" spans="1:1" ht="12.75">
      <c r="A816" s="933"/>
    </row>
    <row r="817" spans="1:1" ht="12.75">
      <c r="A817" s="933"/>
    </row>
    <row r="818" spans="1:1" ht="12.75">
      <c r="A818" s="933"/>
    </row>
    <row r="819" spans="1:1" ht="12.75">
      <c r="A819" s="933"/>
    </row>
    <row r="820" spans="1:1" ht="12.75">
      <c r="A820" s="933"/>
    </row>
    <row r="821" spans="1:1" ht="12.75">
      <c r="A821" s="933"/>
    </row>
    <row r="822" spans="1:1" ht="12.75">
      <c r="A822" s="933"/>
    </row>
    <row r="823" spans="1:1" ht="12.75">
      <c r="A823" s="933"/>
    </row>
    <row r="824" spans="1:1" ht="12.75">
      <c r="A824" s="933"/>
    </row>
    <row r="825" spans="1:1" ht="12.75">
      <c r="A825" s="933"/>
    </row>
    <row r="826" spans="1:1" ht="12.75">
      <c r="A826" s="933"/>
    </row>
    <row r="827" spans="1:1" ht="12.75">
      <c r="A827" s="933"/>
    </row>
    <row r="828" spans="1:1" ht="12.75">
      <c r="A828" s="933"/>
    </row>
    <row r="829" spans="1:1" ht="12.75">
      <c r="A829" s="933"/>
    </row>
    <row r="830" spans="1:1" ht="12.75">
      <c r="A830" s="933"/>
    </row>
    <row r="831" spans="1:1" ht="12.75">
      <c r="A831" s="933"/>
    </row>
    <row r="832" spans="1:1" ht="12.75">
      <c r="A832" s="933"/>
    </row>
    <row r="833" spans="1:1" ht="12.75">
      <c r="A833" s="933"/>
    </row>
    <row r="834" spans="1:1" ht="12.75">
      <c r="A834" s="933"/>
    </row>
    <row r="835" spans="1:1" ht="12.75">
      <c r="A835" s="933"/>
    </row>
    <row r="836" spans="1:1" ht="12.75">
      <c r="A836" s="933"/>
    </row>
    <row r="837" spans="1:1" ht="12.75">
      <c r="A837" s="933"/>
    </row>
    <row r="838" spans="1:1" ht="12.75">
      <c r="A838" s="933"/>
    </row>
    <row r="839" spans="1:1" ht="12.75">
      <c r="A839" s="933"/>
    </row>
    <row r="840" spans="1:1" ht="12.75">
      <c r="A840" s="933"/>
    </row>
    <row r="841" spans="1:1" ht="12.75">
      <c r="A841" s="933"/>
    </row>
    <row r="842" spans="1:1" ht="12.75">
      <c r="A842" s="933"/>
    </row>
    <row r="843" spans="1:1" ht="12.75">
      <c r="A843" s="933"/>
    </row>
    <row r="844" spans="1:1" ht="12.75">
      <c r="A844" s="933"/>
    </row>
    <row r="845" spans="1:1" ht="12.75">
      <c r="A845" s="933"/>
    </row>
    <row r="846" spans="1:1" ht="12.75">
      <c r="A846" s="933"/>
    </row>
    <row r="847" spans="1:1" ht="12.75">
      <c r="A847" s="933"/>
    </row>
    <row r="848" spans="1:1" ht="12.75">
      <c r="A848" s="933"/>
    </row>
    <row r="849" spans="1:1" ht="12.75">
      <c r="A849" s="933"/>
    </row>
    <row r="850" spans="1:1" ht="12.75">
      <c r="A850" s="933"/>
    </row>
    <row r="851" spans="1:1" ht="12.75">
      <c r="A851" s="933"/>
    </row>
    <row r="852" spans="1:1" ht="12.75">
      <c r="A852" s="933"/>
    </row>
    <row r="853" spans="1:1" ht="12.75">
      <c r="A853" s="933"/>
    </row>
    <row r="854" spans="1:1" ht="12.75">
      <c r="A854" s="933"/>
    </row>
    <row r="855" spans="1:1" ht="12.75">
      <c r="A855" s="933"/>
    </row>
    <row r="856" spans="1:1" ht="12.75">
      <c r="A856" s="933"/>
    </row>
    <row r="857" spans="1:1" ht="12.75">
      <c r="A857" s="933"/>
    </row>
    <row r="858" spans="1:1" ht="12.75">
      <c r="A858" s="933"/>
    </row>
    <row r="859" spans="1:1" ht="12.75">
      <c r="A859" s="933"/>
    </row>
    <row r="860" spans="1:1" ht="12.75">
      <c r="A860" s="933"/>
    </row>
    <row r="861" spans="1:1" ht="12.75">
      <c r="A861" s="933"/>
    </row>
    <row r="862" spans="1:1" ht="12.75">
      <c r="A862" s="933"/>
    </row>
    <row r="863" spans="1:1" ht="12.75">
      <c r="A863" s="933"/>
    </row>
    <row r="864" spans="1:1" ht="12.75">
      <c r="A864" s="933"/>
    </row>
    <row r="865" spans="1:1" ht="12.75">
      <c r="A865" s="933"/>
    </row>
    <row r="866" spans="1:1" ht="12.75">
      <c r="A866" s="933"/>
    </row>
    <row r="867" spans="1:1" ht="12.75">
      <c r="A867" s="933"/>
    </row>
    <row r="868" spans="1:1" ht="12.75">
      <c r="A868" s="933"/>
    </row>
    <row r="869" spans="1:1" ht="12.75">
      <c r="A869" s="933"/>
    </row>
    <row r="870" spans="1:1" ht="12.75">
      <c r="A870" s="933"/>
    </row>
    <row r="871" spans="1:1" ht="12.75">
      <c r="A871" s="933"/>
    </row>
    <row r="872" spans="1:1" ht="12.75">
      <c r="A872" s="933"/>
    </row>
    <row r="873" spans="1:1" ht="12.75">
      <c r="A873" s="933"/>
    </row>
    <row r="874" spans="1:1" ht="12.75">
      <c r="A874" s="933"/>
    </row>
    <row r="875" spans="1:1" ht="12.75">
      <c r="A875" s="933"/>
    </row>
    <row r="876" spans="1:1" ht="12.75">
      <c r="A876" s="933"/>
    </row>
    <row r="877" spans="1:1" ht="12.75">
      <c r="A877" s="933"/>
    </row>
    <row r="878" spans="1:1" ht="12.75">
      <c r="A878" s="933"/>
    </row>
    <row r="879" spans="1:1" ht="12.75">
      <c r="A879" s="933"/>
    </row>
    <row r="880" spans="1:1" ht="12.75">
      <c r="A880" s="933"/>
    </row>
    <row r="881" spans="1:1" ht="12.75">
      <c r="A881" s="933"/>
    </row>
    <row r="882" spans="1:1" ht="12.75">
      <c r="A882" s="933"/>
    </row>
    <row r="883" spans="1:1" ht="12.75">
      <c r="A883" s="933"/>
    </row>
    <row r="884" spans="1:1" ht="12.75">
      <c r="A884" s="933"/>
    </row>
    <row r="885" spans="1:1" ht="12.75">
      <c r="A885" s="933"/>
    </row>
    <row r="886" spans="1:1" ht="12.75">
      <c r="A886" s="933"/>
    </row>
    <row r="887" spans="1:1" ht="12.75">
      <c r="A887" s="933"/>
    </row>
    <row r="888" spans="1:1" ht="12.75">
      <c r="A888" s="933"/>
    </row>
    <row r="889" spans="1:1" ht="12.75">
      <c r="A889" s="933"/>
    </row>
    <row r="890" spans="1:1" ht="12.75">
      <c r="A890" s="933"/>
    </row>
    <row r="891" spans="1:1" ht="12.75">
      <c r="A891" s="933"/>
    </row>
    <row r="892" spans="1:1" ht="12.75">
      <c r="A892" s="933"/>
    </row>
    <row r="893" spans="1:1" ht="12.75">
      <c r="A893" s="933"/>
    </row>
    <row r="894" spans="1:1" ht="12.75">
      <c r="A894" s="933"/>
    </row>
    <row r="895" spans="1:1" ht="12.75">
      <c r="A895" s="933"/>
    </row>
    <row r="896" spans="1:1" ht="12.75">
      <c r="A896" s="933"/>
    </row>
    <row r="897" spans="1:1" ht="12.75">
      <c r="A897" s="933"/>
    </row>
    <row r="898" spans="1:1" ht="12.75">
      <c r="A898" s="933"/>
    </row>
    <row r="899" spans="1:1" ht="12.75">
      <c r="A899" s="933"/>
    </row>
    <row r="900" spans="1:1" ht="12.75">
      <c r="A900" s="933"/>
    </row>
    <row r="901" spans="1:1" ht="12.75">
      <c r="A901" s="933"/>
    </row>
    <row r="902" spans="1:1" ht="12.75">
      <c r="A902" s="933"/>
    </row>
    <row r="903" spans="1:1" ht="12.75">
      <c r="A903" s="933"/>
    </row>
    <row r="904" spans="1:1" ht="12.75">
      <c r="A904" s="933"/>
    </row>
    <row r="905" spans="1:1" ht="12.75">
      <c r="A905" s="933"/>
    </row>
    <row r="906" spans="1:1" ht="12.75">
      <c r="A906" s="933"/>
    </row>
    <row r="907" spans="1:1" ht="12.75">
      <c r="A907" s="933"/>
    </row>
    <row r="908" spans="1:1" ht="12.75">
      <c r="A908" s="933"/>
    </row>
    <row r="909" spans="1:1" ht="12.75">
      <c r="A909" s="933"/>
    </row>
    <row r="910" spans="1:1" ht="12.75">
      <c r="A910" s="933"/>
    </row>
    <row r="911" spans="1:1" ht="12.75">
      <c r="A911" s="933"/>
    </row>
    <row r="912" spans="1:1" ht="12.75">
      <c r="A912" s="933"/>
    </row>
    <row r="913" spans="1:1" ht="12.75">
      <c r="A913" s="933"/>
    </row>
    <row r="914" spans="1:1" ht="12.75">
      <c r="A914" s="933"/>
    </row>
    <row r="915" spans="1:1" ht="12.75">
      <c r="A915" s="933"/>
    </row>
    <row r="916" spans="1:1" ht="12.75">
      <c r="A916" s="933"/>
    </row>
    <row r="917" spans="1:1" ht="12.75">
      <c r="A917" s="933"/>
    </row>
    <row r="918" spans="1:1" ht="12.75">
      <c r="A918" s="933"/>
    </row>
    <row r="919" spans="1:1" ht="12.75">
      <c r="A919" s="933"/>
    </row>
    <row r="920" spans="1:1" ht="12.75">
      <c r="A920" s="933"/>
    </row>
    <row r="921" spans="1:1" ht="12.75">
      <c r="A921" s="933"/>
    </row>
    <row r="922" spans="1:1" ht="12.75">
      <c r="A922" s="933"/>
    </row>
    <row r="923" spans="1:1" ht="12.75">
      <c r="A923" s="933"/>
    </row>
    <row r="924" spans="1:1" ht="12.75">
      <c r="A924" s="933"/>
    </row>
    <row r="925" spans="1:1" ht="12.75">
      <c r="A925" s="933"/>
    </row>
    <row r="926" spans="1:1" ht="12.75">
      <c r="A926" s="933"/>
    </row>
    <row r="927" spans="1:1" ht="12.75">
      <c r="A927" s="933"/>
    </row>
    <row r="928" spans="1:1" ht="12.75">
      <c r="A928" s="933"/>
    </row>
    <row r="929" spans="1:1" ht="12.75">
      <c r="A929" s="933"/>
    </row>
    <row r="930" spans="1:1" ht="12.75">
      <c r="A930" s="933"/>
    </row>
    <row r="931" spans="1:1" ht="12.75">
      <c r="A931" s="933"/>
    </row>
    <row r="932" spans="1:1" ht="12.75">
      <c r="A932" s="933"/>
    </row>
    <row r="933" spans="1:1" ht="12.75">
      <c r="A933" s="933"/>
    </row>
    <row r="934" spans="1:1" ht="12.75">
      <c r="A934" s="933"/>
    </row>
    <row r="935" spans="1:1" ht="12.75">
      <c r="A935" s="933"/>
    </row>
    <row r="936" spans="1:1" ht="12.75">
      <c r="A936" s="933"/>
    </row>
    <row r="937" spans="1:1" ht="12.75">
      <c r="A937" s="933"/>
    </row>
    <row r="938" spans="1:1" ht="12.75">
      <c r="A938" s="933"/>
    </row>
    <row r="939" spans="1:1" ht="12.75">
      <c r="A939" s="933"/>
    </row>
    <row r="940" spans="1:1" ht="12.75">
      <c r="A940" s="933"/>
    </row>
    <row r="941" spans="1:1" ht="12.75">
      <c r="A941" s="933"/>
    </row>
    <row r="942" spans="1:1" ht="12.75">
      <c r="A942" s="933"/>
    </row>
    <row r="943" spans="1:1" ht="12.75">
      <c r="A943" s="933"/>
    </row>
    <row r="944" spans="1:1" ht="12.75">
      <c r="A944" s="933"/>
    </row>
    <row r="945" spans="1:1" ht="12.75">
      <c r="A945" s="933"/>
    </row>
    <row r="946" spans="1:1" ht="12.75">
      <c r="A946" s="933"/>
    </row>
    <row r="947" spans="1:1" ht="12.75">
      <c r="A947" s="933"/>
    </row>
    <row r="948" spans="1:1" ht="12.75">
      <c r="A948" s="933"/>
    </row>
    <row r="949" spans="1:1" ht="12.75">
      <c r="A949" s="933"/>
    </row>
    <row r="950" spans="1:1" ht="12.75">
      <c r="A950" s="933"/>
    </row>
    <row r="951" spans="1:1" ht="12.75">
      <c r="A951" s="933"/>
    </row>
    <row r="952" spans="1:1" ht="12.75">
      <c r="A952" s="933"/>
    </row>
    <row r="953" spans="1:1" ht="12.75">
      <c r="A953" s="933"/>
    </row>
    <row r="954" spans="1:1" ht="12.75">
      <c r="A954" s="933"/>
    </row>
    <row r="955" spans="1:1" ht="12.75">
      <c r="A955" s="933"/>
    </row>
    <row r="956" spans="1:1" ht="12.75">
      <c r="A956" s="933"/>
    </row>
    <row r="957" spans="1:1" ht="12.75">
      <c r="A957" s="933"/>
    </row>
    <row r="958" spans="1:1" ht="12.75">
      <c r="A958" s="933"/>
    </row>
    <row r="959" spans="1:1" ht="12.75">
      <c r="A959" s="933"/>
    </row>
    <row r="960" spans="1:1" ht="12.75">
      <c r="A960" s="933"/>
    </row>
    <row r="961" spans="1:1" ht="12.75">
      <c r="A961" s="933"/>
    </row>
    <row r="962" spans="1:1" ht="12.75">
      <c r="A962" s="933"/>
    </row>
    <row r="963" spans="1:1" ht="12.75">
      <c r="A963" s="933"/>
    </row>
    <row r="964" spans="1:1" ht="12.75">
      <c r="A964" s="933"/>
    </row>
    <row r="965" spans="1:1" ht="12.75">
      <c r="A965" s="933"/>
    </row>
    <row r="966" spans="1:1" ht="12.75">
      <c r="A966" s="933"/>
    </row>
    <row r="967" spans="1:1" ht="12.75">
      <c r="A967" s="933"/>
    </row>
    <row r="968" spans="1:1" ht="12.75">
      <c r="A968" s="933"/>
    </row>
    <row r="969" spans="1:1" ht="12.75">
      <c r="A969" s="933"/>
    </row>
    <row r="970" spans="1:1" ht="12.75">
      <c r="A970" s="933"/>
    </row>
    <row r="971" spans="1:1" ht="12.75">
      <c r="A971" s="933"/>
    </row>
    <row r="972" spans="1:1" ht="12.75">
      <c r="A972" s="933"/>
    </row>
    <row r="973" spans="1:1" ht="12.75">
      <c r="A973" s="933"/>
    </row>
    <row r="974" spans="1:1" ht="12.75">
      <c r="A974" s="933"/>
    </row>
    <row r="975" spans="1:1" ht="12.75">
      <c r="A975" s="933"/>
    </row>
    <row r="976" spans="1:1" ht="12.75">
      <c r="A976" s="933"/>
    </row>
    <row r="977" spans="1:1" ht="12.75">
      <c r="A977" s="933"/>
    </row>
    <row r="978" spans="1:1" ht="12.75">
      <c r="A978" s="933"/>
    </row>
    <row r="979" spans="1:1" ht="12.75">
      <c r="A979" s="933"/>
    </row>
    <row r="980" spans="1:1" ht="12.75">
      <c r="A980" s="933"/>
    </row>
    <row r="981" spans="1:1" ht="12.75">
      <c r="A981" s="933"/>
    </row>
    <row r="982" spans="1:1" ht="12.75">
      <c r="A982" s="933"/>
    </row>
    <row r="983" spans="1:1" ht="12.75">
      <c r="A983" s="933"/>
    </row>
    <row r="984" spans="1:1" ht="12.75">
      <c r="A984" s="933"/>
    </row>
    <row r="985" spans="1:1" ht="12.75">
      <c r="A985" s="933"/>
    </row>
    <row r="986" spans="1:1" ht="12.75">
      <c r="A986" s="933"/>
    </row>
    <row r="987" spans="1:1" ht="12.75">
      <c r="A987" s="933"/>
    </row>
    <row r="988" spans="1:1" ht="12.75">
      <c r="A988" s="933"/>
    </row>
    <row r="989" spans="1:1" ht="12.75">
      <c r="A989" s="933"/>
    </row>
    <row r="990" spans="1:1" ht="12.75">
      <c r="A990" s="933"/>
    </row>
    <row r="991" spans="1:1" ht="12.75">
      <c r="A991" s="933"/>
    </row>
    <row r="992" spans="1:1" ht="12.75">
      <c r="A992" s="933"/>
    </row>
    <row r="993" spans="1:1" ht="12.75">
      <c r="A993" s="933"/>
    </row>
    <row r="994" spans="1:1" ht="12.75">
      <c r="A994" s="933"/>
    </row>
    <row r="995" spans="1:1" ht="12.75">
      <c r="A995" s="933"/>
    </row>
    <row r="996" spans="1:1" ht="12.75">
      <c r="A996" s="933"/>
    </row>
    <row r="997" spans="1:1" ht="12.75">
      <c r="A997" s="933"/>
    </row>
    <row r="998" spans="1:1" ht="12.75">
      <c r="A998" s="933"/>
    </row>
    <row r="999" spans="1:1" ht="12.75">
      <c r="A999" s="933"/>
    </row>
    <row r="1000" spans="1:1" ht="12.75">
      <c r="A1000" s="933"/>
    </row>
    <row r="1001" spans="1:1" ht="12.75">
      <c r="A1001" s="933"/>
    </row>
    <row r="1002" spans="1:1" ht="12.75">
      <c r="A1002" s="933"/>
    </row>
    <row r="1003" spans="1:1" ht="12.75">
      <c r="A1003" s="933"/>
    </row>
    <row r="1004" spans="1:1" ht="12.75">
      <c r="A1004" s="933"/>
    </row>
  </sheetData>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80000"/>
    <outlinePr summaryBelow="0" summaryRight="0"/>
  </sheetPr>
  <dimension ref="A1:Z8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42" customWidth="1"/>
    <col min="2" max="2" width="16.7109375" customWidth="1"/>
    <col min="3" max="3" width="17.140625" customWidth="1"/>
    <col min="4" max="4" width="17.42578125" customWidth="1"/>
    <col min="5" max="5" width="16.42578125" customWidth="1"/>
    <col min="24" max="25" width="15" customWidth="1"/>
    <col min="26" max="26" width="14.5703125" customWidth="1"/>
  </cols>
  <sheetData>
    <row r="1" spans="1:26" ht="35.25" customHeight="1">
      <c r="A1" s="651" t="s">
        <v>551</v>
      </c>
      <c r="B1" s="652" t="s">
        <v>552</v>
      </c>
      <c r="C1" s="653" t="s">
        <v>347</v>
      </c>
      <c r="D1" s="653" t="s">
        <v>553</v>
      </c>
      <c r="E1" s="652" t="s">
        <v>350</v>
      </c>
      <c r="F1" s="654" t="s">
        <v>351</v>
      </c>
      <c r="G1" s="654" t="s">
        <v>352</v>
      </c>
      <c r="H1" s="654" t="s">
        <v>353</v>
      </c>
      <c r="I1" s="655" t="s">
        <v>355</v>
      </c>
      <c r="J1" s="654" t="s">
        <v>554</v>
      </c>
      <c r="K1" s="653" t="s">
        <v>555</v>
      </c>
      <c r="L1" s="654" t="s">
        <v>556</v>
      </c>
      <c r="M1" s="654" t="s">
        <v>557</v>
      </c>
      <c r="N1" s="654" t="s">
        <v>558</v>
      </c>
      <c r="O1" s="654" t="s">
        <v>559</v>
      </c>
      <c r="P1" s="652" t="s">
        <v>359</v>
      </c>
      <c r="Q1" s="652" t="s">
        <v>360</v>
      </c>
      <c r="R1" s="655" t="s">
        <v>361</v>
      </c>
      <c r="S1" s="652" t="s">
        <v>362</v>
      </c>
      <c r="T1" s="652" t="s">
        <v>363</v>
      </c>
      <c r="U1" s="652" t="s">
        <v>364</v>
      </c>
      <c r="V1" s="652" t="s">
        <v>560</v>
      </c>
      <c r="W1" s="652" t="s">
        <v>561</v>
      </c>
      <c r="X1" s="652" t="s">
        <v>365</v>
      </c>
      <c r="Y1" s="652" t="s">
        <v>366</v>
      </c>
      <c r="Z1" s="652" t="s">
        <v>368</v>
      </c>
    </row>
    <row r="2" spans="1:26" ht="137.25" customHeight="1">
      <c r="A2" s="656" t="s">
        <v>562</v>
      </c>
      <c r="B2" s="657"/>
      <c r="C2" s="657"/>
      <c r="D2" s="657"/>
      <c r="E2" s="657"/>
      <c r="F2" s="658"/>
      <c r="G2" s="658"/>
      <c r="H2" s="658"/>
      <c r="I2" s="659"/>
      <c r="J2" s="658"/>
      <c r="K2" s="659"/>
      <c r="L2" s="658"/>
      <c r="M2" s="658"/>
      <c r="N2" s="658"/>
      <c r="O2" s="658"/>
      <c r="P2" s="658"/>
      <c r="Q2" s="658"/>
      <c r="R2" s="660"/>
      <c r="S2" s="658"/>
      <c r="T2" s="658"/>
      <c r="U2" s="658"/>
      <c r="V2" s="658"/>
      <c r="W2" s="659"/>
      <c r="X2" s="658"/>
      <c r="Y2" s="658"/>
      <c r="Z2" s="657"/>
    </row>
    <row r="3" spans="1:26" ht="12.75">
      <c r="A3" s="661" t="s">
        <v>563</v>
      </c>
      <c r="B3" s="661">
        <v>84.46</v>
      </c>
      <c r="C3" s="662">
        <v>84.46</v>
      </c>
      <c r="D3" s="662">
        <v>84.46</v>
      </c>
      <c r="E3" s="663">
        <v>76.930000000000007</v>
      </c>
      <c r="F3" s="663">
        <v>215</v>
      </c>
      <c r="G3" s="663">
        <v>237</v>
      </c>
      <c r="H3" s="663">
        <v>245</v>
      </c>
      <c r="I3" s="664">
        <v>245</v>
      </c>
      <c r="J3" s="663">
        <v>343</v>
      </c>
      <c r="K3" s="662">
        <v>343</v>
      </c>
      <c r="L3" s="663">
        <v>44</v>
      </c>
      <c r="M3" s="663">
        <v>44</v>
      </c>
      <c r="N3" s="663">
        <v>105</v>
      </c>
      <c r="O3" s="663">
        <v>105</v>
      </c>
      <c r="P3" s="661">
        <v>91</v>
      </c>
      <c r="Q3" s="661">
        <v>84.5</v>
      </c>
      <c r="R3" s="665">
        <v>83</v>
      </c>
      <c r="S3" s="661">
        <v>121</v>
      </c>
      <c r="T3" s="661">
        <v>115</v>
      </c>
      <c r="U3" s="661">
        <v>89</v>
      </c>
      <c r="V3" s="661">
        <v>84.46</v>
      </c>
      <c r="W3" s="662">
        <v>84.46</v>
      </c>
      <c r="X3" s="661">
        <v>121</v>
      </c>
      <c r="Y3" s="661">
        <v>105</v>
      </c>
      <c r="Z3" s="661">
        <v>90</v>
      </c>
    </row>
    <row r="4" spans="1:26" ht="12.75">
      <c r="A4" s="661" t="s">
        <v>564</v>
      </c>
      <c r="B4" s="661">
        <v>57.06</v>
      </c>
      <c r="C4" s="662">
        <v>57.06</v>
      </c>
      <c r="D4" s="662">
        <v>57.06</v>
      </c>
      <c r="E4" s="666">
        <v>58</v>
      </c>
      <c r="F4" s="663">
        <v>182</v>
      </c>
      <c r="G4" s="663">
        <v>162</v>
      </c>
      <c r="H4" s="663">
        <v>178.5</v>
      </c>
      <c r="I4" s="663">
        <v>178.5</v>
      </c>
      <c r="J4" s="663">
        <v>262.60000000000002</v>
      </c>
      <c r="K4" s="662">
        <v>262.60000000000002</v>
      </c>
      <c r="L4" s="663">
        <v>34</v>
      </c>
      <c r="M4" s="663">
        <v>34</v>
      </c>
      <c r="N4" s="663">
        <v>71</v>
      </c>
      <c r="O4" s="663">
        <v>71</v>
      </c>
      <c r="P4" s="661">
        <v>63.6</v>
      </c>
      <c r="Q4" s="661">
        <v>59.7</v>
      </c>
      <c r="R4" s="665">
        <v>58.2</v>
      </c>
      <c r="S4" s="661">
        <v>108</v>
      </c>
      <c r="T4" s="661">
        <v>95</v>
      </c>
      <c r="U4" s="661">
        <v>66</v>
      </c>
      <c r="V4" s="661">
        <v>57.06</v>
      </c>
      <c r="W4" s="662">
        <v>57.06</v>
      </c>
      <c r="X4" s="661">
        <v>108</v>
      </c>
      <c r="Y4" s="661">
        <v>81</v>
      </c>
      <c r="Z4" s="661">
        <v>63</v>
      </c>
    </row>
    <row r="5" spans="1:26" ht="12.75">
      <c r="A5" s="661" t="s">
        <v>565</v>
      </c>
      <c r="B5" s="667" t="s">
        <v>293</v>
      </c>
      <c r="C5" s="668" t="s">
        <v>293</v>
      </c>
      <c r="D5" s="668" t="s">
        <v>293</v>
      </c>
      <c r="E5" s="669" t="s">
        <v>293</v>
      </c>
      <c r="F5" s="669" t="s">
        <v>293</v>
      </c>
      <c r="G5" s="669" t="s">
        <v>293</v>
      </c>
      <c r="H5" s="669" t="s">
        <v>293</v>
      </c>
      <c r="I5" s="670" t="s">
        <v>293</v>
      </c>
      <c r="J5" s="666">
        <v>204.5</v>
      </c>
      <c r="K5" s="662">
        <v>204.5</v>
      </c>
      <c r="L5" s="667" t="s">
        <v>293</v>
      </c>
      <c r="M5" s="669" t="s">
        <v>293</v>
      </c>
      <c r="N5" s="669" t="s">
        <v>293</v>
      </c>
      <c r="O5" s="669" t="s">
        <v>293</v>
      </c>
      <c r="P5" s="667" t="s">
        <v>293</v>
      </c>
      <c r="Q5" s="667" t="s">
        <v>293</v>
      </c>
      <c r="R5" s="602" t="s">
        <v>293</v>
      </c>
      <c r="S5" s="661">
        <v>82.3</v>
      </c>
      <c r="T5" s="661">
        <v>74.8</v>
      </c>
      <c r="U5" s="669" t="s">
        <v>293</v>
      </c>
      <c r="V5" s="667" t="s">
        <v>293</v>
      </c>
      <c r="W5" s="668" t="s">
        <v>293</v>
      </c>
      <c r="X5" s="661">
        <v>82.3</v>
      </c>
      <c r="Y5" s="661">
        <v>63</v>
      </c>
      <c r="Z5" s="667" t="s">
        <v>293</v>
      </c>
    </row>
    <row r="6" spans="1:26" ht="12.75">
      <c r="A6" s="661" t="s">
        <v>566</v>
      </c>
      <c r="B6" s="661">
        <v>127</v>
      </c>
      <c r="C6" s="662">
        <v>127</v>
      </c>
      <c r="D6" s="662">
        <v>127</v>
      </c>
      <c r="E6" s="663">
        <v>127</v>
      </c>
      <c r="F6" s="663">
        <v>200</v>
      </c>
      <c r="G6" s="663">
        <v>200</v>
      </c>
      <c r="H6" s="663">
        <v>230</v>
      </c>
      <c r="I6" s="664">
        <v>230</v>
      </c>
      <c r="J6" s="663">
        <v>260</v>
      </c>
      <c r="K6" s="662">
        <v>260</v>
      </c>
      <c r="L6" s="663">
        <v>120</v>
      </c>
      <c r="M6" s="663">
        <v>120</v>
      </c>
      <c r="N6" s="663">
        <v>170</v>
      </c>
      <c r="O6" s="663">
        <v>170</v>
      </c>
      <c r="P6" s="661">
        <v>127</v>
      </c>
      <c r="Q6" s="661">
        <v>127</v>
      </c>
      <c r="R6" s="665">
        <v>127</v>
      </c>
      <c r="S6" s="661">
        <v>160</v>
      </c>
      <c r="T6" s="661">
        <v>157</v>
      </c>
      <c r="U6" s="661">
        <v>157</v>
      </c>
      <c r="V6" s="661">
        <v>127</v>
      </c>
      <c r="W6" s="662">
        <v>127</v>
      </c>
      <c r="X6" s="661">
        <v>160</v>
      </c>
      <c r="Y6" s="661">
        <v>160</v>
      </c>
      <c r="Z6" s="661">
        <v>127</v>
      </c>
    </row>
    <row r="7" spans="1:26" ht="12.75">
      <c r="A7" s="661" t="s">
        <v>567</v>
      </c>
      <c r="B7" s="661">
        <v>2.85</v>
      </c>
      <c r="C7" s="662">
        <v>2.85</v>
      </c>
      <c r="D7" s="662">
        <v>2.85</v>
      </c>
      <c r="E7" s="663">
        <v>3.05</v>
      </c>
      <c r="F7" s="663">
        <v>4.16</v>
      </c>
      <c r="G7" s="663">
        <v>4.194</v>
      </c>
      <c r="H7" s="663">
        <v>3.7</v>
      </c>
      <c r="I7" s="664">
        <v>3.7</v>
      </c>
      <c r="J7" s="663">
        <v>4.5</v>
      </c>
      <c r="K7" s="662">
        <v>4.5</v>
      </c>
      <c r="L7" s="663">
        <v>2.0950000000000002</v>
      </c>
      <c r="M7" s="663">
        <v>2.0950000000000002</v>
      </c>
      <c r="N7" s="663">
        <v>2.9</v>
      </c>
      <c r="O7" s="663">
        <v>2.9</v>
      </c>
      <c r="P7" s="661">
        <v>3.02</v>
      </c>
      <c r="Q7" s="661">
        <v>2.8919999999999999</v>
      </c>
      <c r="R7" s="665">
        <v>2.8919999999999999</v>
      </c>
      <c r="S7" s="661">
        <v>2.9990000000000001</v>
      </c>
      <c r="T7" s="661">
        <v>2.992</v>
      </c>
      <c r="U7" s="661">
        <v>2.7480000000000002</v>
      </c>
      <c r="V7" s="661">
        <v>2.85</v>
      </c>
      <c r="W7" s="662">
        <v>2.85</v>
      </c>
      <c r="X7" s="661">
        <v>2.9990000000000001</v>
      </c>
      <c r="Y7" s="661">
        <v>3</v>
      </c>
      <c r="Z7" s="661">
        <v>2.85</v>
      </c>
    </row>
    <row r="8" spans="1:26" ht="20.25" customHeight="1">
      <c r="A8" s="671" t="s">
        <v>568</v>
      </c>
      <c r="B8" s="672"/>
      <c r="C8" s="673"/>
      <c r="D8" s="673"/>
      <c r="E8" s="672"/>
      <c r="F8" s="672"/>
      <c r="G8" s="672"/>
      <c r="H8" s="672"/>
      <c r="I8" s="673"/>
      <c r="J8" s="672"/>
      <c r="K8" s="673"/>
      <c r="L8" s="672"/>
      <c r="M8" s="672"/>
      <c r="N8" s="672"/>
      <c r="O8" s="672"/>
      <c r="P8" s="672"/>
      <c r="Q8" s="672"/>
      <c r="R8" s="674"/>
      <c r="S8" s="672"/>
      <c r="T8" s="672"/>
      <c r="U8" s="672"/>
      <c r="V8" s="672"/>
      <c r="W8" s="673"/>
      <c r="X8" s="672"/>
      <c r="Y8" s="672"/>
      <c r="Z8" s="672"/>
    </row>
    <row r="9" spans="1:26" ht="12.75">
      <c r="A9" s="661" t="s">
        <v>569</v>
      </c>
      <c r="B9" s="661">
        <v>10800</v>
      </c>
      <c r="C9" s="662">
        <v>10800</v>
      </c>
      <c r="D9" s="662">
        <v>10800</v>
      </c>
      <c r="E9" s="663">
        <v>18100</v>
      </c>
      <c r="F9" s="663">
        <v>60000</v>
      </c>
      <c r="G9" s="663">
        <v>50000</v>
      </c>
      <c r="H9" s="661">
        <v>25125</v>
      </c>
      <c r="I9" s="661">
        <v>25125</v>
      </c>
      <c r="J9" s="663">
        <v>55275</v>
      </c>
      <c r="K9" s="662">
        <v>55275</v>
      </c>
      <c r="L9" s="663">
        <v>9500</v>
      </c>
      <c r="M9" s="663">
        <v>9500</v>
      </c>
      <c r="N9" s="663">
        <v>13750</v>
      </c>
      <c r="O9" s="663">
        <v>13750</v>
      </c>
      <c r="P9" s="661">
        <v>11952.69</v>
      </c>
      <c r="Q9" s="661">
        <v>27900</v>
      </c>
      <c r="R9" s="665">
        <v>27900</v>
      </c>
      <c r="S9" s="661">
        <v>37675</v>
      </c>
      <c r="T9" s="661">
        <v>35200</v>
      </c>
      <c r="U9" s="661">
        <v>25000</v>
      </c>
      <c r="V9" s="661">
        <v>10800</v>
      </c>
      <c r="W9" s="662">
        <v>10800</v>
      </c>
      <c r="X9" s="661">
        <v>37675</v>
      </c>
      <c r="Y9" s="661">
        <v>17600</v>
      </c>
      <c r="Z9" s="661">
        <v>27000</v>
      </c>
    </row>
    <row r="10" spans="1:26" ht="16.5" customHeight="1">
      <c r="A10" s="661" t="s">
        <v>570</v>
      </c>
      <c r="B10" s="661">
        <v>5.3</v>
      </c>
      <c r="C10" s="662">
        <v>5.3</v>
      </c>
      <c r="D10" s="662">
        <v>5.3</v>
      </c>
      <c r="E10" s="663">
        <v>2.2000000000000002</v>
      </c>
      <c r="F10" s="663">
        <v>1.85</v>
      </c>
      <c r="G10" s="663">
        <v>3</v>
      </c>
      <c r="H10" s="663">
        <v>6</v>
      </c>
      <c r="I10" s="664">
        <v>6</v>
      </c>
      <c r="J10" s="663">
        <v>3.2</v>
      </c>
      <c r="K10" s="662">
        <v>3.2</v>
      </c>
      <c r="L10" s="663">
        <v>3</v>
      </c>
      <c r="M10" s="663">
        <v>3</v>
      </c>
      <c r="N10" s="663">
        <v>5.5</v>
      </c>
      <c r="O10" s="663">
        <v>5.5</v>
      </c>
      <c r="P10" s="661">
        <v>5.2</v>
      </c>
      <c r="Q10" s="661">
        <v>2</v>
      </c>
      <c r="R10" s="665">
        <v>2</v>
      </c>
      <c r="S10" s="661">
        <v>0.78500000000000003</v>
      </c>
      <c r="T10" s="661">
        <v>1.25</v>
      </c>
      <c r="U10" s="661">
        <v>2.2000000000000002</v>
      </c>
      <c r="V10" s="661">
        <v>5.3</v>
      </c>
      <c r="W10" s="662">
        <v>5.3</v>
      </c>
      <c r="X10" s="661">
        <v>0.78500000000000003</v>
      </c>
      <c r="Y10" s="661">
        <v>3</v>
      </c>
      <c r="Z10" s="661">
        <v>2.1</v>
      </c>
    </row>
    <row r="11" spans="1:26" ht="12.75">
      <c r="A11" s="661" t="str">
        <f>"Raw acceleration at ignition: [m/s"&amp;CHAR(178)&amp;"]"</f>
        <v>Raw acceleration at ignition: [m/s²]</v>
      </c>
      <c r="B11" s="675">
        <f t="shared" ref="B11:Z11" si="0">B9/B3</f>
        <v>127.87118162443761</v>
      </c>
      <c r="C11" s="676">
        <f t="shared" si="0"/>
        <v>127.87118162443761</v>
      </c>
      <c r="D11" s="676">
        <f t="shared" si="0"/>
        <v>127.87118162443761</v>
      </c>
      <c r="E11" s="677">
        <f t="shared" si="0"/>
        <v>235.27882490575846</v>
      </c>
      <c r="F11" s="678">
        <f t="shared" si="0"/>
        <v>279.06976744186045</v>
      </c>
      <c r="G11" s="678">
        <f t="shared" si="0"/>
        <v>210.9704641350211</v>
      </c>
      <c r="H11" s="675">
        <f t="shared" si="0"/>
        <v>102.55102040816327</v>
      </c>
      <c r="I11" s="679">
        <f t="shared" si="0"/>
        <v>102.55102040816327</v>
      </c>
      <c r="J11" s="675">
        <f t="shared" si="0"/>
        <v>161.15160349854227</v>
      </c>
      <c r="K11" s="676">
        <f t="shared" si="0"/>
        <v>161.15160349854227</v>
      </c>
      <c r="L11" s="678">
        <f t="shared" si="0"/>
        <v>215.90909090909091</v>
      </c>
      <c r="M11" s="678">
        <f t="shared" si="0"/>
        <v>215.90909090909091</v>
      </c>
      <c r="N11" s="678">
        <f t="shared" si="0"/>
        <v>130.95238095238096</v>
      </c>
      <c r="O11" s="678">
        <f t="shared" si="0"/>
        <v>130.95238095238096</v>
      </c>
      <c r="P11" s="675">
        <f t="shared" si="0"/>
        <v>131.34824175824176</v>
      </c>
      <c r="Q11" s="677">
        <f t="shared" si="0"/>
        <v>330.17751479289939</v>
      </c>
      <c r="R11" s="680">
        <f t="shared" si="0"/>
        <v>336.14457831325302</v>
      </c>
      <c r="S11" s="677">
        <f t="shared" si="0"/>
        <v>311.36363636363637</v>
      </c>
      <c r="T11" s="677">
        <f t="shared" si="0"/>
        <v>306.08695652173913</v>
      </c>
      <c r="U11" s="677">
        <f t="shared" si="0"/>
        <v>280.89887640449439</v>
      </c>
      <c r="V11" s="675">
        <f t="shared" si="0"/>
        <v>127.87118162443761</v>
      </c>
      <c r="W11" s="676">
        <f t="shared" si="0"/>
        <v>127.87118162443761</v>
      </c>
      <c r="X11" s="677">
        <f t="shared" si="0"/>
        <v>311.36363636363637</v>
      </c>
      <c r="Y11" s="677">
        <f t="shared" si="0"/>
        <v>167.61904761904762</v>
      </c>
      <c r="Z11" s="675">
        <f t="shared" si="0"/>
        <v>300</v>
      </c>
    </row>
    <row r="12" spans="1:26" ht="12.75">
      <c r="A12" s="661" t="s">
        <v>571</v>
      </c>
      <c r="B12" s="678">
        <f t="shared" ref="B12:Z12" si="1">B10*B9/(9.81*(B3-B4))</f>
        <v>212.95118194602563</v>
      </c>
      <c r="C12" s="676">
        <f t="shared" si="1"/>
        <v>212.95118194602563</v>
      </c>
      <c r="D12" s="676">
        <f t="shared" si="1"/>
        <v>212.95118194602563</v>
      </c>
      <c r="E12" s="675">
        <f t="shared" si="1"/>
        <v>214.42806886038096</v>
      </c>
      <c r="F12" s="675">
        <f t="shared" si="1"/>
        <v>342.87832452970065</v>
      </c>
      <c r="G12" s="678">
        <f t="shared" si="1"/>
        <v>203.87359836901121</v>
      </c>
      <c r="H12" s="675">
        <f t="shared" si="1"/>
        <v>231.08229288818376</v>
      </c>
      <c r="I12" s="679">
        <f t="shared" si="1"/>
        <v>231.08229288818376</v>
      </c>
      <c r="J12" s="675">
        <f t="shared" si="1"/>
        <v>224.26095820591237</v>
      </c>
      <c r="K12" s="676">
        <f t="shared" si="1"/>
        <v>224.26095820591237</v>
      </c>
      <c r="L12" s="678">
        <f t="shared" si="1"/>
        <v>290.51987767584097</v>
      </c>
      <c r="M12" s="675">
        <f t="shared" si="1"/>
        <v>290.51987767584097</v>
      </c>
      <c r="N12" s="675">
        <f t="shared" si="1"/>
        <v>226.73442465671283</v>
      </c>
      <c r="O12" s="675">
        <f t="shared" si="1"/>
        <v>226.73442465671283</v>
      </c>
      <c r="P12" s="678">
        <f t="shared" si="1"/>
        <v>231.2327953748968</v>
      </c>
      <c r="Q12" s="678">
        <f t="shared" si="1"/>
        <v>229.35779816513764</v>
      </c>
      <c r="R12" s="680">
        <f t="shared" si="1"/>
        <v>229.35779816513764</v>
      </c>
      <c r="S12" s="678">
        <f t="shared" si="1"/>
        <v>231.90523798321962</v>
      </c>
      <c r="T12" s="678">
        <f t="shared" si="1"/>
        <v>224.26095820591232</v>
      </c>
      <c r="U12" s="675">
        <f t="shared" si="1"/>
        <v>243.76191109338299</v>
      </c>
      <c r="V12" s="678">
        <f t="shared" si="1"/>
        <v>212.95118194602563</v>
      </c>
      <c r="W12" s="676">
        <f t="shared" si="1"/>
        <v>212.95118194602563</v>
      </c>
      <c r="X12" s="678">
        <f t="shared" si="1"/>
        <v>231.90523798321962</v>
      </c>
      <c r="Y12" s="678">
        <f t="shared" si="1"/>
        <v>224.26095820591235</v>
      </c>
      <c r="Z12" s="678">
        <f t="shared" si="1"/>
        <v>214.06727828746176</v>
      </c>
    </row>
    <row r="13" spans="1:26" ht="12.75">
      <c r="A13" s="661" t="s">
        <v>572</v>
      </c>
      <c r="B13" s="678">
        <f t="shared" ref="B13:Z13" si="2">B12*9.81*LN(B3/B4)</f>
        <v>819.27299419555425</v>
      </c>
      <c r="C13" s="676">
        <f t="shared" si="2"/>
        <v>819.27299419555425</v>
      </c>
      <c r="D13" s="676">
        <f t="shared" si="2"/>
        <v>819.27299419555425</v>
      </c>
      <c r="E13" s="675">
        <f t="shared" si="2"/>
        <v>594.15080579664902</v>
      </c>
      <c r="F13" s="678">
        <f t="shared" si="2"/>
        <v>560.48723808019054</v>
      </c>
      <c r="G13" s="678">
        <f t="shared" si="2"/>
        <v>760.92761180549428</v>
      </c>
      <c r="H13" s="675">
        <f t="shared" si="2"/>
        <v>717.86381362028226</v>
      </c>
      <c r="I13" s="679">
        <f t="shared" si="2"/>
        <v>717.86381362028226</v>
      </c>
      <c r="J13" s="675">
        <f t="shared" si="2"/>
        <v>587.61666765393693</v>
      </c>
      <c r="K13" s="676">
        <f t="shared" si="2"/>
        <v>587.61666765393693</v>
      </c>
      <c r="L13" s="678">
        <f t="shared" si="2"/>
        <v>734.81296151098456</v>
      </c>
      <c r="M13" s="678">
        <f t="shared" si="2"/>
        <v>734.81296151098456</v>
      </c>
      <c r="N13" s="678">
        <f t="shared" si="2"/>
        <v>870.31134645333032</v>
      </c>
      <c r="O13" s="678">
        <f t="shared" si="2"/>
        <v>870.31134645333032</v>
      </c>
      <c r="P13" s="678">
        <f t="shared" si="2"/>
        <v>812.64305960605225</v>
      </c>
      <c r="Q13" s="678">
        <f t="shared" si="2"/>
        <v>781.69390642028634</v>
      </c>
      <c r="R13" s="680">
        <f t="shared" si="2"/>
        <v>798.64931938321331</v>
      </c>
      <c r="S13" s="678">
        <f t="shared" si="2"/>
        <v>258.57385664692413</v>
      </c>
      <c r="T13" s="678">
        <f t="shared" si="2"/>
        <v>420.32152087796027</v>
      </c>
      <c r="U13" s="678">
        <f t="shared" si="2"/>
        <v>714.95606625279504</v>
      </c>
      <c r="V13" s="678">
        <f t="shared" si="2"/>
        <v>819.27299419555425</v>
      </c>
      <c r="W13" s="676">
        <f t="shared" si="2"/>
        <v>819.27299419555425</v>
      </c>
      <c r="X13" s="678">
        <f t="shared" si="2"/>
        <v>258.57385664692413</v>
      </c>
      <c r="Y13" s="678">
        <f t="shared" si="2"/>
        <v>570.92463006718617</v>
      </c>
      <c r="Z13" s="678">
        <f t="shared" si="2"/>
        <v>749.01738227133808</v>
      </c>
    </row>
    <row r="14" spans="1:26" ht="18" customHeight="1">
      <c r="A14" s="681" t="s">
        <v>573</v>
      </c>
      <c r="B14" s="661">
        <v>0</v>
      </c>
      <c r="C14" s="662">
        <v>0</v>
      </c>
      <c r="D14" s="662">
        <v>0</v>
      </c>
      <c r="E14" s="663">
        <v>0</v>
      </c>
      <c r="F14" s="661">
        <v>0</v>
      </c>
      <c r="G14" s="661">
        <v>0</v>
      </c>
      <c r="H14" s="661">
        <v>0</v>
      </c>
      <c r="I14" s="664">
        <v>0</v>
      </c>
      <c r="J14" s="661">
        <v>0</v>
      </c>
      <c r="K14" s="662">
        <v>0</v>
      </c>
      <c r="L14" s="661">
        <v>0</v>
      </c>
      <c r="M14" s="661">
        <v>0</v>
      </c>
      <c r="N14" s="661">
        <v>0</v>
      </c>
      <c r="O14" s="661">
        <v>0</v>
      </c>
      <c r="P14" s="661">
        <v>0</v>
      </c>
      <c r="Q14" s="663">
        <v>0</v>
      </c>
      <c r="R14" s="665">
        <v>0</v>
      </c>
      <c r="S14" s="661">
        <v>0</v>
      </c>
      <c r="T14" s="661">
        <v>0</v>
      </c>
      <c r="U14" s="661">
        <v>0</v>
      </c>
      <c r="V14" s="661">
        <v>0</v>
      </c>
      <c r="W14" s="662">
        <v>0</v>
      </c>
      <c r="X14" s="661">
        <v>0</v>
      </c>
      <c r="Y14" s="661">
        <v>0</v>
      </c>
      <c r="Z14" s="661">
        <v>0</v>
      </c>
    </row>
    <row r="15" spans="1:26" ht="16.5" customHeight="1">
      <c r="A15" s="682" t="s">
        <v>574</v>
      </c>
      <c r="B15" s="683" t="s">
        <v>293</v>
      </c>
      <c r="C15" s="684" t="s">
        <v>293</v>
      </c>
      <c r="D15" s="684" t="s">
        <v>293</v>
      </c>
      <c r="E15" s="685" t="s">
        <v>293</v>
      </c>
      <c r="F15" s="685" t="s">
        <v>293</v>
      </c>
      <c r="G15" s="685" t="s">
        <v>293</v>
      </c>
      <c r="H15" s="685" t="s">
        <v>293</v>
      </c>
      <c r="I15" s="686" t="s">
        <v>293</v>
      </c>
      <c r="J15" s="687">
        <v>26630</v>
      </c>
      <c r="K15" s="688">
        <v>26630</v>
      </c>
      <c r="L15" s="685" t="s">
        <v>293</v>
      </c>
      <c r="M15" s="685" t="s">
        <v>293</v>
      </c>
      <c r="N15" s="685" t="s">
        <v>293</v>
      </c>
      <c r="O15" s="685" t="s">
        <v>293</v>
      </c>
      <c r="P15" s="683" t="s">
        <v>293</v>
      </c>
      <c r="Q15" s="683" t="s">
        <v>293</v>
      </c>
      <c r="R15" s="689" t="s">
        <v>293</v>
      </c>
      <c r="S15" s="661">
        <v>20500</v>
      </c>
      <c r="T15" s="661">
        <v>16160</v>
      </c>
      <c r="U15" s="683" t="s">
        <v>293</v>
      </c>
      <c r="V15" s="683" t="s">
        <v>293</v>
      </c>
      <c r="W15" s="684" t="s">
        <v>293</v>
      </c>
      <c r="X15" s="661">
        <v>20500</v>
      </c>
      <c r="Y15" s="661">
        <v>7920</v>
      </c>
      <c r="Z15" s="683" t="s">
        <v>293</v>
      </c>
    </row>
    <row r="16" spans="1:26" ht="18" customHeight="1">
      <c r="A16" s="682" t="s">
        <v>575</v>
      </c>
      <c r="B16" s="683" t="s">
        <v>293</v>
      </c>
      <c r="C16" s="684" t="s">
        <v>293</v>
      </c>
      <c r="D16" s="684" t="s">
        <v>293</v>
      </c>
      <c r="E16" s="685" t="s">
        <v>293</v>
      </c>
      <c r="F16" s="685" t="s">
        <v>293</v>
      </c>
      <c r="G16" s="685" t="s">
        <v>293</v>
      </c>
      <c r="H16" s="685" t="s">
        <v>293</v>
      </c>
      <c r="I16" s="686" t="s">
        <v>293</v>
      </c>
      <c r="J16" s="690">
        <v>4.8</v>
      </c>
      <c r="K16" s="691">
        <v>4.8</v>
      </c>
      <c r="L16" s="685" t="s">
        <v>293</v>
      </c>
      <c r="M16" s="685" t="s">
        <v>293</v>
      </c>
      <c r="N16" s="685" t="s">
        <v>293</v>
      </c>
      <c r="O16" s="685" t="s">
        <v>293</v>
      </c>
      <c r="P16" s="683" t="s">
        <v>293</v>
      </c>
      <c r="Q16" s="683" t="s">
        <v>293</v>
      </c>
      <c r="R16" s="689" t="s">
        <v>293</v>
      </c>
      <c r="S16" s="661">
        <v>2.85</v>
      </c>
      <c r="T16" s="661">
        <v>2.75</v>
      </c>
      <c r="U16" s="683" t="s">
        <v>293</v>
      </c>
      <c r="V16" s="683" t="s">
        <v>293</v>
      </c>
      <c r="W16" s="684" t="s">
        <v>293</v>
      </c>
      <c r="X16" s="661">
        <v>2.85</v>
      </c>
      <c r="Y16" s="661">
        <v>5</v>
      </c>
      <c r="Z16" s="683" t="s">
        <v>293</v>
      </c>
    </row>
    <row r="17" spans="1:26" ht="18" customHeight="1">
      <c r="A17" s="681" t="s">
        <v>576</v>
      </c>
      <c r="B17" s="683" t="s">
        <v>293</v>
      </c>
      <c r="C17" s="684" t="s">
        <v>293</v>
      </c>
      <c r="D17" s="684" t="s">
        <v>293</v>
      </c>
      <c r="E17" s="685" t="s">
        <v>293</v>
      </c>
      <c r="F17" s="685" t="s">
        <v>293</v>
      </c>
      <c r="G17" s="685" t="s">
        <v>293</v>
      </c>
      <c r="H17" s="685" t="s">
        <v>293</v>
      </c>
      <c r="I17" s="686" t="s">
        <v>293</v>
      </c>
      <c r="J17" s="692">
        <f t="shared" ref="J17:K17" si="3">J16*J15/(9.81*(J4-J5))</f>
        <v>224.2679762299525</v>
      </c>
      <c r="K17" s="676">
        <f t="shared" si="3"/>
        <v>224.2679762299525</v>
      </c>
      <c r="L17" s="685" t="s">
        <v>293</v>
      </c>
      <c r="M17" s="685" t="s">
        <v>293</v>
      </c>
      <c r="N17" s="685" t="s">
        <v>293</v>
      </c>
      <c r="O17" s="685" t="s">
        <v>293</v>
      </c>
      <c r="P17" s="683" t="s">
        <v>293</v>
      </c>
      <c r="Q17" s="683" t="s">
        <v>293</v>
      </c>
      <c r="R17" s="689" t="s">
        <v>293</v>
      </c>
      <c r="S17" s="693">
        <f t="shared" ref="S17:T17" si="4">S16*S15/(9.81*(S4-S5))</f>
        <v>231.7376456169159</v>
      </c>
      <c r="T17" s="693">
        <f t="shared" si="4"/>
        <v>224.26095820591229</v>
      </c>
      <c r="U17" s="683" t="s">
        <v>293</v>
      </c>
      <c r="V17" s="683" t="s">
        <v>293</v>
      </c>
      <c r="W17" s="684" t="s">
        <v>293</v>
      </c>
      <c r="X17" s="693">
        <f t="shared" ref="X17:Y17" si="5">X16*X15/(9.81*(X4-X5))</f>
        <v>231.7376456169159</v>
      </c>
      <c r="Y17" s="693">
        <f t="shared" si="5"/>
        <v>224.26095820591232</v>
      </c>
      <c r="Z17" s="683" t="s">
        <v>293</v>
      </c>
    </row>
    <row r="18" spans="1:26" ht="18" customHeight="1">
      <c r="A18" s="681" t="s">
        <v>577</v>
      </c>
      <c r="B18" s="683" t="s">
        <v>293</v>
      </c>
      <c r="C18" s="684" t="s">
        <v>293</v>
      </c>
      <c r="D18" s="684" t="s">
        <v>293</v>
      </c>
      <c r="E18" s="685" t="s">
        <v>293</v>
      </c>
      <c r="F18" s="683" t="s">
        <v>293</v>
      </c>
      <c r="G18" s="683" t="s">
        <v>293</v>
      </c>
      <c r="H18" s="683" t="s">
        <v>293</v>
      </c>
      <c r="I18" s="686" t="s">
        <v>293</v>
      </c>
      <c r="J18" s="694">
        <f t="shared" ref="J18:K18" si="6">J17*9.81*LN(J4/J5)</f>
        <v>550.15798615806432</v>
      </c>
      <c r="K18" s="676">
        <f t="shared" si="6"/>
        <v>550.15798615806432</v>
      </c>
      <c r="L18" s="683" t="s">
        <v>293</v>
      </c>
      <c r="M18" s="683" t="s">
        <v>293</v>
      </c>
      <c r="N18" s="683" t="s">
        <v>293</v>
      </c>
      <c r="O18" s="683" t="s">
        <v>293</v>
      </c>
      <c r="P18" s="683" t="s">
        <v>293</v>
      </c>
      <c r="Q18" s="683" t="s">
        <v>293</v>
      </c>
      <c r="R18" s="689" t="s">
        <v>293</v>
      </c>
      <c r="S18" s="693">
        <f t="shared" ref="S18:T18" si="7">S17*9.81*LN(S4/S5)</f>
        <v>617.80486297088896</v>
      </c>
      <c r="T18" s="693">
        <f t="shared" si="7"/>
        <v>525.92981456424025</v>
      </c>
      <c r="U18" s="683" t="s">
        <v>293</v>
      </c>
      <c r="V18" s="683" t="s">
        <v>293</v>
      </c>
      <c r="W18" s="684" t="s">
        <v>293</v>
      </c>
      <c r="X18" s="693">
        <f t="shared" ref="X18:Y18" si="8">X17*9.81*LN(X4/X5)</f>
        <v>617.80486297088896</v>
      </c>
      <c r="Y18" s="693">
        <f t="shared" si="8"/>
        <v>552.89174221799351</v>
      </c>
      <c r="Z18" s="683" t="s">
        <v>293</v>
      </c>
    </row>
    <row r="19" spans="1:26" ht="18" customHeight="1">
      <c r="A19" s="681" t="s">
        <v>578</v>
      </c>
      <c r="B19" s="692">
        <f t="shared" ref="B19:Z19" si="9">IF(ISNUMBER(B18),B13+B18,B13)</f>
        <v>819.27299419555425</v>
      </c>
      <c r="C19" s="676">
        <f t="shared" si="9"/>
        <v>819.27299419555425</v>
      </c>
      <c r="D19" s="676">
        <f t="shared" si="9"/>
        <v>819.27299419555425</v>
      </c>
      <c r="E19" s="692">
        <f t="shared" si="9"/>
        <v>594.15080579664902</v>
      </c>
      <c r="F19" s="692">
        <f t="shared" si="9"/>
        <v>560.48723808019054</v>
      </c>
      <c r="G19" s="692">
        <f t="shared" si="9"/>
        <v>760.92761180549428</v>
      </c>
      <c r="H19" s="694">
        <f t="shared" si="9"/>
        <v>717.86381362028226</v>
      </c>
      <c r="I19" s="679">
        <f t="shared" si="9"/>
        <v>717.86381362028226</v>
      </c>
      <c r="J19" s="694">
        <f t="shared" si="9"/>
        <v>1137.7746538120014</v>
      </c>
      <c r="K19" s="676">
        <f t="shared" si="9"/>
        <v>1137.7746538120014</v>
      </c>
      <c r="L19" s="692">
        <f t="shared" si="9"/>
        <v>734.81296151098456</v>
      </c>
      <c r="M19" s="692">
        <f t="shared" si="9"/>
        <v>734.81296151098456</v>
      </c>
      <c r="N19" s="692">
        <f t="shared" si="9"/>
        <v>870.31134645333032</v>
      </c>
      <c r="O19" s="692">
        <f t="shared" si="9"/>
        <v>870.31134645333032</v>
      </c>
      <c r="P19" s="692">
        <f t="shared" si="9"/>
        <v>812.64305960605225</v>
      </c>
      <c r="Q19" s="692">
        <f t="shared" si="9"/>
        <v>781.69390642028634</v>
      </c>
      <c r="R19" s="680">
        <f t="shared" si="9"/>
        <v>798.64931938321331</v>
      </c>
      <c r="S19" s="692">
        <f t="shared" si="9"/>
        <v>876.37871961781309</v>
      </c>
      <c r="T19" s="692">
        <f t="shared" si="9"/>
        <v>946.25133544220057</v>
      </c>
      <c r="U19" s="692">
        <f t="shared" si="9"/>
        <v>714.95606625279504</v>
      </c>
      <c r="V19" s="692">
        <f t="shared" si="9"/>
        <v>819.27299419555425</v>
      </c>
      <c r="W19" s="676">
        <f t="shared" si="9"/>
        <v>819.27299419555425</v>
      </c>
      <c r="X19" s="692">
        <f t="shared" si="9"/>
        <v>876.37871961781309</v>
      </c>
      <c r="Y19" s="692">
        <f t="shared" si="9"/>
        <v>1123.8163722851796</v>
      </c>
      <c r="Z19" s="692">
        <f t="shared" si="9"/>
        <v>749.01738227133808</v>
      </c>
    </row>
    <row r="20" spans="1:26" ht="18">
      <c r="A20" s="695" t="s">
        <v>579</v>
      </c>
      <c r="B20" s="696"/>
      <c r="C20" s="697"/>
      <c r="D20" s="697"/>
      <c r="E20" s="696"/>
      <c r="F20" s="696"/>
      <c r="G20" s="696"/>
      <c r="H20" s="696"/>
      <c r="I20" s="697"/>
      <c r="J20" s="696"/>
      <c r="K20" s="697"/>
      <c r="L20" s="696"/>
      <c r="M20" s="696"/>
      <c r="N20" s="696"/>
      <c r="O20" s="696"/>
      <c r="P20" s="696"/>
      <c r="Q20" s="696"/>
      <c r="R20" s="698"/>
      <c r="S20" s="696"/>
      <c r="T20" s="696"/>
      <c r="U20" s="696"/>
      <c r="V20" s="696"/>
      <c r="W20" s="697"/>
      <c r="X20" s="696"/>
      <c r="Y20" s="696"/>
      <c r="Z20" s="696"/>
    </row>
    <row r="21" spans="1:26" ht="12.75">
      <c r="A21" s="661" t="s">
        <v>580</v>
      </c>
      <c r="B21" s="661">
        <f t="shared" ref="B21:D21" si="10">1.28*3.58</f>
        <v>4.5823999999999998</v>
      </c>
      <c r="C21" s="662">
        <f t="shared" si="10"/>
        <v>4.5823999999999998</v>
      </c>
      <c r="D21" s="662">
        <f t="shared" si="10"/>
        <v>4.5823999999999998</v>
      </c>
      <c r="E21" s="663">
        <f>1.6*4.76</f>
        <v>7.6159999999999997</v>
      </c>
      <c r="F21" s="661">
        <f t="shared" ref="F21:G21" si="11">1.6*13</f>
        <v>20.8</v>
      </c>
      <c r="G21" s="661">
        <f t="shared" si="11"/>
        <v>20.8</v>
      </c>
      <c r="H21" s="661">
        <f t="shared" ref="H21:K21" si="12">15*1.6</f>
        <v>24</v>
      </c>
      <c r="I21" s="664">
        <f t="shared" si="12"/>
        <v>24</v>
      </c>
      <c r="J21" s="661">
        <f t="shared" si="12"/>
        <v>24</v>
      </c>
      <c r="K21" s="662">
        <f t="shared" si="12"/>
        <v>24</v>
      </c>
      <c r="L21" s="663">
        <f t="shared" ref="L21:M21" si="13">1.325*1.35</f>
        <v>1.7887500000000001</v>
      </c>
      <c r="M21" s="663">
        <f t="shared" si="13"/>
        <v>1.7887500000000001</v>
      </c>
      <c r="N21" s="663">
        <f t="shared" ref="N21:O21" si="14">3.75*1.62</f>
        <v>6.0750000000000002</v>
      </c>
      <c r="O21" s="663">
        <f t="shared" si="14"/>
        <v>6.0750000000000002</v>
      </c>
      <c r="P21" s="661">
        <f>1.28*3.8</f>
        <v>4.8639999999999999</v>
      </c>
      <c r="Q21" s="663">
        <f t="shared" ref="Q21:R21" si="15">1.6*4.76</f>
        <v>7.6159999999999997</v>
      </c>
      <c r="R21" s="665">
        <f t="shared" si="15"/>
        <v>7.6159999999999997</v>
      </c>
      <c r="S21" s="663">
        <f>1.6*6</f>
        <v>9.6000000000000014</v>
      </c>
      <c r="T21" s="663">
        <f>1.6*5.25</f>
        <v>8.4</v>
      </c>
      <c r="U21" s="661">
        <f>1.6*6</f>
        <v>9.6000000000000014</v>
      </c>
      <c r="V21" s="661">
        <f t="shared" ref="V21:W21" si="16">1.28*3.58</f>
        <v>4.5823999999999998</v>
      </c>
      <c r="W21" s="662">
        <f t="shared" si="16"/>
        <v>4.5823999999999998</v>
      </c>
      <c r="X21" s="663">
        <f t="shared" ref="X21:Y21" si="17">1.6*6</f>
        <v>9.6000000000000014</v>
      </c>
      <c r="Y21" s="663">
        <f t="shared" si="17"/>
        <v>9.6000000000000014</v>
      </c>
      <c r="Z21" s="661">
        <f>1.6*4.5</f>
        <v>7.2</v>
      </c>
    </row>
    <row r="22" spans="1:26" ht="12.75">
      <c r="A22" s="661" t="s">
        <v>581</v>
      </c>
      <c r="B22" s="667" t="s">
        <v>328</v>
      </c>
      <c r="C22" s="668" t="s">
        <v>328</v>
      </c>
      <c r="D22" s="668" t="s">
        <v>328</v>
      </c>
      <c r="E22" s="669" t="s">
        <v>328</v>
      </c>
      <c r="F22" s="669" t="s">
        <v>328</v>
      </c>
      <c r="G22" s="669" t="s">
        <v>328</v>
      </c>
      <c r="H22" s="669" t="s">
        <v>328</v>
      </c>
      <c r="I22" s="670" t="s">
        <v>328</v>
      </c>
      <c r="J22" s="669" t="s">
        <v>328</v>
      </c>
      <c r="K22" s="668" t="s">
        <v>328</v>
      </c>
      <c r="L22" s="669" t="s">
        <v>328</v>
      </c>
      <c r="M22" s="669" t="s">
        <v>328</v>
      </c>
      <c r="N22" s="669" t="s">
        <v>328</v>
      </c>
      <c r="O22" s="669" t="s">
        <v>328</v>
      </c>
      <c r="P22" s="667" t="s">
        <v>328</v>
      </c>
      <c r="Q22" s="667" t="s">
        <v>328</v>
      </c>
      <c r="R22" s="602" t="s">
        <v>328</v>
      </c>
      <c r="S22" s="667" t="s">
        <v>328</v>
      </c>
      <c r="T22" s="667" t="s">
        <v>328</v>
      </c>
      <c r="U22" s="667" t="s">
        <v>328</v>
      </c>
      <c r="V22" s="667" t="s">
        <v>328</v>
      </c>
      <c r="W22" s="668" t="s">
        <v>328</v>
      </c>
      <c r="X22" s="667" t="s">
        <v>328</v>
      </c>
      <c r="Y22" s="667" t="s">
        <v>328</v>
      </c>
      <c r="Z22" s="667" t="s">
        <v>328</v>
      </c>
    </row>
    <row r="23" spans="1:26" ht="12.75">
      <c r="A23" s="661" t="s">
        <v>582</v>
      </c>
      <c r="B23" s="661">
        <v>5</v>
      </c>
      <c r="C23" s="662">
        <v>5</v>
      </c>
      <c r="D23" s="662">
        <v>5</v>
      </c>
      <c r="E23" s="666">
        <v>5</v>
      </c>
      <c r="F23" s="663">
        <v>10</v>
      </c>
      <c r="G23" s="663">
        <v>10</v>
      </c>
      <c r="H23" s="663">
        <v>8</v>
      </c>
      <c r="I23" s="664">
        <v>8</v>
      </c>
      <c r="J23" s="663">
        <v>8</v>
      </c>
      <c r="K23" s="662">
        <v>8</v>
      </c>
      <c r="L23" s="663">
        <v>3</v>
      </c>
      <c r="M23" s="663">
        <v>3</v>
      </c>
      <c r="N23" s="663">
        <v>6</v>
      </c>
      <c r="O23" s="663">
        <v>6</v>
      </c>
      <c r="P23" s="661">
        <v>6</v>
      </c>
      <c r="Q23" s="661">
        <v>9</v>
      </c>
      <c r="R23" s="665">
        <v>9</v>
      </c>
      <c r="S23" s="661">
        <v>7</v>
      </c>
      <c r="T23" s="661">
        <v>7</v>
      </c>
      <c r="U23" s="661">
        <v>8</v>
      </c>
      <c r="V23" s="661">
        <v>5</v>
      </c>
      <c r="W23" s="662">
        <v>5</v>
      </c>
      <c r="X23" s="661">
        <v>7</v>
      </c>
      <c r="Y23" s="661">
        <v>7</v>
      </c>
      <c r="Z23" s="661">
        <v>5</v>
      </c>
    </row>
    <row r="24" spans="1:26" ht="12.75">
      <c r="A24" s="699" t="s">
        <v>583</v>
      </c>
      <c r="B24" s="667" t="s">
        <v>328</v>
      </c>
      <c r="C24" s="668" t="s">
        <v>328</v>
      </c>
      <c r="D24" s="668" t="s">
        <v>328</v>
      </c>
      <c r="E24" s="669" t="s">
        <v>328</v>
      </c>
      <c r="F24" s="669" t="s">
        <v>328</v>
      </c>
      <c r="G24" s="669" t="s">
        <v>328</v>
      </c>
      <c r="H24" s="669" t="s">
        <v>328</v>
      </c>
      <c r="I24" s="670" t="s">
        <v>328</v>
      </c>
      <c r="J24" s="669" t="s">
        <v>328</v>
      </c>
      <c r="K24" s="668" t="s">
        <v>328</v>
      </c>
      <c r="L24" s="669" t="s">
        <v>328</v>
      </c>
      <c r="M24" s="669" t="s">
        <v>328</v>
      </c>
      <c r="N24" s="669" t="s">
        <v>328</v>
      </c>
      <c r="O24" s="669" t="s">
        <v>328</v>
      </c>
      <c r="P24" s="667" t="s">
        <v>328</v>
      </c>
      <c r="Q24" s="669" t="s">
        <v>328</v>
      </c>
      <c r="R24" s="602" t="s">
        <v>328</v>
      </c>
      <c r="S24" s="667" t="s">
        <v>328</v>
      </c>
      <c r="T24" s="667" t="s">
        <v>328</v>
      </c>
      <c r="U24" s="667" t="s">
        <v>328</v>
      </c>
      <c r="V24" s="667" t="s">
        <v>328</v>
      </c>
      <c r="W24" s="668" t="s">
        <v>328</v>
      </c>
      <c r="X24" s="667" t="s">
        <v>328</v>
      </c>
      <c r="Y24" s="667" t="s">
        <v>328</v>
      </c>
      <c r="Z24" s="667" t="s">
        <v>328</v>
      </c>
    </row>
    <row r="25" spans="1:26" ht="12.75">
      <c r="A25" s="661" t="s">
        <v>584</v>
      </c>
      <c r="B25" s="666">
        <v>1.8</v>
      </c>
      <c r="C25" s="666">
        <v>1.8</v>
      </c>
      <c r="D25" s="666">
        <v>1.8</v>
      </c>
      <c r="E25" s="666">
        <v>0.5</v>
      </c>
      <c r="F25" s="663">
        <v>1</v>
      </c>
      <c r="G25" s="663">
        <v>1</v>
      </c>
      <c r="H25" s="663">
        <v>2</v>
      </c>
      <c r="I25" s="664">
        <v>2</v>
      </c>
      <c r="J25" s="663">
        <v>2</v>
      </c>
      <c r="K25" s="662">
        <v>2</v>
      </c>
      <c r="L25" s="666">
        <v>0.5</v>
      </c>
      <c r="M25" s="666">
        <v>0.5</v>
      </c>
      <c r="N25" s="666">
        <v>0.5</v>
      </c>
      <c r="O25" s="666">
        <v>0.5</v>
      </c>
      <c r="P25" s="666">
        <v>1.5</v>
      </c>
      <c r="Q25" s="666">
        <v>0.5</v>
      </c>
      <c r="R25" s="665">
        <v>0.5</v>
      </c>
      <c r="S25" s="666">
        <v>0.5</v>
      </c>
      <c r="T25" s="666">
        <v>0.5</v>
      </c>
      <c r="U25" s="661">
        <v>1.8</v>
      </c>
      <c r="V25" s="666">
        <v>1.8</v>
      </c>
      <c r="W25" s="666">
        <v>1.8</v>
      </c>
      <c r="X25" s="666">
        <v>0.5</v>
      </c>
      <c r="Y25" s="666">
        <v>0.5</v>
      </c>
      <c r="Z25" s="666">
        <v>1.8</v>
      </c>
    </row>
    <row r="26" spans="1:26" ht="18">
      <c r="A26" s="700" t="s">
        <v>585</v>
      </c>
      <c r="B26" s="701"/>
      <c r="C26" s="702"/>
      <c r="D26" s="702"/>
      <c r="E26" s="701"/>
      <c r="F26" s="701"/>
      <c r="G26" s="701"/>
      <c r="H26" s="701"/>
      <c r="I26" s="702"/>
      <c r="J26" s="701"/>
      <c r="K26" s="702"/>
      <c r="L26" s="701"/>
      <c r="M26" s="701"/>
      <c r="N26" s="701"/>
      <c r="O26" s="701"/>
      <c r="P26" s="701"/>
      <c r="Q26" s="701"/>
      <c r="R26" s="703"/>
      <c r="S26" s="701"/>
      <c r="T26" s="701"/>
      <c r="U26" s="701"/>
      <c r="V26" s="701"/>
      <c r="W26" s="702"/>
      <c r="X26" s="701"/>
      <c r="Y26" s="701"/>
      <c r="Z26" s="701"/>
    </row>
    <row r="27" spans="1:26" ht="12.75">
      <c r="A27" s="661" t="s">
        <v>586</v>
      </c>
      <c r="B27" s="667" t="s">
        <v>323</v>
      </c>
      <c r="C27" s="668" t="s">
        <v>323</v>
      </c>
      <c r="D27" s="668" t="s">
        <v>323</v>
      </c>
      <c r="E27" s="669" t="s">
        <v>323</v>
      </c>
      <c r="F27" s="669" t="s">
        <v>323</v>
      </c>
      <c r="G27" s="669" t="s">
        <v>323</v>
      </c>
      <c r="H27" s="669" t="s">
        <v>323</v>
      </c>
      <c r="I27" s="670" t="s">
        <v>323</v>
      </c>
      <c r="J27" s="669" t="s">
        <v>323</v>
      </c>
      <c r="K27" s="668" t="s">
        <v>323</v>
      </c>
      <c r="L27" s="669" t="s">
        <v>323</v>
      </c>
      <c r="M27" s="669" t="s">
        <v>323</v>
      </c>
      <c r="N27" s="669" t="s">
        <v>323</v>
      </c>
      <c r="O27" s="669" t="s">
        <v>323</v>
      </c>
      <c r="P27" s="667" t="s">
        <v>323</v>
      </c>
      <c r="Q27" s="667" t="s">
        <v>323</v>
      </c>
      <c r="R27" s="602" t="s">
        <v>323</v>
      </c>
      <c r="S27" s="667" t="s">
        <v>323</v>
      </c>
      <c r="T27" s="667" t="s">
        <v>323</v>
      </c>
      <c r="U27" s="667" t="s">
        <v>323</v>
      </c>
      <c r="V27" s="667" t="s">
        <v>323</v>
      </c>
      <c r="W27" s="668" t="s">
        <v>323</v>
      </c>
      <c r="X27" s="667" t="s">
        <v>323</v>
      </c>
      <c r="Y27" s="667" t="s">
        <v>323</v>
      </c>
      <c r="Z27" s="667" t="s">
        <v>323</v>
      </c>
    </row>
    <row r="28" spans="1:26" ht="12.75">
      <c r="A28" s="661" t="s">
        <v>587</v>
      </c>
      <c r="B28" s="704">
        <v>0.4</v>
      </c>
      <c r="C28" s="662">
        <v>0.4</v>
      </c>
      <c r="D28" s="662">
        <v>0.4</v>
      </c>
      <c r="E28" s="662">
        <v>0.5</v>
      </c>
      <c r="F28" s="663">
        <v>0.5</v>
      </c>
      <c r="G28" s="704">
        <v>0.5</v>
      </c>
      <c r="H28" s="661">
        <v>0.35</v>
      </c>
      <c r="I28" s="661">
        <v>0.35</v>
      </c>
      <c r="J28" s="661">
        <v>0.35</v>
      </c>
      <c r="K28" s="662">
        <v>0.35</v>
      </c>
      <c r="L28" s="704">
        <v>0.35</v>
      </c>
      <c r="M28" s="704">
        <v>0.35</v>
      </c>
      <c r="N28" s="704">
        <v>0.15</v>
      </c>
      <c r="O28" s="704">
        <v>0.15</v>
      </c>
      <c r="P28" s="704">
        <v>0.4</v>
      </c>
      <c r="Q28" s="704">
        <v>0.5</v>
      </c>
      <c r="R28" s="665">
        <v>0.5</v>
      </c>
      <c r="S28" s="704">
        <v>0.5</v>
      </c>
      <c r="T28" s="704">
        <v>0.5</v>
      </c>
      <c r="U28" s="704">
        <v>0.25</v>
      </c>
      <c r="V28" s="704">
        <v>0.4</v>
      </c>
      <c r="W28" s="662">
        <v>0.4</v>
      </c>
      <c r="X28" s="704">
        <v>0.5</v>
      </c>
      <c r="Y28" s="704">
        <v>0.2</v>
      </c>
      <c r="Z28" s="704">
        <v>0.5</v>
      </c>
    </row>
    <row r="29" spans="1:26" ht="12.75">
      <c r="A29" s="661" t="s">
        <v>588</v>
      </c>
      <c r="B29" s="661">
        <v>60</v>
      </c>
      <c r="C29" s="662">
        <v>60</v>
      </c>
      <c r="D29" s="662">
        <v>60</v>
      </c>
      <c r="E29" s="662">
        <v>60</v>
      </c>
      <c r="F29" s="663">
        <v>35</v>
      </c>
      <c r="G29" s="663">
        <v>45</v>
      </c>
      <c r="H29" s="663">
        <v>60</v>
      </c>
      <c r="I29" s="664">
        <v>60</v>
      </c>
      <c r="J29" s="663">
        <v>60</v>
      </c>
      <c r="K29" s="662">
        <v>60</v>
      </c>
      <c r="L29" s="663">
        <v>25</v>
      </c>
      <c r="M29" s="663">
        <v>25</v>
      </c>
      <c r="N29" s="663">
        <v>20</v>
      </c>
      <c r="O29" s="663">
        <v>20</v>
      </c>
      <c r="P29" s="661">
        <v>45</v>
      </c>
      <c r="Q29" s="661">
        <v>23</v>
      </c>
      <c r="R29" s="665">
        <v>23</v>
      </c>
      <c r="S29" s="661">
        <v>20</v>
      </c>
      <c r="T29" s="661">
        <v>30</v>
      </c>
      <c r="U29" s="661">
        <v>25</v>
      </c>
      <c r="V29" s="661">
        <v>60</v>
      </c>
      <c r="W29" s="662">
        <v>60</v>
      </c>
      <c r="X29" s="661">
        <v>20</v>
      </c>
      <c r="Y29" s="661">
        <v>20</v>
      </c>
      <c r="Z29" s="661">
        <v>40</v>
      </c>
    </row>
    <row r="30" spans="1:26" ht="12.75">
      <c r="A30" s="661" t="s">
        <v>589</v>
      </c>
      <c r="B30" s="661">
        <v>1</v>
      </c>
      <c r="C30" s="662">
        <v>1</v>
      </c>
      <c r="D30" s="662">
        <v>1</v>
      </c>
      <c r="E30" s="662">
        <v>1</v>
      </c>
      <c r="F30" s="663">
        <v>1</v>
      </c>
      <c r="G30" s="663">
        <v>1</v>
      </c>
      <c r="H30" s="663">
        <v>1</v>
      </c>
      <c r="I30" s="664">
        <v>1</v>
      </c>
      <c r="J30" s="663">
        <v>1</v>
      </c>
      <c r="K30" s="662">
        <v>1</v>
      </c>
      <c r="L30" s="663">
        <v>1</v>
      </c>
      <c r="M30" s="663">
        <v>1</v>
      </c>
      <c r="N30" s="663">
        <v>1</v>
      </c>
      <c r="O30" s="663">
        <v>1</v>
      </c>
      <c r="P30" s="661">
        <v>1</v>
      </c>
      <c r="Q30" s="661">
        <v>1</v>
      </c>
      <c r="R30" s="665">
        <v>1</v>
      </c>
      <c r="S30" s="661">
        <v>1</v>
      </c>
      <c r="T30" s="661">
        <v>1</v>
      </c>
      <c r="U30" s="661">
        <v>1</v>
      </c>
      <c r="V30" s="661">
        <v>1</v>
      </c>
      <c r="W30" s="662">
        <v>1</v>
      </c>
      <c r="X30" s="661">
        <v>1</v>
      </c>
      <c r="Y30" s="661">
        <v>1</v>
      </c>
      <c r="Z30" s="661">
        <v>1</v>
      </c>
    </row>
    <row r="31" spans="1:26" ht="12.75">
      <c r="A31" s="661" t="s">
        <v>590</v>
      </c>
      <c r="B31" s="661">
        <v>20</v>
      </c>
      <c r="C31" s="662">
        <v>20</v>
      </c>
      <c r="D31" s="662">
        <v>20</v>
      </c>
      <c r="E31" s="662">
        <v>20</v>
      </c>
      <c r="F31" s="663">
        <v>20</v>
      </c>
      <c r="G31" s="663">
        <v>20</v>
      </c>
      <c r="H31" s="663">
        <v>20</v>
      </c>
      <c r="I31" s="664">
        <v>20</v>
      </c>
      <c r="J31" s="663">
        <v>20</v>
      </c>
      <c r="K31" s="662">
        <v>20</v>
      </c>
      <c r="L31" s="663">
        <v>20</v>
      </c>
      <c r="M31" s="663">
        <v>20</v>
      </c>
      <c r="N31" s="663">
        <v>20</v>
      </c>
      <c r="O31" s="663">
        <v>20</v>
      </c>
      <c r="P31" s="661">
        <v>20</v>
      </c>
      <c r="Q31" s="661">
        <v>20</v>
      </c>
      <c r="R31" s="665">
        <v>20</v>
      </c>
      <c r="S31" s="661">
        <v>20</v>
      </c>
      <c r="T31" s="661">
        <v>20</v>
      </c>
      <c r="U31" s="661">
        <v>20</v>
      </c>
      <c r="V31" s="661">
        <v>20</v>
      </c>
      <c r="W31" s="662">
        <v>20</v>
      </c>
      <c r="X31" s="661">
        <v>20</v>
      </c>
      <c r="Y31" s="661">
        <v>20</v>
      </c>
      <c r="Z31" s="661">
        <v>20</v>
      </c>
    </row>
    <row r="32" spans="1:26" ht="12.75">
      <c r="A32" s="661" t="s">
        <v>591</v>
      </c>
      <c r="B32" s="661">
        <v>3.6</v>
      </c>
      <c r="C32" s="662">
        <v>3.6</v>
      </c>
      <c r="D32" s="662">
        <v>3.6</v>
      </c>
      <c r="E32" s="662">
        <v>3.6</v>
      </c>
      <c r="F32" s="663">
        <v>2.6</v>
      </c>
      <c r="G32" s="663">
        <v>2.6</v>
      </c>
      <c r="H32" s="663">
        <v>2</v>
      </c>
      <c r="I32" s="664">
        <v>2</v>
      </c>
      <c r="J32" s="663">
        <v>2</v>
      </c>
      <c r="K32" s="662">
        <v>2</v>
      </c>
      <c r="L32" s="663">
        <v>5</v>
      </c>
      <c r="M32" s="663">
        <v>5</v>
      </c>
      <c r="N32" s="663">
        <v>4.5</v>
      </c>
      <c r="O32" s="663">
        <v>4.5</v>
      </c>
      <c r="P32" s="661">
        <v>3.6</v>
      </c>
      <c r="Q32" s="661">
        <v>4</v>
      </c>
      <c r="R32" s="665">
        <v>4</v>
      </c>
      <c r="S32" s="661">
        <v>3.6</v>
      </c>
      <c r="T32" s="661">
        <v>3</v>
      </c>
      <c r="U32" s="661">
        <v>2.4</v>
      </c>
      <c r="V32" s="661">
        <v>3.6</v>
      </c>
      <c r="W32" s="662">
        <v>3.6</v>
      </c>
      <c r="X32" s="661">
        <v>3.6</v>
      </c>
      <c r="Y32" s="661">
        <v>3.6</v>
      </c>
      <c r="Z32" s="661">
        <v>3.6</v>
      </c>
    </row>
    <row r="33" spans="1:26" ht="12.75">
      <c r="A33" s="661" t="s">
        <v>592</v>
      </c>
      <c r="B33" s="661">
        <v>45</v>
      </c>
      <c r="C33" s="662">
        <v>45</v>
      </c>
      <c r="D33" s="662">
        <v>45</v>
      </c>
      <c r="E33" s="662">
        <v>45</v>
      </c>
      <c r="F33" s="663">
        <v>60</v>
      </c>
      <c r="G33" s="663">
        <v>55</v>
      </c>
      <c r="H33" s="663">
        <v>60</v>
      </c>
      <c r="I33" s="663">
        <v>60</v>
      </c>
      <c r="J33" s="663">
        <v>60</v>
      </c>
      <c r="K33" s="662">
        <v>60</v>
      </c>
      <c r="L33" s="663">
        <v>45</v>
      </c>
      <c r="M33" s="663">
        <v>45</v>
      </c>
      <c r="N33" s="663">
        <v>75</v>
      </c>
      <c r="O33" s="663">
        <v>75</v>
      </c>
      <c r="P33" s="661">
        <v>60</v>
      </c>
      <c r="Q33" s="661">
        <v>40</v>
      </c>
      <c r="R33" s="665">
        <v>40</v>
      </c>
      <c r="S33" s="661">
        <v>40</v>
      </c>
      <c r="T33" s="661">
        <v>40</v>
      </c>
      <c r="U33" s="661">
        <v>45</v>
      </c>
      <c r="V33" s="661">
        <v>45</v>
      </c>
      <c r="W33" s="662">
        <v>45</v>
      </c>
      <c r="X33" s="661">
        <v>40</v>
      </c>
      <c r="Y33" s="661">
        <v>90</v>
      </c>
      <c r="Z33" s="661">
        <v>40</v>
      </c>
    </row>
    <row r="34" spans="1:26" ht="12.75">
      <c r="A34" s="661" t="s">
        <v>593</v>
      </c>
      <c r="B34" s="661">
        <v>22</v>
      </c>
      <c r="C34" s="662">
        <v>22</v>
      </c>
      <c r="D34" s="662">
        <v>22</v>
      </c>
      <c r="E34" s="662">
        <v>22</v>
      </c>
      <c r="F34" s="663">
        <v>12</v>
      </c>
      <c r="G34" s="663">
        <v>20</v>
      </c>
      <c r="H34" s="663">
        <v>30</v>
      </c>
      <c r="I34" s="664">
        <v>30</v>
      </c>
      <c r="J34" s="663">
        <v>30</v>
      </c>
      <c r="K34" s="662">
        <v>30</v>
      </c>
      <c r="L34" s="663">
        <v>30</v>
      </c>
      <c r="M34" s="663">
        <v>30</v>
      </c>
      <c r="N34" s="663">
        <v>60</v>
      </c>
      <c r="O34" s="663">
        <v>60</v>
      </c>
      <c r="P34" s="661">
        <v>30</v>
      </c>
      <c r="Q34" s="661">
        <v>20</v>
      </c>
      <c r="R34" s="665">
        <v>60</v>
      </c>
      <c r="S34" s="661">
        <v>20</v>
      </c>
      <c r="T34" s="661">
        <v>20</v>
      </c>
      <c r="U34" s="661">
        <v>60</v>
      </c>
      <c r="V34" s="661">
        <v>22</v>
      </c>
      <c r="W34" s="662">
        <v>22</v>
      </c>
      <c r="X34" s="661">
        <v>20</v>
      </c>
      <c r="Y34" s="661">
        <v>45</v>
      </c>
      <c r="Z34" s="661">
        <v>50</v>
      </c>
    </row>
    <row r="35" spans="1:26" ht="17.25" customHeight="1">
      <c r="A35" s="661" t="s">
        <v>594</v>
      </c>
      <c r="B35" s="667" t="s">
        <v>328</v>
      </c>
      <c r="C35" s="668" t="s">
        <v>328</v>
      </c>
      <c r="D35" s="668" t="s">
        <v>328</v>
      </c>
      <c r="E35" s="668" t="s">
        <v>328</v>
      </c>
      <c r="F35" s="669" t="s">
        <v>328</v>
      </c>
      <c r="G35" s="669" t="s">
        <v>328</v>
      </c>
      <c r="H35" s="669" t="s">
        <v>328</v>
      </c>
      <c r="I35" s="670" t="s">
        <v>328</v>
      </c>
      <c r="J35" s="669" t="s">
        <v>328</v>
      </c>
      <c r="K35" s="668" t="s">
        <v>328</v>
      </c>
      <c r="L35" s="669" t="s">
        <v>328</v>
      </c>
      <c r="M35" s="669" t="s">
        <v>328</v>
      </c>
      <c r="N35" s="669" t="s">
        <v>328</v>
      </c>
      <c r="O35" s="669" t="s">
        <v>328</v>
      </c>
      <c r="P35" s="667" t="s">
        <v>328</v>
      </c>
      <c r="Q35" s="667" t="s">
        <v>328</v>
      </c>
      <c r="R35" s="602" t="s">
        <v>328</v>
      </c>
      <c r="S35" s="667" t="s">
        <v>328</v>
      </c>
      <c r="T35" s="667" t="s">
        <v>328</v>
      </c>
      <c r="U35" s="667" t="s">
        <v>328</v>
      </c>
      <c r="V35" s="667" t="s">
        <v>328</v>
      </c>
      <c r="W35" s="668" t="s">
        <v>328</v>
      </c>
      <c r="X35" s="667" t="s">
        <v>328</v>
      </c>
      <c r="Y35" s="667" t="s">
        <v>328</v>
      </c>
      <c r="Z35" s="667" t="s">
        <v>328</v>
      </c>
    </row>
    <row r="36" spans="1:26" ht="17.25" customHeight="1">
      <c r="A36" s="661" t="s">
        <v>595</v>
      </c>
      <c r="B36" s="661">
        <v>40</v>
      </c>
      <c r="C36" s="662">
        <v>40</v>
      </c>
      <c r="D36" s="662">
        <v>40</v>
      </c>
      <c r="E36" s="662">
        <v>40</v>
      </c>
      <c r="F36" s="663">
        <v>60</v>
      </c>
      <c r="G36" s="663">
        <v>55</v>
      </c>
      <c r="H36" s="663">
        <v>45</v>
      </c>
      <c r="I36" s="663">
        <v>45</v>
      </c>
      <c r="J36" s="663">
        <v>45</v>
      </c>
      <c r="K36" s="662">
        <v>45</v>
      </c>
      <c r="L36" s="663">
        <v>20</v>
      </c>
      <c r="M36" s="663">
        <v>20</v>
      </c>
      <c r="N36" s="663">
        <v>45</v>
      </c>
      <c r="O36" s="663">
        <v>45</v>
      </c>
      <c r="P36" s="661">
        <v>40</v>
      </c>
      <c r="Q36" s="704">
        <v>25</v>
      </c>
      <c r="R36" s="665">
        <v>30</v>
      </c>
      <c r="S36" s="704">
        <v>30</v>
      </c>
      <c r="T36" s="704">
        <v>30</v>
      </c>
      <c r="U36" s="661">
        <v>45</v>
      </c>
      <c r="V36" s="661">
        <v>40</v>
      </c>
      <c r="W36" s="662">
        <v>40</v>
      </c>
      <c r="X36" s="704">
        <v>30</v>
      </c>
      <c r="Y36" s="704">
        <v>60</v>
      </c>
      <c r="Z36" s="661">
        <v>30</v>
      </c>
    </row>
    <row r="37" spans="1:26" ht="30.75" customHeight="1">
      <c r="A37" s="682" t="s">
        <v>596</v>
      </c>
      <c r="B37" s="661">
        <v>10</v>
      </c>
      <c r="C37" s="662">
        <v>10</v>
      </c>
      <c r="D37" s="662">
        <v>10</v>
      </c>
      <c r="E37" s="662">
        <v>10</v>
      </c>
      <c r="F37" s="663">
        <v>7</v>
      </c>
      <c r="G37" s="663">
        <v>7</v>
      </c>
      <c r="H37" s="663">
        <v>5</v>
      </c>
      <c r="I37" s="664">
        <v>5</v>
      </c>
      <c r="J37" s="663">
        <v>5</v>
      </c>
      <c r="K37" s="662">
        <v>5</v>
      </c>
      <c r="L37" s="663">
        <v>7</v>
      </c>
      <c r="M37" s="663">
        <v>7</v>
      </c>
      <c r="N37" s="663">
        <v>15</v>
      </c>
      <c r="O37" s="663">
        <v>15</v>
      </c>
      <c r="P37" s="661">
        <v>10</v>
      </c>
      <c r="Q37" s="661">
        <v>17</v>
      </c>
      <c r="R37" s="664">
        <v>17</v>
      </c>
      <c r="S37" s="661">
        <v>12</v>
      </c>
      <c r="T37" s="661">
        <v>12</v>
      </c>
      <c r="U37" s="661">
        <v>10</v>
      </c>
      <c r="V37" s="661">
        <v>10</v>
      </c>
      <c r="W37" s="662">
        <v>10</v>
      </c>
      <c r="X37" s="661">
        <v>12</v>
      </c>
      <c r="Y37" s="661">
        <v>15</v>
      </c>
      <c r="Z37" s="661">
        <v>12</v>
      </c>
    </row>
    <row r="38" spans="1:26" ht="12.75">
      <c r="A38" s="661" t="s">
        <v>597</v>
      </c>
      <c r="B38" s="661">
        <v>11</v>
      </c>
      <c r="C38" s="662">
        <v>11</v>
      </c>
      <c r="D38" s="662">
        <v>11</v>
      </c>
      <c r="E38" s="662">
        <v>11</v>
      </c>
      <c r="F38" s="663">
        <v>12</v>
      </c>
      <c r="G38" s="663">
        <v>16</v>
      </c>
      <c r="H38" s="663">
        <v>18</v>
      </c>
      <c r="I38" s="664">
        <v>18</v>
      </c>
      <c r="J38" s="663">
        <v>18</v>
      </c>
      <c r="K38" s="662">
        <v>18</v>
      </c>
      <c r="L38" s="663">
        <v>7.4</v>
      </c>
      <c r="M38" s="663">
        <v>7.4</v>
      </c>
      <c r="N38" s="663">
        <v>11</v>
      </c>
      <c r="O38" s="663">
        <v>11</v>
      </c>
      <c r="P38" s="661">
        <v>11</v>
      </c>
      <c r="Q38" s="663">
        <v>11</v>
      </c>
      <c r="R38" s="665">
        <v>11</v>
      </c>
      <c r="S38" s="666">
        <v>11</v>
      </c>
      <c r="T38" s="666">
        <v>11</v>
      </c>
      <c r="U38" s="661">
        <v>11</v>
      </c>
      <c r="V38" s="661">
        <v>11</v>
      </c>
      <c r="W38" s="662">
        <v>11</v>
      </c>
      <c r="X38" s="666">
        <v>11</v>
      </c>
      <c r="Y38" s="666">
        <v>11</v>
      </c>
      <c r="Z38" s="661">
        <v>11</v>
      </c>
    </row>
    <row r="39" spans="1:26" ht="12.75">
      <c r="A39" s="661" t="s">
        <v>598</v>
      </c>
      <c r="B39" s="661">
        <v>3</v>
      </c>
      <c r="C39" s="662">
        <v>3</v>
      </c>
      <c r="D39" s="662">
        <v>3</v>
      </c>
      <c r="E39" s="662">
        <v>3</v>
      </c>
      <c r="F39" s="666">
        <v>2.2999999999999998</v>
      </c>
      <c r="G39" s="666">
        <v>4.3</v>
      </c>
      <c r="H39" s="666">
        <v>4.8</v>
      </c>
      <c r="I39" s="664">
        <v>4.8</v>
      </c>
      <c r="J39" s="666">
        <v>4.8</v>
      </c>
      <c r="K39" s="662">
        <v>4.8</v>
      </c>
      <c r="L39" s="666">
        <v>2</v>
      </c>
      <c r="M39" s="666">
        <v>2</v>
      </c>
      <c r="N39" s="666">
        <v>3.4</v>
      </c>
      <c r="O39" s="666">
        <v>3.4</v>
      </c>
      <c r="P39" s="661">
        <v>3</v>
      </c>
      <c r="Q39" s="666">
        <v>2.5</v>
      </c>
      <c r="R39" s="665">
        <v>3.4</v>
      </c>
      <c r="S39" s="704">
        <v>3</v>
      </c>
      <c r="T39" s="704">
        <v>3</v>
      </c>
      <c r="U39" s="666">
        <v>3.4</v>
      </c>
      <c r="V39" s="661">
        <v>3</v>
      </c>
      <c r="W39" s="662">
        <v>3</v>
      </c>
      <c r="X39" s="704">
        <v>3</v>
      </c>
      <c r="Y39" s="704">
        <v>3.8</v>
      </c>
      <c r="Z39" s="661">
        <v>3</v>
      </c>
    </row>
    <row r="40" spans="1:26" ht="12.75">
      <c r="A40" s="661" t="s">
        <v>599</v>
      </c>
      <c r="B40" s="661">
        <v>11</v>
      </c>
      <c r="C40" s="662">
        <v>11</v>
      </c>
      <c r="D40" s="662">
        <v>11</v>
      </c>
      <c r="E40" s="662">
        <v>11</v>
      </c>
      <c r="F40" s="663">
        <v>12</v>
      </c>
      <c r="G40" s="663">
        <v>15</v>
      </c>
      <c r="H40" s="663">
        <v>15</v>
      </c>
      <c r="I40" s="663">
        <v>15</v>
      </c>
      <c r="J40" s="663">
        <v>15</v>
      </c>
      <c r="K40" s="662">
        <v>15</v>
      </c>
      <c r="L40" s="663">
        <v>7.4</v>
      </c>
      <c r="M40" s="663">
        <v>7.4</v>
      </c>
      <c r="N40" s="663">
        <v>10</v>
      </c>
      <c r="O40" s="663">
        <v>10</v>
      </c>
      <c r="P40" s="661">
        <v>11</v>
      </c>
      <c r="Q40" s="663">
        <v>11</v>
      </c>
      <c r="R40" s="661">
        <v>10</v>
      </c>
      <c r="S40" s="661">
        <v>11</v>
      </c>
      <c r="T40" s="661">
        <v>11</v>
      </c>
      <c r="U40" s="661">
        <v>10</v>
      </c>
      <c r="V40" s="661">
        <v>11</v>
      </c>
      <c r="W40" s="662">
        <v>11</v>
      </c>
      <c r="X40" s="661">
        <v>11</v>
      </c>
      <c r="Y40" s="661">
        <v>11</v>
      </c>
      <c r="Z40" s="661">
        <v>11</v>
      </c>
    </row>
    <row r="41" spans="1:26" ht="12.75">
      <c r="A41" s="661" t="s">
        <v>600</v>
      </c>
      <c r="B41" s="661">
        <v>11</v>
      </c>
      <c r="C41" s="662">
        <v>11</v>
      </c>
      <c r="D41" s="662">
        <v>11</v>
      </c>
      <c r="E41" s="662">
        <v>11</v>
      </c>
      <c r="F41" s="663">
        <v>12</v>
      </c>
      <c r="G41" s="663">
        <v>15</v>
      </c>
      <c r="H41" s="663">
        <v>15</v>
      </c>
      <c r="I41" s="663">
        <v>15</v>
      </c>
      <c r="J41" s="663">
        <v>15</v>
      </c>
      <c r="K41" s="662">
        <v>15</v>
      </c>
      <c r="L41" s="663">
        <v>7.4</v>
      </c>
      <c r="M41" s="663">
        <v>7.4</v>
      </c>
      <c r="N41" s="669" t="s">
        <v>293</v>
      </c>
      <c r="O41" s="669" t="s">
        <v>293</v>
      </c>
      <c r="P41" s="661">
        <v>11</v>
      </c>
      <c r="Q41" s="666">
        <v>11</v>
      </c>
      <c r="R41" s="669" t="s">
        <v>293</v>
      </c>
      <c r="S41" s="661">
        <v>11</v>
      </c>
      <c r="T41" s="661">
        <v>11</v>
      </c>
      <c r="U41" s="669" t="s">
        <v>293</v>
      </c>
      <c r="V41" s="661">
        <v>11</v>
      </c>
      <c r="W41" s="662">
        <v>11</v>
      </c>
      <c r="X41" s="661">
        <v>11</v>
      </c>
      <c r="Y41" s="667" t="s">
        <v>293</v>
      </c>
      <c r="Z41" s="661">
        <v>11</v>
      </c>
    </row>
    <row r="42" spans="1:26" ht="12.75">
      <c r="A42" s="661" t="s">
        <v>286</v>
      </c>
      <c r="B42" s="667" t="s">
        <v>293</v>
      </c>
      <c r="C42" s="668" t="s">
        <v>293</v>
      </c>
      <c r="D42" s="668" t="s">
        <v>293</v>
      </c>
      <c r="E42" s="668" t="s">
        <v>293</v>
      </c>
      <c r="F42" s="669" t="s">
        <v>293</v>
      </c>
      <c r="G42" s="669" t="s">
        <v>293</v>
      </c>
      <c r="H42" s="669" t="s">
        <v>293</v>
      </c>
      <c r="I42" s="669" t="s">
        <v>293</v>
      </c>
      <c r="J42" s="669" t="s">
        <v>293</v>
      </c>
      <c r="K42" s="668" t="s">
        <v>293</v>
      </c>
      <c r="L42" s="669" t="s">
        <v>293</v>
      </c>
      <c r="M42" s="669" t="s">
        <v>293</v>
      </c>
      <c r="N42" s="666">
        <v>1</v>
      </c>
      <c r="O42" s="666">
        <v>1</v>
      </c>
      <c r="P42" s="667" t="s">
        <v>293</v>
      </c>
      <c r="Q42" s="667" t="s">
        <v>293</v>
      </c>
      <c r="R42" s="666">
        <v>1</v>
      </c>
      <c r="S42" s="667" t="s">
        <v>293</v>
      </c>
      <c r="T42" s="667" t="s">
        <v>293</v>
      </c>
      <c r="U42" s="666">
        <v>1</v>
      </c>
      <c r="V42" s="667" t="s">
        <v>293</v>
      </c>
      <c r="W42" s="668" t="s">
        <v>293</v>
      </c>
      <c r="X42" s="667" t="s">
        <v>293</v>
      </c>
      <c r="Y42" s="704">
        <v>1</v>
      </c>
      <c r="Z42" s="667" t="s">
        <v>293</v>
      </c>
    </row>
    <row r="43" spans="1:26" ht="12.75">
      <c r="A43" s="705" t="s">
        <v>287</v>
      </c>
      <c r="B43" s="704">
        <v>6</v>
      </c>
      <c r="C43" s="662">
        <v>6</v>
      </c>
      <c r="D43" s="662">
        <v>6</v>
      </c>
      <c r="E43" s="662">
        <v>6</v>
      </c>
      <c r="F43" s="666">
        <v>4</v>
      </c>
      <c r="G43" s="666">
        <v>8</v>
      </c>
      <c r="H43" s="666">
        <v>9</v>
      </c>
      <c r="I43" s="666">
        <v>9</v>
      </c>
      <c r="J43" s="666">
        <v>9</v>
      </c>
      <c r="K43" s="662">
        <v>9</v>
      </c>
      <c r="L43" s="666">
        <v>3</v>
      </c>
      <c r="M43" s="666">
        <v>3</v>
      </c>
      <c r="N43" s="666">
        <v>6</v>
      </c>
      <c r="O43" s="666">
        <v>6</v>
      </c>
      <c r="P43" s="704">
        <v>6</v>
      </c>
      <c r="Q43" s="666">
        <v>6</v>
      </c>
      <c r="R43" s="665">
        <v>6</v>
      </c>
      <c r="S43" s="704">
        <v>6</v>
      </c>
      <c r="T43" s="704">
        <v>6</v>
      </c>
      <c r="U43" s="704">
        <v>6</v>
      </c>
      <c r="V43" s="704">
        <v>6</v>
      </c>
      <c r="W43" s="662">
        <v>6</v>
      </c>
      <c r="X43" s="704">
        <v>6</v>
      </c>
      <c r="Y43" s="704">
        <v>6</v>
      </c>
      <c r="Z43" s="704">
        <v>6</v>
      </c>
    </row>
    <row r="44" spans="1:26" ht="12.75">
      <c r="A44" s="661" t="s">
        <v>601</v>
      </c>
      <c r="B44" s="667" t="s">
        <v>324</v>
      </c>
      <c r="C44" s="668" t="s">
        <v>328</v>
      </c>
      <c r="D44" s="668" t="s">
        <v>328</v>
      </c>
      <c r="E44" s="667" t="s">
        <v>324</v>
      </c>
      <c r="F44" s="667" t="s">
        <v>324</v>
      </c>
      <c r="G44" s="667" t="s">
        <v>324</v>
      </c>
      <c r="H44" s="669" t="s">
        <v>328</v>
      </c>
      <c r="I44" s="670" t="s">
        <v>328</v>
      </c>
      <c r="J44" s="669" t="s">
        <v>328</v>
      </c>
      <c r="K44" s="668" t="s">
        <v>328</v>
      </c>
      <c r="L44" s="667" t="s">
        <v>324</v>
      </c>
      <c r="M44" s="667" t="s">
        <v>324</v>
      </c>
      <c r="N44" s="669" t="s">
        <v>328</v>
      </c>
      <c r="O44" s="669" t="s">
        <v>328</v>
      </c>
      <c r="P44" s="667" t="s">
        <v>328</v>
      </c>
      <c r="Q44" s="669" t="s">
        <v>324</v>
      </c>
      <c r="R44" s="669" t="s">
        <v>328</v>
      </c>
      <c r="S44" s="667" t="s">
        <v>324</v>
      </c>
      <c r="T44" s="667" t="s">
        <v>324</v>
      </c>
      <c r="U44" s="667" t="s">
        <v>328</v>
      </c>
      <c r="V44" s="667" t="s">
        <v>324</v>
      </c>
      <c r="W44" s="668" t="s">
        <v>328</v>
      </c>
      <c r="X44" s="667" t="s">
        <v>324</v>
      </c>
      <c r="Y44" s="667" t="s">
        <v>328</v>
      </c>
      <c r="Z44" s="667" t="s">
        <v>324</v>
      </c>
    </row>
    <row r="45" spans="1:26" ht="27" customHeight="1">
      <c r="A45" s="661" t="s">
        <v>602</v>
      </c>
      <c r="B45" s="667" t="s">
        <v>293</v>
      </c>
      <c r="C45" s="668" t="s">
        <v>348</v>
      </c>
      <c r="D45" s="668" t="s">
        <v>348</v>
      </c>
      <c r="E45" s="667" t="s">
        <v>293</v>
      </c>
      <c r="F45" s="667" t="s">
        <v>293</v>
      </c>
      <c r="G45" s="667" t="s">
        <v>293</v>
      </c>
      <c r="H45" s="669" t="s">
        <v>354</v>
      </c>
      <c r="I45" s="669" t="s">
        <v>354</v>
      </c>
      <c r="J45" s="669" t="s">
        <v>354</v>
      </c>
      <c r="K45" s="668" t="s">
        <v>354</v>
      </c>
      <c r="L45" s="667" t="s">
        <v>293</v>
      </c>
      <c r="M45" s="667" t="s">
        <v>293</v>
      </c>
      <c r="N45" s="669" t="s">
        <v>354</v>
      </c>
      <c r="O45" s="669" t="s">
        <v>354</v>
      </c>
      <c r="P45" s="667" t="s">
        <v>348</v>
      </c>
      <c r="Q45" s="667" t="s">
        <v>293</v>
      </c>
      <c r="R45" s="669" t="s">
        <v>354</v>
      </c>
      <c r="S45" s="667" t="s">
        <v>293</v>
      </c>
      <c r="T45" s="667" t="s">
        <v>293</v>
      </c>
      <c r="U45" s="667" t="s">
        <v>354</v>
      </c>
      <c r="V45" s="667" t="s">
        <v>293</v>
      </c>
      <c r="W45" s="668" t="s">
        <v>348</v>
      </c>
      <c r="X45" s="667" t="s">
        <v>293</v>
      </c>
      <c r="Y45" s="706" t="s">
        <v>367</v>
      </c>
      <c r="Z45" s="667" t="s">
        <v>293</v>
      </c>
    </row>
    <row r="46" spans="1:26" ht="12.75">
      <c r="A46" s="661" t="s">
        <v>603</v>
      </c>
      <c r="B46" s="667" t="s">
        <v>293</v>
      </c>
      <c r="C46" s="668" t="s">
        <v>293</v>
      </c>
      <c r="D46" s="668" t="s">
        <v>293</v>
      </c>
      <c r="E46" s="667" t="s">
        <v>293</v>
      </c>
      <c r="F46" s="667" t="s">
        <v>293</v>
      </c>
      <c r="G46" s="667" t="s">
        <v>293</v>
      </c>
      <c r="H46" s="663">
        <v>1.33</v>
      </c>
      <c r="I46" s="663">
        <v>1.33</v>
      </c>
      <c r="J46" s="663">
        <v>1.33</v>
      </c>
      <c r="K46" s="662">
        <v>1.33</v>
      </c>
      <c r="L46" s="667" t="s">
        <v>293</v>
      </c>
      <c r="M46" s="667" t="s">
        <v>293</v>
      </c>
      <c r="N46" s="663">
        <v>0.75</v>
      </c>
      <c r="O46" s="663">
        <v>0.75</v>
      </c>
      <c r="P46" s="667" t="s">
        <v>293</v>
      </c>
      <c r="Q46" s="667" t="s">
        <v>293</v>
      </c>
      <c r="R46" s="663">
        <v>0.75</v>
      </c>
      <c r="S46" s="667" t="s">
        <v>293</v>
      </c>
      <c r="T46" s="667" t="s">
        <v>293</v>
      </c>
      <c r="U46" s="663">
        <v>0.75</v>
      </c>
      <c r="V46" s="667" t="s">
        <v>293</v>
      </c>
      <c r="W46" s="668" t="s">
        <v>293</v>
      </c>
      <c r="X46" s="667" t="s">
        <v>293</v>
      </c>
      <c r="Y46" s="704">
        <v>1.2</v>
      </c>
      <c r="Z46" s="667" t="s">
        <v>293</v>
      </c>
    </row>
    <row r="47" spans="1:26" ht="15" customHeight="1">
      <c r="A47" s="661" t="s">
        <v>604</v>
      </c>
      <c r="B47" s="667" t="s">
        <v>293</v>
      </c>
      <c r="C47" s="662">
        <v>0.1</v>
      </c>
      <c r="D47" s="662">
        <v>0.1</v>
      </c>
      <c r="E47" s="667" t="s">
        <v>293</v>
      </c>
      <c r="F47" s="667" t="s">
        <v>293</v>
      </c>
      <c r="G47" s="667" t="s">
        <v>293</v>
      </c>
      <c r="H47" s="667" t="s">
        <v>293</v>
      </c>
      <c r="I47" s="667" t="s">
        <v>293</v>
      </c>
      <c r="J47" s="667" t="s">
        <v>293</v>
      </c>
      <c r="K47" s="668" t="s">
        <v>293</v>
      </c>
      <c r="L47" s="667" t="s">
        <v>293</v>
      </c>
      <c r="M47" s="667" t="s">
        <v>293</v>
      </c>
      <c r="N47" s="667" t="s">
        <v>293</v>
      </c>
      <c r="O47" s="667" t="s">
        <v>293</v>
      </c>
      <c r="P47" s="667" t="s">
        <v>293</v>
      </c>
      <c r="Q47" s="667" t="s">
        <v>293</v>
      </c>
      <c r="R47" s="667" t="s">
        <v>293</v>
      </c>
      <c r="S47" s="667" t="s">
        <v>293</v>
      </c>
      <c r="T47" s="667" t="s">
        <v>293</v>
      </c>
      <c r="U47" s="667" t="s">
        <v>293</v>
      </c>
      <c r="V47" s="667" t="s">
        <v>293</v>
      </c>
      <c r="W47" s="662">
        <v>0.1</v>
      </c>
      <c r="X47" s="667" t="s">
        <v>293</v>
      </c>
      <c r="Y47" s="667" t="s">
        <v>293</v>
      </c>
      <c r="Z47" s="667" t="s">
        <v>293</v>
      </c>
    </row>
    <row r="48" spans="1:26" ht="16.5" customHeight="1">
      <c r="A48" s="661" t="s">
        <v>605</v>
      </c>
      <c r="B48" s="667" t="s">
        <v>293</v>
      </c>
      <c r="C48" s="662">
        <v>0.02</v>
      </c>
      <c r="D48" s="662">
        <v>0.02</v>
      </c>
      <c r="E48" s="667" t="s">
        <v>293</v>
      </c>
      <c r="F48" s="667" t="s">
        <v>293</v>
      </c>
      <c r="G48" s="667" t="s">
        <v>293</v>
      </c>
      <c r="H48" s="667" t="s">
        <v>293</v>
      </c>
      <c r="I48" s="667" t="s">
        <v>293</v>
      </c>
      <c r="J48" s="667" t="s">
        <v>293</v>
      </c>
      <c r="K48" s="668" t="s">
        <v>293</v>
      </c>
      <c r="L48" s="667" t="s">
        <v>293</v>
      </c>
      <c r="M48" s="667" t="s">
        <v>293</v>
      </c>
      <c r="N48" s="667" t="s">
        <v>293</v>
      </c>
      <c r="O48" s="667" t="s">
        <v>293</v>
      </c>
      <c r="P48" s="667" t="s">
        <v>293</v>
      </c>
      <c r="Q48" s="667" t="s">
        <v>293</v>
      </c>
      <c r="R48" s="667" t="s">
        <v>293</v>
      </c>
      <c r="S48" s="667" t="s">
        <v>293</v>
      </c>
      <c r="T48" s="667" t="s">
        <v>293</v>
      </c>
      <c r="U48" s="667" t="s">
        <v>293</v>
      </c>
      <c r="V48" s="667" t="s">
        <v>293</v>
      </c>
      <c r="W48" s="662">
        <v>0.02</v>
      </c>
      <c r="X48" s="667" t="s">
        <v>293</v>
      </c>
      <c r="Y48" s="667" t="s">
        <v>293</v>
      </c>
      <c r="Z48" s="667" t="s">
        <v>293</v>
      </c>
    </row>
    <row r="49" spans="1:26" ht="12.75">
      <c r="A49" s="661" t="s">
        <v>606</v>
      </c>
      <c r="B49" s="704">
        <v>3</v>
      </c>
      <c r="C49" s="662">
        <v>3</v>
      </c>
      <c r="D49" s="662">
        <v>3</v>
      </c>
      <c r="E49" s="704">
        <v>3</v>
      </c>
      <c r="F49" s="666">
        <v>3</v>
      </c>
      <c r="G49" s="666">
        <v>3</v>
      </c>
      <c r="H49" s="666">
        <v>3</v>
      </c>
      <c r="I49" s="664">
        <v>3</v>
      </c>
      <c r="J49" s="666">
        <v>3</v>
      </c>
      <c r="K49" s="662">
        <v>3</v>
      </c>
      <c r="L49" s="666">
        <v>3</v>
      </c>
      <c r="M49" s="666">
        <v>3</v>
      </c>
      <c r="N49" s="666">
        <v>3</v>
      </c>
      <c r="O49" s="666">
        <v>3</v>
      </c>
      <c r="P49" s="704">
        <v>3</v>
      </c>
      <c r="Q49" s="666">
        <v>3</v>
      </c>
      <c r="R49" s="665">
        <v>3</v>
      </c>
      <c r="S49" s="704">
        <v>3</v>
      </c>
      <c r="T49" s="704">
        <v>3</v>
      </c>
      <c r="U49" s="704">
        <v>3</v>
      </c>
      <c r="V49" s="704">
        <v>3</v>
      </c>
      <c r="W49" s="662">
        <v>3</v>
      </c>
      <c r="X49" s="704">
        <v>3</v>
      </c>
      <c r="Y49" s="704">
        <v>3</v>
      </c>
      <c r="Z49" s="704">
        <v>3</v>
      </c>
    </row>
    <row r="50" spans="1:26" ht="12.75">
      <c r="A50" s="661" t="s">
        <v>289</v>
      </c>
      <c r="B50" s="667" t="s">
        <v>328</v>
      </c>
      <c r="C50" s="668" t="s">
        <v>328</v>
      </c>
      <c r="D50" s="668" t="s">
        <v>328</v>
      </c>
      <c r="E50" s="667" t="s">
        <v>328</v>
      </c>
      <c r="F50" s="669" t="s">
        <v>328</v>
      </c>
      <c r="G50" s="669" t="s">
        <v>328</v>
      </c>
      <c r="H50" s="667" t="s">
        <v>293</v>
      </c>
      <c r="I50" s="670" t="s">
        <v>328</v>
      </c>
      <c r="J50" s="669" t="s">
        <v>328</v>
      </c>
      <c r="K50" s="668" t="s">
        <v>328</v>
      </c>
      <c r="L50" s="669" t="s">
        <v>328</v>
      </c>
      <c r="M50" s="669" t="s">
        <v>328</v>
      </c>
      <c r="N50" s="669" t="s">
        <v>328</v>
      </c>
      <c r="O50" s="669" t="s">
        <v>328</v>
      </c>
      <c r="P50" s="667" t="s">
        <v>328</v>
      </c>
      <c r="Q50" s="669" t="s">
        <v>328</v>
      </c>
      <c r="R50" s="602" t="s">
        <v>328</v>
      </c>
      <c r="S50" s="667" t="s">
        <v>328</v>
      </c>
      <c r="T50" s="667" t="s">
        <v>328</v>
      </c>
      <c r="U50" s="667" t="s">
        <v>328</v>
      </c>
      <c r="V50" s="667" t="s">
        <v>328</v>
      </c>
      <c r="W50" s="668" t="s">
        <v>328</v>
      </c>
      <c r="X50" s="667" t="s">
        <v>328</v>
      </c>
      <c r="Y50" s="667" t="s">
        <v>328</v>
      </c>
      <c r="Z50" s="667" t="s">
        <v>328</v>
      </c>
    </row>
    <row r="51" spans="1:26" ht="28.5" customHeight="1">
      <c r="A51" s="682" t="s">
        <v>607</v>
      </c>
      <c r="B51" s="666">
        <v>4</v>
      </c>
      <c r="C51" s="662">
        <v>4</v>
      </c>
      <c r="D51" s="662">
        <v>4</v>
      </c>
      <c r="E51" s="666">
        <v>4</v>
      </c>
      <c r="F51" s="704">
        <v>4</v>
      </c>
      <c r="G51" s="704">
        <v>4</v>
      </c>
      <c r="H51" s="704">
        <v>4</v>
      </c>
      <c r="I51" s="664">
        <v>4</v>
      </c>
      <c r="J51" s="704">
        <v>4</v>
      </c>
      <c r="K51" s="662">
        <v>4</v>
      </c>
      <c r="L51" s="666">
        <v>4</v>
      </c>
      <c r="M51" s="666">
        <v>4</v>
      </c>
      <c r="N51" s="666">
        <v>4</v>
      </c>
      <c r="O51" s="666">
        <v>4</v>
      </c>
      <c r="P51" s="666">
        <v>4</v>
      </c>
      <c r="Q51" s="666">
        <v>4</v>
      </c>
      <c r="R51" s="665">
        <v>4</v>
      </c>
      <c r="S51" s="666">
        <v>4</v>
      </c>
      <c r="T51" s="666">
        <v>4</v>
      </c>
      <c r="U51" s="666">
        <v>4</v>
      </c>
      <c r="V51" s="666">
        <v>4</v>
      </c>
      <c r="W51" s="662">
        <v>4</v>
      </c>
      <c r="X51" s="666">
        <v>4</v>
      </c>
      <c r="Y51" s="666">
        <v>4</v>
      </c>
      <c r="Z51" s="666">
        <v>4</v>
      </c>
    </row>
    <row r="52" spans="1:26" ht="12.75">
      <c r="A52" s="682" t="s">
        <v>608</v>
      </c>
      <c r="B52" s="666">
        <v>1800</v>
      </c>
      <c r="C52" s="662">
        <v>1800</v>
      </c>
      <c r="D52" s="662">
        <v>1800</v>
      </c>
      <c r="E52" s="666">
        <v>1800</v>
      </c>
      <c r="F52" s="704">
        <v>1800</v>
      </c>
      <c r="G52" s="704">
        <v>1800</v>
      </c>
      <c r="H52" s="704">
        <v>1800</v>
      </c>
      <c r="I52" s="664">
        <v>1800</v>
      </c>
      <c r="J52" s="704">
        <v>1800</v>
      </c>
      <c r="K52" s="662">
        <v>1800</v>
      </c>
      <c r="L52" s="666">
        <v>1800</v>
      </c>
      <c r="M52" s="666">
        <v>1800</v>
      </c>
      <c r="N52" s="666">
        <v>1800</v>
      </c>
      <c r="O52" s="666">
        <v>1800</v>
      </c>
      <c r="P52" s="666">
        <v>1800</v>
      </c>
      <c r="Q52" s="666">
        <v>1800</v>
      </c>
      <c r="R52" s="665">
        <v>1800</v>
      </c>
      <c r="S52" s="666">
        <v>1800</v>
      </c>
      <c r="T52" s="666">
        <v>1800</v>
      </c>
      <c r="U52" s="666">
        <v>1800</v>
      </c>
      <c r="V52" s="666">
        <v>1800</v>
      </c>
      <c r="W52" s="662">
        <v>1800</v>
      </c>
      <c r="X52" s="666">
        <v>1800</v>
      </c>
      <c r="Y52" s="666">
        <v>1800</v>
      </c>
      <c r="Z52" s="666">
        <v>1800</v>
      </c>
    </row>
    <row r="53" spans="1:26" ht="12.75">
      <c r="A53" s="661" t="s">
        <v>609</v>
      </c>
      <c r="B53" s="666">
        <v>2E-3</v>
      </c>
      <c r="C53" s="662">
        <v>2E-3</v>
      </c>
      <c r="D53" s="662">
        <v>2E-3</v>
      </c>
      <c r="E53" s="666">
        <v>2.5000000000000001E-3</v>
      </c>
      <c r="F53" s="704">
        <v>3.5000000000000001E-3</v>
      </c>
      <c r="G53" s="704">
        <v>2.5000000000000001E-3</v>
      </c>
      <c r="H53" s="704">
        <v>6.0000000000000001E-3</v>
      </c>
      <c r="I53" s="664">
        <v>6.0000000000000001E-3</v>
      </c>
      <c r="J53" s="704">
        <v>7.4999999999999997E-3</v>
      </c>
      <c r="K53" s="662">
        <v>7.4999999999999997E-3</v>
      </c>
      <c r="L53" s="666">
        <v>1.5E-3</v>
      </c>
      <c r="M53" s="666">
        <v>1.5E-3</v>
      </c>
      <c r="N53" s="666" t="s">
        <v>610</v>
      </c>
      <c r="O53" s="666" t="s">
        <v>610</v>
      </c>
      <c r="P53" s="666">
        <v>2.0999999999999999E-3</v>
      </c>
      <c r="Q53" s="666">
        <v>4.4999999999999997E-3</v>
      </c>
      <c r="R53" s="665">
        <v>2.0999999999999999E-3</v>
      </c>
      <c r="S53" s="666">
        <v>3.5000000000000001E-3</v>
      </c>
      <c r="T53" s="666">
        <v>2.0999999999999999E-3</v>
      </c>
      <c r="U53" s="666">
        <v>1.6000000000000001E-3</v>
      </c>
      <c r="V53" s="666">
        <v>2E-3</v>
      </c>
      <c r="W53" s="662">
        <v>2E-3</v>
      </c>
      <c r="X53" s="666">
        <v>3.5000000000000001E-3</v>
      </c>
      <c r="Y53" s="666">
        <v>3.5999999999999999E-3</v>
      </c>
      <c r="Z53" s="666">
        <v>1.6000000000000001E-3</v>
      </c>
    </row>
    <row r="54" spans="1:26" ht="12.75">
      <c r="A54" s="661" t="s">
        <v>611</v>
      </c>
      <c r="B54" s="666">
        <v>3.61E-2</v>
      </c>
      <c r="C54" s="662">
        <v>3.61E-2</v>
      </c>
      <c r="D54" s="662">
        <v>3.61E-2</v>
      </c>
      <c r="E54" s="666">
        <v>4.0599999999999997E-2</v>
      </c>
      <c r="F54" s="666">
        <v>3.4599999999999999E-2</v>
      </c>
      <c r="G54" s="704">
        <v>2.3599999999999999E-2</v>
      </c>
      <c r="H54" s="704">
        <v>3.1099999999999999E-2</v>
      </c>
      <c r="I54" s="664">
        <v>3.1099999999999999E-2</v>
      </c>
      <c r="J54" s="704">
        <v>4.6600000000000003E-2</v>
      </c>
      <c r="K54" s="662">
        <v>4.6600000000000003E-2</v>
      </c>
      <c r="L54" s="666">
        <v>4.9599999999999998E-2</v>
      </c>
      <c r="M54" s="666">
        <v>4.9599999999999998E-2</v>
      </c>
      <c r="N54" s="666" t="s">
        <v>612</v>
      </c>
      <c r="O54" s="666" t="s">
        <v>612</v>
      </c>
      <c r="P54" s="666">
        <v>4.0099999999999997E-2</v>
      </c>
      <c r="Q54" s="666">
        <v>4.6600000000000003E-2</v>
      </c>
      <c r="R54" s="665">
        <v>3.3599999999999998E-2</v>
      </c>
      <c r="S54" s="666">
        <v>3.4599999999999999E-2</v>
      </c>
      <c r="T54" s="666">
        <v>3.7600000000000001E-2</v>
      </c>
      <c r="U54" s="666">
        <v>3.4099999999999998E-2</v>
      </c>
      <c r="V54" s="666">
        <v>3.61E-2</v>
      </c>
      <c r="W54" s="662">
        <v>3.61E-2</v>
      </c>
      <c r="X54" s="666">
        <v>3.4599999999999999E-2</v>
      </c>
      <c r="Y54" s="666">
        <v>3.4099999999999998E-2</v>
      </c>
      <c r="Z54" s="666">
        <v>3.0099999999999998E-2</v>
      </c>
    </row>
    <row r="55" spans="1:26" ht="12.75">
      <c r="A55" s="661" t="s">
        <v>613</v>
      </c>
      <c r="B55" s="666">
        <v>1</v>
      </c>
      <c r="C55" s="662">
        <v>1</v>
      </c>
      <c r="D55" s="662">
        <v>1</v>
      </c>
      <c r="E55" s="666">
        <v>1</v>
      </c>
      <c r="F55" s="666">
        <v>1</v>
      </c>
      <c r="G55" s="666">
        <v>1</v>
      </c>
      <c r="H55" s="666">
        <v>1</v>
      </c>
      <c r="I55" s="664">
        <v>1</v>
      </c>
      <c r="J55" s="666">
        <v>1</v>
      </c>
      <c r="K55" s="662">
        <v>1</v>
      </c>
      <c r="L55" s="666">
        <v>1</v>
      </c>
      <c r="M55" s="666">
        <v>1</v>
      </c>
      <c r="N55" s="666" t="s">
        <v>614</v>
      </c>
      <c r="O55" s="666" t="s">
        <v>614</v>
      </c>
      <c r="P55" s="666">
        <v>1</v>
      </c>
      <c r="Q55" s="666">
        <v>1</v>
      </c>
      <c r="R55" s="665">
        <v>1</v>
      </c>
      <c r="S55" s="666">
        <v>1</v>
      </c>
      <c r="T55" s="666">
        <v>1</v>
      </c>
      <c r="U55" s="666">
        <v>1</v>
      </c>
      <c r="V55" s="666">
        <v>1</v>
      </c>
      <c r="W55" s="662">
        <v>1</v>
      </c>
      <c r="X55" s="666">
        <v>1</v>
      </c>
      <c r="Y55" s="666">
        <v>1</v>
      </c>
      <c r="Z55" s="666">
        <v>1</v>
      </c>
    </row>
    <row r="56" spans="1:26" ht="12.75">
      <c r="A56" s="661" t="s">
        <v>615</v>
      </c>
      <c r="B56" s="666">
        <v>5.9999999999999995E-4</v>
      </c>
      <c r="C56" s="662">
        <v>5.9999999999999995E-4</v>
      </c>
      <c r="D56" s="662">
        <v>5.9999999999999995E-4</v>
      </c>
      <c r="E56" s="666">
        <v>5.9999999999999995E-4</v>
      </c>
      <c r="F56" s="704">
        <v>1E-3</v>
      </c>
      <c r="G56" s="666">
        <v>5.9999999999999995E-4</v>
      </c>
      <c r="H56" s="666">
        <v>1.2999999999999999E-3</v>
      </c>
      <c r="I56" s="664">
        <v>1.2999999999999999E-3</v>
      </c>
      <c r="J56" s="666">
        <v>8.9999999999999998E-4</v>
      </c>
      <c r="K56" s="662">
        <v>8.9999999999999998E-4</v>
      </c>
      <c r="L56" s="666">
        <v>5.0000000000000001E-4</v>
      </c>
      <c r="M56" s="666">
        <v>5.0000000000000001E-4</v>
      </c>
      <c r="N56" s="666" t="s">
        <v>616</v>
      </c>
      <c r="O56" s="666" t="s">
        <v>616</v>
      </c>
      <c r="P56" s="666">
        <v>8.0000000000000004E-4</v>
      </c>
      <c r="Q56" s="666">
        <v>8.9999999999999998E-4</v>
      </c>
      <c r="R56" s="665">
        <v>5.0000000000000001E-4</v>
      </c>
      <c r="S56" s="666">
        <v>6.9999999999999999E-4</v>
      </c>
      <c r="T56" s="666">
        <v>5.9999999999999995E-4</v>
      </c>
      <c r="U56" s="666">
        <v>5.0000000000000001E-4</v>
      </c>
      <c r="V56" s="666">
        <v>5.9999999999999995E-4</v>
      </c>
      <c r="W56" s="662">
        <v>5.9999999999999995E-4</v>
      </c>
      <c r="X56" s="666">
        <v>6.9999999999999999E-4</v>
      </c>
      <c r="Y56" s="666">
        <v>6.9999999999999999E-4</v>
      </c>
      <c r="Z56" s="666">
        <v>5.0000000000000001E-4</v>
      </c>
    </row>
    <row r="57" spans="1:26" ht="24" customHeight="1">
      <c r="A57" s="707" t="s">
        <v>617</v>
      </c>
      <c r="B57" s="708"/>
      <c r="C57" s="709"/>
      <c r="D57" s="709"/>
      <c r="E57" s="708"/>
      <c r="F57" s="708"/>
      <c r="G57" s="708"/>
      <c r="H57" s="708"/>
      <c r="I57" s="709"/>
      <c r="J57" s="708"/>
      <c r="K57" s="709"/>
      <c r="L57" s="708"/>
      <c r="M57" s="708"/>
      <c r="N57" s="708"/>
      <c r="O57" s="708"/>
      <c r="P57" s="708"/>
      <c r="Q57" s="708"/>
      <c r="R57" s="710"/>
      <c r="S57" s="708"/>
      <c r="T57" s="708"/>
      <c r="U57" s="708"/>
      <c r="V57" s="708"/>
      <c r="W57" s="709"/>
      <c r="X57" s="708"/>
      <c r="Y57" s="708"/>
      <c r="Z57" s="708"/>
    </row>
    <row r="58" spans="1:26" ht="12.75">
      <c r="A58" s="661" t="s">
        <v>618</v>
      </c>
      <c r="B58" s="666">
        <f t="shared" ref="B58:D58" si="18">90*0.25</f>
        <v>22.5</v>
      </c>
      <c r="C58" s="662">
        <f t="shared" si="18"/>
        <v>22.5</v>
      </c>
      <c r="D58" s="662">
        <f t="shared" si="18"/>
        <v>22.5</v>
      </c>
      <c r="E58" s="666">
        <f>90*0.18</f>
        <v>16.2</v>
      </c>
      <c r="F58" s="666">
        <f>90*0.21</f>
        <v>18.899999999999999</v>
      </c>
      <c r="G58" s="666">
        <f>90*0.28</f>
        <v>25.200000000000003</v>
      </c>
      <c r="H58" s="661">
        <f t="shared" ref="H58:K58" si="19">0.32*90</f>
        <v>28.8</v>
      </c>
      <c r="I58" s="661">
        <f t="shared" si="19"/>
        <v>28.8</v>
      </c>
      <c r="J58" s="666">
        <f t="shared" si="19"/>
        <v>28.8</v>
      </c>
      <c r="K58" s="662">
        <f t="shared" si="19"/>
        <v>28.8</v>
      </c>
      <c r="L58" s="666">
        <f t="shared" ref="L58:M58" si="20">90*0.18</f>
        <v>16.2</v>
      </c>
      <c r="M58" s="666">
        <f t="shared" si="20"/>
        <v>16.2</v>
      </c>
      <c r="N58" s="666">
        <f t="shared" ref="N58:O58" si="21">0.25*90</f>
        <v>22.5</v>
      </c>
      <c r="O58" s="666">
        <f t="shared" si="21"/>
        <v>22.5</v>
      </c>
      <c r="P58" s="666">
        <f>90*0.278762</f>
        <v>25.08858</v>
      </c>
      <c r="Q58" s="704">
        <f>90*0.17</f>
        <v>15.3</v>
      </c>
      <c r="R58" s="665">
        <f t="shared" ref="R58:S58" si="22">90*0.22</f>
        <v>19.8</v>
      </c>
      <c r="S58" s="704">
        <f t="shared" si="22"/>
        <v>19.8</v>
      </c>
      <c r="T58" s="704">
        <f>90*0.248</f>
        <v>22.32</v>
      </c>
      <c r="U58" s="704">
        <f>90*0.356</f>
        <v>32.04</v>
      </c>
      <c r="V58" s="666">
        <f>90*0.27</f>
        <v>24.3</v>
      </c>
      <c r="W58" s="662">
        <f>90*0.25</f>
        <v>22.5</v>
      </c>
      <c r="X58" s="704">
        <f t="shared" ref="X58:Y58" si="23">90*0.22</f>
        <v>19.8</v>
      </c>
      <c r="Y58" s="704">
        <f t="shared" si="23"/>
        <v>19.8</v>
      </c>
      <c r="Z58" s="666">
        <f>90*0.265188</f>
        <v>23.866919999999997</v>
      </c>
    </row>
    <row r="59" spans="1:26" ht="12.75">
      <c r="A59" s="661" t="s">
        <v>619</v>
      </c>
      <c r="B59" s="666">
        <v>37.5</v>
      </c>
      <c r="C59" s="662">
        <v>37.5</v>
      </c>
      <c r="D59" s="662">
        <v>37.5</v>
      </c>
      <c r="E59" s="666">
        <v>17.600000000000001</v>
      </c>
      <c r="F59" s="666">
        <v>15.9</v>
      </c>
      <c r="G59" s="666">
        <v>21.9</v>
      </c>
      <c r="H59" s="661">
        <v>36.96</v>
      </c>
      <c r="I59" s="661">
        <v>36.96</v>
      </c>
      <c r="J59" s="666">
        <v>36.96</v>
      </c>
      <c r="K59" s="662">
        <v>36.96</v>
      </c>
      <c r="L59" s="666">
        <v>21.9</v>
      </c>
      <c r="M59" s="666">
        <v>21.9</v>
      </c>
      <c r="N59" s="666">
        <v>45</v>
      </c>
      <c r="O59" s="666">
        <v>45</v>
      </c>
      <c r="P59" s="666">
        <v>37.198900000000002</v>
      </c>
      <c r="Q59" s="704">
        <v>31</v>
      </c>
      <c r="R59" s="665">
        <v>31</v>
      </c>
      <c r="S59" s="704">
        <v>31.2</v>
      </c>
      <c r="T59" s="704">
        <v>37.205199999999998</v>
      </c>
      <c r="U59" s="704">
        <v>27.354299999999999</v>
      </c>
      <c r="V59" s="666">
        <v>37.5</v>
      </c>
      <c r="W59" s="662">
        <v>37.5</v>
      </c>
      <c r="X59" s="704">
        <v>31.2</v>
      </c>
      <c r="Y59" s="704">
        <v>60</v>
      </c>
      <c r="Z59" s="666">
        <v>43.057499999999997</v>
      </c>
    </row>
    <row r="60" spans="1:26" ht="12.75">
      <c r="A60" s="661" t="s">
        <v>620</v>
      </c>
      <c r="B60" s="666"/>
      <c r="C60" s="662"/>
      <c r="D60" s="662"/>
      <c r="E60" s="666"/>
      <c r="F60" s="666"/>
      <c r="G60" s="666"/>
      <c r="H60" s="666"/>
      <c r="I60" s="664"/>
      <c r="J60" s="666"/>
      <c r="K60" s="711"/>
      <c r="L60" s="666"/>
      <c r="M60" s="666"/>
      <c r="N60" s="666">
        <v>40</v>
      </c>
      <c r="O60" s="666">
        <v>40</v>
      </c>
      <c r="P60" s="666"/>
      <c r="Q60" s="666"/>
      <c r="R60" s="712"/>
      <c r="S60" s="704"/>
      <c r="T60" s="704"/>
      <c r="U60" s="704"/>
      <c r="V60" s="666"/>
      <c r="W60" s="662"/>
      <c r="X60" s="704"/>
      <c r="Y60" s="704"/>
      <c r="Z60" s="666"/>
    </row>
    <row r="61" spans="1:26" ht="12.75">
      <c r="A61" s="661" t="s">
        <v>621</v>
      </c>
      <c r="B61" s="666">
        <v>1.4</v>
      </c>
      <c r="C61" s="662">
        <v>1.4</v>
      </c>
      <c r="D61" s="662">
        <v>1.4</v>
      </c>
      <c r="E61" s="666">
        <v>1.4</v>
      </c>
      <c r="F61" s="666">
        <v>1.35</v>
      </c>
      <c r="G61" s="666">
        <v>1.35</v>
      </c>
      <c r="H61" s="666">
        <v>1.4</v>
      </c>
      <c r="I61" s="664">
        <v>1.4</v>
      </c>
      <c r="J61" s="666">
        <v>1.4</v>
      </c>
      <c r="K61" s="662">
        <v>1.4</v>
      </c>
      <c r="L61" s="666">
        <v>1.25</v>
      </c>
      <c r="M61" s="666">
        <v>1.25</v>
      </c>
      <c r="N61" s="666">
        <v>1.4</v>
      </c>
      <c r="O61" s="666">
        <v>1.4</v>
      </c>
      <c r="P61" s="666">
        <v>1.3</v>
      </c>
      <c r="Q61" s="704">
        <v>1.4</v>
      </c>
      <c r="R61" s="665">
        <v>1.4</v>
      </c>
      <c r="S61" s="704">
        <v>1.4</v>
      </c>
      <c r="T61" s="704">
        <v>1.4</v>
      </c>
      <c r="U61" s="704">
        <v>1.45</v>
      </c>
      <c r="V61" s="666">
        <v>1.4</v>
      </c>
      <c r="W61" s="662">
        <v>1.4</v>
      </c>
      <c r="X61" s="704">
        <v>1.4</v>
      </c>
      <c r="Y61" s="704">
        <v>1.45</v>
      </c>
      <c r="Z61" s="666">
        <v>1.4</v>
      </c>
    </row>
    <row r="62" spans="1:26" ht="12.75">
      <c r="A62" s="661" t="s">
        <v>622</v>
      </c>
      <c r="B62" s="669" t="s">
        <v>293</v>
      </c>
      <c r="C62" s="668" t="s">
        <v>293</v>
      </c>
      <c r="D62" s="668" t="s">
        <v>293</v>
      </c>
      <c r="E62" s="669" t="s">
        <v>293</v>
      </c>
      <c r="F62" s="669" t="s">
        <v>293</v>
      </c>
      <c r="G62" s="669" t="s">
        <v>293</v>
      </c>
      <c r="H62" s="669" t="s">
        <v>293</v>
      </c>
      <c r="I62" s="670" t="s">
        <v>293</v>
      </c>
      <c r="J62" s="669" t="s">
        <v>293</v>
      </c>
      <c r="K62" s="668" t="s">
        <v>293</v>
      </c>
      <c r="L62" s="669" t="s">
        <v>293</v>
      </c>
      <c r="M62" s="669" t="s">
        <v>293</v>
      </c>
      <c r="N62" s="666">
        <v>0</v>
      </c>
      <c r="O62" s="666">
        <v>0</v>
      </c>
      <c r="P62" s="669" t="s">
        <v>293</v>
      </c>
      <c r="Q62" s="669" t="s">
        <v>293</v>
      </c>
      <c r="R62" s="602" t="s">
        <v>293</v>
      </c>
      <c r="S62" s="669" t="s">
        <v>293</v>
      </c>
      <c r="T62" s="669" t="s">
        <v>293</v>
      </c>
      <c r="U62" s="669" t="s">
        <v>293</v>
      </c>
      <c r="V62" s="669" t="s">
        <v>293</v>
      </c>
      <c r="W62" s="668" t="s">
        <v>293</v>
      </c>
      <c r="X62" s="669" t="s">
        <v>293</v>
      </c>
      <c r="Y62" s="669" t="s">
        <v>293</v>
      </c>
      <c r="Z62" s="669" t="s">
        <v>293</v>
      </c>
    </row>
    <row r="63" spans="1:26" ht="12.75">
      <c r="A63" s="661" t="s">
        <v>623</v>
      </c>
      <c r="B63" s="663">
        <v>1000</v>
      </c>
      <c r="C63" s="662">
        <v>1000</v>
      </c>
      <c r="D63" s="662">
        <v>1000</v>
      </c>
      <c r="E63" s="663">
        <v>1000</v>
      </c>
      <c r="F63" s="663">
        <v>1000</v>
      </c>
      <c r="G63" s="663">
        <v>1500</v>
      </c>
      <c r="H63" s="663">
        <v>1500</v>
      </c>
      <c r="I63" s="664">
        <v>1500</v>
      </c>
      <c r="J63" s="663">
        <v>1750</v>
      </c>
      <c r="K63" s="662">
        <v>1750</v>
      </c>
      <c r="L63" s="667" t="s">
        <v>293</v>
      </c>
      <c r="M63" s="667" t="s">
        <v>293</v>
      </c>
      <c r="N63" s="667" t="s">
        <v>293</v>
      </c>
      <c r="O63" s="667" t="s">
        <v>293</v>
      </c>
      <c r="P63" s="663">
        <v>1000</v>
      </c>
      <c r="Q63" s="661">
        <v>1000</v>
      </c>
      <c r="R63" s="665">
        <v>1000</v>
      </c>
      <c r="S63" s="661">
        <v>1000</v>
      </c>
      <c r="T63" s="661">
        <v>1500</v>
      </c>
      <c r="U63" s="667" t="s">
        <v>293</v>
      </c>
      <c r="V63" s="663">
        <v>1000</v>
      </c>
      <c r="W63" s="662">
        <v>1000</v>
      </c>
      <c r="X63" s="661">
        <v>1000</v>
      </c>
      <c r="Y63" s="661">
        <v>1000</v>
      </c>
      <c r="Z63" s="663">
        <v>1000</v>
      </c>
    </row>
    <row r="64" spans="1:26" ht="12.75">
      <c r="A64" s="661" t="s">
        <v>624</v>
      </c>
      <c r="B64" s="661">
        <v>2.5</v>
      </c>
      <c r="C64" s="662">
        <v>2.5</v>
      </c>
      <c r="D64" s="662">
        <v>2.5</v>
      </c>
      <c r="E64" s="661">
        <v>2.5</v>
      </c>
      <c r="F64" s="663">
        <v>3</v>
      </c>
      <c r="G64" s="663">
        <v>3.5</v>
      </c>
      <c r="H64" s="663">
        <v>3.5</v>
      </c>
      <c r="I64" s="664">
        <v>3.5</v>
      </c>
      <c r="J64" s="663">
        <v>5.75</v>
      </c>
      <c r="K64" s="662">
        <v>5.75</v>
      </c>
      <c r="L64" s="663">
        <v>2.5</v>
      </c>
      <c r="M64" s="663">
        <v>2.5</v>
      </c>
      <c r="N64" s="663">
        <v>2.5</v>
      </c>
      <c r="O64" s="663">
        <v>2.5</v>
      </c>
      <c r="P64" s="661">
        <v>2.5</v>
      </c>
      <c r="Q64" s="661">
        <v>2.5</v>
      </c>
      <c r="R64" s="665">
        <v>3</v>
      </c>
      <c r="S64" s="661">
        <v>3.5</v>
      </c>
      <c r="T64" s="661">
        <v>3.5</v>
      </c>
      <c r="U64" s="661">
        <v>3</v>
      </c>
      <c r="V64" s="661">
        <v>2.5</v>
      </c>
      <c r="W64" s="662">
        <v>2.5</v>
      </c>
      <c r="X64" s="661">
        <v>3.5</v>
      </c>
      <c r="Y64" s="661">
        <v>4</v>
      </c>
      <c r="Z64" s="661">
        <v>3.5</v>
      </c>
    </row>
    <row r="65" spans="1:26" ht="12.75">
      <c r="A65" s="661" t="s">
        <v>625</v>
      </c>
      <c r="B65" s="661">
        <v>18</v>
      </c>
      <c r="C65" s="662">
        <v>18</v>
      </c>
      <c r="D65" s="662">
        <v>18</v>
      </c>
      <c r="E65" s="661">
        <v>18</v>
      </c>
      <c r="F65" s="663">
        <v>27</v>
      </c>
      <c r="G65" s="663">
        <v>50</v>
      </c>
      <c r="H65" s="663">
        <v>50</v>
      </c>
      <c r="I65" s="664">
        <v>50</v>
      </c>
      <c r="J65" s="663">
        <v>100</v>
      </c>
      <c r="K65" s="662">
        <v>100</v>
      </c>
      <c r="L65" s="663">
        <v>10</v>
      </c>
      <c r="M65" s="663">
        <v>10</v>
      </c>
      <c r="N65" s="663">
        <v>30</v>
      </c>
      <c r="O65" s="663">
        <v>30</v>
      </c>
      <c r="P65" s="661">
        <v>18</v>
      </c>
      <c r="Q65" s="661">
        <v>16</v>
      </c>
      <c r="R65" s="665">
        <v>16</v>
      </c>
      <c r="S65" s="661">
        <v>18</v>
      </c>
      <c r="T65" s="661">
        <v>28</v>
      </c>
      <c r="U65" s="661">
        <v>10</v>
      </c>
      <c r="V65" s="661">
        <v>18</v>
      </c>
      <c r="W65" s="662">
        <v>18</v>
      </c>
      <c r="X65" s="661">
        <v>18</v>
      </c>
      <c r="Y65" s="661">
        <v>30</v>
      </c>
      <c r="Z65" s="661">
        <v>18</v>
      </c>
    </row>
    <row r="66" spans="1:26" ht="12.75">
      <c r="A66" s="661" t="s">
        <v>626</v>
      </c>
      <c r="B66" s="667" t="s">
        <v>293</v>
      </c>
      <c r="C66" s="668" t="s">
        <v>293</v>
      </c>
      <c r="D66" s="668" t="s">
        <v>293</v>
      </c>
      <c r="E66" s="667" t="s">
        <v>293</v>
      </c>
      <c r="F66" s="661">
        <v>0.5</v>
      </c>
      <c r="G66" s="704">
        <v>0.5</v>
      </c>
      <c r="H66" s="704">
        <v>0.35</v>
      </c>
      <c r="I66" s="704">
        <v>0.35</v>
      </c>
      <c r="J66" s="704">
        <v>0.35</v>
      </c>
      <c r="K66" s="662">
        <v>0.35</v>
      </c>
      <c r="L66" s="667" t="s">
        <v>293</v>
      </c>
      <c r="M66" s="667" t="s">
        <v>293</v>
      </c>
      <c r="N66" s="667" t="s">
        <v>293</v>
      </c>
      <c r="O66" s="667" t="s">
        <v>293</v>
      </c>
      <c r="P66" s="667" t="s">
        <v>293</v>
      </c>
      <c r="Q66" s="667" t="s">
        <v>293</v>
      </c>
      <c r="R66" s="602" t="s">
        <v>293</v>
      </c>
      <c r="S66" s="667" t="s">
        <v>293</v>
      </c>
      <c r="T66" s="667" t="s">
        <v>293</v>
      </c>
      <c r="U66" s="667" t="s">
        <v>293</v>
      </c>
      <c r="V66" s="667" t="s">
        <v>293</v>
      </c>
      <c r="W66" s="668" t="s">
        <v>293</v>
      </c>
      <c r="X66" s="667" t="s">
        <v>293</v>
      </c>
      <c r="Y66" s="667" t="s">
        <v>293</v>
      </c>
      <c r="Z66" s="667" t="s">
        <v>293</v>
      </c>
    </row>
    <row r="67" spans="1:26" ht="12.75">
      <c r="A67" s="661" t="s">
        <v>627</v>
      </c>
      <c r="B67" s="667" t="s">
        <v>293</v>
      </c>
      <c r="C67" s="668" t="s">
        <v>293</v>
      </c>
      <c r="D67" s="668" t="s">
        <v>293</v>
      </c>
      <c r="E67" s="667" t="s">
        <v>293</v>
      </c>
      <c r="F67" s="667" t="s">
        <v>293</v>
      </c>
      <c r="G67" s="713" t="s">
        <v>293</v>
      </c>
      <c r="H67" s="713" t="s">
        <v>293</v>
      </c>
      <c r="I67" s="714" t="s">
        <v>293</v>
      </c>
      <c r="J67" s="713" t="s">
        <v>293</v>
      </c>
      <c r="K67" s="715" t="s">
        <v>293</v>
      </c>
      <c r="L67" s="667" t="s">
        <v>293</v>
      </c>
      <c r="M67" s="667" t="s">
        <v>293</v>
      </c>
      <c r="N67" s="667" t="s">
        <v>293</v>
      </c>
      <c r="O67" s="667" t="s">
        <v>293</v>
      </c>
      <c r="P67" s="667" t="s">
        <v>293</v>
      </c>
      <c r="Q67" s="667" t="s">
        <v>293</v>
      </c>
      <c r="R67" s="602" t="s">
        <v>293</v>
      </c>
      <c r="S67" s="667" t="s">
        <v>293</v>
      </c>
      <c r="T67" s="667" t="s">
        <v>293</v>
      </c>
      <c r="U67" s="667" t="s">
        <v>293</v>
      </c>
      <c r="V67" s="667" t="s">
        <v>293</v>
      </c>
      <c r="W67" s="668" t="s">
        <v>293</v>
      </c>
      <c r="X67" s="667" t="s">
        <v>293</v>
      </c>
      <c r="Y67" s="667" t="s">
        <v>293</v>
      </c>
      <c r="Z67" s="667" t="s">
        <v>293</v>
      </c>
    </row>
    <row r="68" spans="1:26" ht="12.75">
      <c r="A68" s="661" t="s">
        <v>628</v>
      </c>
      <c r="B68" s="667" t="s">
        <v>293</v>
      </c>
      <c r="C68" s="668" t="s">
        <v>293</v>
      </c>
      <c r="D68" s="668" t="s">
        <v>293</v>
      </c>
      <c r="E68" s="667" t="s">
        <v>293</v>
      </c>
      <c r="F68" s="661">
        <v>2.5</v>
      </c>
      <c r="G68" s="716">
        <v>1</v>
      </c>
      <c r="H68" s="704">
        <v>0.4</v>
      </c>
      <c r="I68" s="704">
        <v>0.4</v>
      </c>
      <c r="J68" s="704">
        <v>0.4</v>
      </c>
      <c r="K68" s="662">
        <v>0.4</v>
      </c>
      <c r="L68" s="667" t="s">
        <v>293</v>
      </c>
      <c r="M68" s="667" t="s">
        <v>293</v>
      </c>
      <c r="N68" s="667" t="s">
        <v>293</v>
      </c>
      <c r="O68" s="667" t="s">
        <v>293</v>
      </c>
      <c r="P68" s="667" t="s">
        <v>293</v>
      </c>
      <c r="Q68" s="667" t="s">
        <v>293</v>
      </c>
      <c r="R68" s="602" t="s">
        <v>293</v>
      </c>
      <c r="S68" s="667" t="s">
        <v>293</v>
      </c>
      <c r="T68" s="667" t="s">
        <v>293</v>
      </c>
      <c r="U68" s="667" t="s">
        <v>293</v>
      </c>
      <c r="V68" s="667" t="s">
        <v>293</v>
      </c>
      <c r="W68" s="668" t="s">
        <v>293</v>
      </c>
      <c r="X68" s="667" t="s">
        <v>293</v>
      </c>
      <c r="Y68" s="667" t="s">
        <v>293</v>
      </c>
      <c r="Z68" s="667" t="s">
        <v>293</v>
      </c>
    </row>
    <row r="69" spans="1:26" ht="12.75">
      <c r="A69" s="661" t="s">
        <v>629</v>
      </c>
      <c r="B69" s="661">
        <v>30</v>
      </c>
      <c r="C69" s="662">
        <v>30</v>
      </c>
      <c r="D69" s="662">
        <v>30</v>
      </c>
      <c r="E69" s="661">
        <v>30</v>
      </c>
      <c r="F69" s="661">
        <v>30</v>
      </c>
      <c r="G69" s="661">
        <v>30</v>
      </c>
      <c r="H69" s="661">
        <v>20</v>
      </c>
      <c r="I69" s="664">
        <v>20</v>
      </c>
      <c r="J69" s="661">
        <v>20</v>
      </c>
      <c r="K69" s="662">
        <v>20</v>
      </c>
      <c r="L69" s="661">
        <v>30</v>
      </c>
      <c r="M69" s="661">
        <v>30</v>
      </c>
      <c r="N69" s="661">
        <v>30</v>
      </c>
      <c r="O69" s="661">
        <v>30</v>
      </c>
      <c r="P69" s="661">
        <v>30</v>
      </c>
      <c r="Q69" s="661">
        <v>30</v>
      </c>
      <c r="R69" s="665">
        <v>30</v>
      </c>
      <c r="S69" s="661">
        <v>30</v>
      </c>
      <c r="T69" s="661">
        <v>30</v>
      </c>
      <c r="U69" s="661">
        <v>30</v>
      </c>
      <c r="V69" s="661">
        <v>30</v>
      </c>
      <c r="W69" s="662">
        <v>30</v>
      </c>
      <c r="X69" s="661">
        <v>30</v>
      </c>
      <c r="Y69" s="661">
        <v>30</v>
      </c>
      <c r="Z69" s="661">
        <v>30</v>
      </c>
    </row>
    <row r="70" spans="1:26" ht="12.75">
      <c r="A70" s="661" t="s">
        <v>630</v>
      </c>
      <c r="B70" s="661">
        <v>18</v>
      </c>
      <c r="C70" s="662">
        <v>18</v>
      </c>
      <c r="D70" s="662">
        <v>18</v>
      </c>
      <c r="E70" s="661">
        <v>18</v>
      </c>
      <c r="F70" s="663">
        <v>27</v>
      </c>
      <c r="G70" s="663">
        <v>45</v>
      </c>
      <c r="H70" s="663">
        <v>50</v>
      </c>
      <c r="I70" s="664">
        <v>50</v>
      </c>
      <c r="J70" s="663">
        <v>67.5</v>
      </c>
      <c r="K70" s="662">
        <v>67.5</v>
      </c>
      <c r="L70" s="663">
        <v>15</v>
      </c>
      <c r="M70" s="663">
        <v>15</v>
      </c>
      <c r="N70" s="663">
        <v>25</v>
      </c>
      <c r="O70" s="663">
        <v>25</v>
      </c>
      <c r="P70" s="661">
        <v>18</v>
      </c>
      <c r="Q70" s="661">
        <v>18</v>
      </c>
      <c r="R70" s="665">
        <v>18</v>
      </c>
      <c r="S70" s="661">
        <v>18</v>
      </c>
      <c r="T70" s="661">
        <v>28</v>
      </c>
      <c r="U70" s="661">
        <v>18</v>
      </c>
      <c r="V70" s="661">
        <v>18</v>
      </c>
      <c r="W70" s="662">
        <v>18</v>
      </c>
      <c r="X70" s="661">
        <v>18</v>
      </c>
      <c r="Y70" s="661">
        <v>30</v>
      </c>
      <c r="Z70" s="661">
        <v>18</v>
      </c>
    </row>
    <row r="71" spans="1:26" ht="12.75">
      <c r="A71" s="661" t="s">
        <v>631</v>
      </c>
      <c r="B71" s="661">
        <v>30</v>
      </c>
      <c r="C71" s="662">
        <v>30</v>
      </c>
      <c r="D71" s="662">
        <v>30</v>
      </c>
      <c r="E71" s="661">
        <v>20</v>
      </c>
      <c r="F71" s="663">
        <v>20</v>
      </c>
      <c r="G71" s="663">
        <v>24</v>
      </c>
      <c r="H71" s="663">
        <v>30</v>
      </c>
      <c r="I71" s="664">
        <v>30</v>
      </c>
      <c r="J71" s="663">
        <v>35</v>
      </c>
      <c r="K71" s="662">
        <v>35</v>
      </c>
      <c r="L71" s="663">
        <v>30</v>
      </c>
      <c r="M71" s="663">
        <v>30</v>
      </c>
      <c r="N71" s="663">
        <v>40</v>
      </c>
      <c r="O71" s="663">
        <v>40</v>
      </c>
      <c r="P71" s="661">
        <v>40</v>
      </c>
      <c r="Q71" s="661">
        <v>30</v>
      </c>
      <c r="R71" s="665">
        <v>35</v>
      </c>
      <c r="S71" s="661">
        <v>40</v>
      </c>
      <c r="T71" s="661">
        <v>35</v>
      </c>
      <c r="U71" s="661">
        <v>35</v>
      </c>
      <c r="V71" s="661">
        <v>30</v>
      </c>
      <c r="W71" s="662">
        <v>30</v>
      </c>
      <c r="X71" s="661">
        <v>40</v>
      </c>
      <c r="Y71" s="661">
        <v>50</v>
      </c>
      <c r="Z71" s="661">
        <v>45</v>
      </c>
    </row>
    <row r="72" spans="1:26" ht="12.75">
      <c r="A72" s="661" t="s">
        <v>632</v>
      </c>
      <c r="B72" s="661">
        <v>30</v>
      </c>
      <c r="C72" s="662">
        <v>30</v>
      </c>
      <c r="D72" s="662">
        <v>30</v>
      </c>
      <c r="E72" s="661">
        <v>20</v>
      </c>
      <c r="F72" s="663">
        <v>20</v>
      </c>
      <c r="G72" s="663">
        <v>24</v>
      </c>
      <c r="H72" s="663">
        <v>30</v>
      </c>
      <c r="I72" s="664">
        <v>30</v>
      </c>
      <c r="J72" s="663">
        <v>35</v>
      </c>
      <c r="K72" s="662">
        <v>35</v>
      </c>
      <c r="L72" s="663">
        <v>30</v>
      </c>
      <c r="M72" s="663">
        <v>30</v>
      </c>
      <c r="N72" s="663">
        <v>40</v>
      </c>
      <c r="O72" s="663">
        <v>40</v>
      </c>
      <c r="P72" s="661">
        <v>40</v>
      </c>
      <c r="Q72" s="661">
        <v>30</v>
      </c>
      <c r="R72" s="665">
        <v>35</v>
      </c>
      <c r="S72" s="661">
        <v>40</v>
      </c>
      <c r="T72" s="661">
        <v>35</v>
      </c>
      <c r="U72" s="661">
        <v>35</v>
      </c>
      <c r="V72" s="661">
        <v>30</v>
      </c>
      <c r="W72" s="662">
        <v>30</v>
      </c>
      <c r="X72" s="661">
        <v>40</v>
      </c>
      <c r="Y72" s="661">
        <v>50</v>
      </c>
      <c r="Z72" s="661">
        <v>45</v>
      </c>
    </row>
    <row r="73" spans="1:26" ht="12.75">
      <c r="A73" s="661" t="s">
        <v>633</v>
      </c>
      <c r="B73" s="667" t="s">
        <v>324</v>
      </c>
      <c r="C73" s="668" t="s">
        <v>324</v>
      </c>
      <c r="D73" s="668" t="s">
        <v>324</v>
      </c>
      <c r="E73" s="667" t="s">
        <v>324</v>
      </c>
      <c r="F73" s="669" t="s">
        <v>324</v>
      </c>
      <c r="G73" s="669" t="s">
        <v>324</v>
      </c>
      <c r="H73" s="669" t="s">
        <v>324</v>
      </c>
      <c r="I73" s="670" t="s">
        <v>324</v>
      </c>
      <c r="J73" s="669" t="s">
        <v>324</v>
      </c>
      <c r="K73" s="668" t="s">
        <v>324</v>
      </c>
      <c r="L73" s="669" t="s">
        <v>324</v>
      </c>
      <c r="M73" s="669" t="s">
        <v>324</v>
      </c>
      <c r="N73" s="669" t="s">
        <v>328</v>
      </c>
      <c r="O73" s="669" t="s">
        <v>328</v>
      </c>
      <c r="P73" s="667" t="s">
        <v>324</v>
      </c>
      <c r="Q73" s="667" t="s">
        <v>324</v>
      </c>
      <c r="R73" s="602" t="s">
        <v>324</v>
      </c>
      <c r="S73" s="667" t="s">
        <v>324</v>
      </c>
      <c r="T73" s="667" t="s">
        <v>324</v>
      </c>
      <c r="U73" s="667" t="s">
        <v>324</v>
      </c>
      <c r="V73" s="667" t="s">
        <v>324</v>
      </c>
      <c r="W73" s="668" t="s">
        <v>324</v>
      </c>
      <c r="X73" s="667" t="s">
        <v>324</v>
      </c>
      <c r="Y73" s="667" t="s">
        <v>324</v>
      </c>
      <c r="Z73" s="667" t="s">
        <v>324</v>
      </c>
    </row>
    <row r="74" spans="1:26" ht="12.75">
      <c r="A74" s="661" t="s">
        <v>634</v>
      </c>
      <c r="B74" s="667" t="s">
        <v>293</v>
      </c>
      <c r="C74" s="668" t="s">
        <v>293</v>
      </c>
      <c r="D74" s="668" t="s">
        <v>293</v>
      </c>
      <c r="E74" s="667" t="s">
        <v>293</v>
      </c>
      <c r="F74" s="717" t="s">
        <v>293</v>
      </c>
      <c r="G74" s="717" t="s">
        <v>293</v>
      </c>
      <c r="H74" s="717" t="s">
        <v>293</v>
      </c>
      <c r="I74" s="718" t="s">
        <v>293</v>
      </c>
      <c r="J74" s="717" t="s">
        <v>293</v>
      </c>
      <c r="K74" s="719" t="s">
        <v>293</v>
      </c>
      <c r="L74" s="717" t="s">
        <v>293</v>
      </c>
      <c r="M74" s="717" t="s">
        <v>293</v>
      </c>
      <c r="N74" s="720">
        <f t="shared" ref="N74:O74" si="24">0.045*90</f>
        <v>4.05</v>
      </c>
      <c r="O74" s="720">
        <f t="shared" si="24"/>
        <v>4.05</v>
      </c>
      <c r="P74" s="667" t="s">
        <v>293</v>
      </c>
      <c r="Q74" s="721" t="s">
        <v>293</v>
      </c>
      <c r="R74" s="601" t="s">
        <v>293</v>
      </c>
      <c r="S74" s="721" t="s">
        <v>293</v>
      </c>
      <c r="T74" s="721" t="s">
        <v>293</v>
      </c>
      <c r="U74" s="721" t="s">
        <v>293</v>
      </c>
      <c r="V74" s="667" t="s">
        <v>293</v>
      </c>
      <c r="W74" s="668" t="s">
        <v>293</v>
      </c>
      <c r="X74" s="721" t="s">
        <v>293</v>
      </c>
      <c r="Y74" s="721" t="s">
        <v>293</v>
      </c>
      <c r="Z74" s="667" t="s">
        <v>293</v>
      </c>
    </row>
    <row r="75" spans="1:26" ht="163.5" customHeight="1">
      <c r="A75" s="722" t="s">
        <v>635</v>
      </c>
      <c r="B75" s="723"/>
      <c r="C75" s="724" t="s">
        <v>636</v>
      </c>
      <c r="D75" s="724" t="s">
        <v>637</v>
      </c>
      <c r="E75" s="723"/>
      <c r="F75" s="723"/>
      <c r="G75" s="723"/>
      <c r="H75" s="723"/>
      <c r="I75" s="725" t="s">
        <v>638</v>
      </c>
      <c r="J75" s="723"/>
      <c r="K75" s="725" t="s">
        <v>639</v>
      </c>
      <c r="L75" s="723"/>
      <c r="M75" s="723" t="s">
        <v>640</v>
      </c>
      <c r="N75" s="723"/>
      <c r="O75" s="723" t="s">
        <v>641</v>
      </c>
      <c r="P75" s="723" t="s">
        <v>642</v>
      </c>
      <c r="Q75" s="723"/>
      <c r="R75" s="726"/>
      <c r="S75" s="682" t="s">
        <v>643</v>
      </c>
      <c r="T75" s="682"/>
      <c r="U75" s="661"/>
      <c r="V75" s="723"/>
      <c r="W75" s="724" t="s">
        <v>644</v>
      </c>
      <c r="X75" s="661"/>
      <c r="Y75" s="661"/>
      <c r="Z75" s="723"/>
    </row>
    <row r="76" spans="1:26" ht="33.75" customHeight="1">
      <c r="A76" s="727"/>
      <c r="B76" s="661"/>
      <c r="C76" s="711"/>
      <c r="D76" s="711"/>
      <c r="E76" s="661"/>
      <c r="F76" s="663"/>
      <c r="G76" s="663"/>
      <c r="H76" s="663"/>
      <c r="I76" s="728"/>
      <c r="J76" s="663"/>
      <c r="K76" s="711"/>
      <c r="L76" s="663"/>
      <c r="M76" s="663"/>
      <c r="N76" s="663"/>
      <c r="O76" s="663"/>
      <c r="P76" s="661"/>
      <c r="Q76" s="663"/>
      <c r="R76" s="712"/>
      <c r="S76" s="661"/>
      <c r="T76" s="661"/>
      <c r="U76" s="661"/>
      <c r="V76" s="661"/>
      <c r="W76" s="711"/>
      <c r="X76" s="661"/>
      <c r="Y76" s="661"/>
      <c r="Z76" s="661"/>
    </row>
    <row r="77" spans="1:26" ht="36" customHeight="1">
      <c r="A77" s="729"/>
      <c r="B77" s="661"/>
      <c r="C77" s="711"/>
      <c r="D77" s="711"/>
      <c r="E77" s="661"/>
      <c r="F77" s="663"/>
      <c r="G77" s="663"/>
      <c r="H77" s="663"/>
      <c r="I77" s="728"/>
      <c r="J77" s="663"/>
      <c r="K77" s="711"/>
      <c r="L77" s="663"/>
      <c r="M77" s="663"/>
      <c r="N77" s="663"/>
      <c r="O77" s="663"/>
      <c r="P77" s="661"/>
      <c r="Q77" s="663"/>
      <c r="R77" s="712"/>
      <c r="S77" s="661"/>
      <c r="T77" s="661"/>
      <c r="U77" s="661"/>
      <c r="V77" s="661"/>
      <c r="W77" s="711"/>
      <c r="X77" s="661"/>
      <c r="Y77" s="661"/>
      <c r="Z77" s="661"/>
    </row>
    <row r="78" spans="1:26" ht="53.25" customHeight="1">
      <c r="A78" s="682"/>
      <c r="B78" s="661"/>
      <c r="C78" s="711"/>
      <c r="D78" s="711"/>
      <c r="E78" s="661"/>
      <c r="F78" s="663"/>
      <c r="G78" s="663"/>
      <c r="H78" s="663"/>
      <c r="I78" s="728"/>
      <c r="J78" s="663"/>
      <c r="K78" s="711"/>
      <c r="L78" s="663"/>
      <c r="M78" s="663"/>
      <c r="N78" s="663"/>
      <c r="O78" s="663"/>
      <c r="P78" s="661"/>
      <c r="Q78" s="663"/>
      <c r="R78" s="712"/>
      <c r="S78" s="661"/>
      <c r="T78" s="661"/>
      <c r="U78" s="661"/>
      <c r="V78" s="661"/>
      <c r="W78" s="711"/>
      <c r="X78" s="661"/>
      <c r="Y78" s="661"/>
      <c r="Z78" s="661"/>
    </row>
    <row r="79" spans="1:26" ht="67.5" customHeight="1">
      <c r="A79" s="730"/>
      <c r="B79" s="661"/>
      <c r="C79" s="711"/>
      <c r="D79" s="711"/>
      <c r="E79" s="661"/>
      <c r="F79" s="663"/>
      <c r="G79" s="663"/>
      <c r="H79" s="663"/>
      <c r="I79" s="728"/>
      <c r="J79" s="663"/>
      <c r="K79" s="711"/>
      <c r="L79" s="663"/>
      <c r="M79" s="663"/>
      <c r="N79" s="663"/>
      <c r="O79" s="663"/>
      <c r="P79" s="661"/>
      <c r="Q79" s="663"/>
      <c r="R79" s="712"/>
      <c r="S79" s="661"/>
      <c r="T79" s="661"/>
      <c r="U79" s="661"/>
      <c r="V79" s="661"/>
      <c r="W79" s="711"/>
      <c r="X79" s="661"/>
      <c r="Y79" s="661"/>
      <c r="Z79" s="661"/>
    </row>
    <row r="80" spans="1:26" ht="15" customHeight="1">
      <c r="A80" s="661"/>
      <c r="B80" s="661"/>
      <c r="C80" s="711"/>
      <c r="D80" s="711"/>
      <c r="E80" s="661"/>
      <c r="F80" s="663"/>
      <c r="G80" s="663"/>
      <c r="H80" s="663"/>
      <c r="I80" s="728"/>
      <c r="J80" s="663"/>
      <c r="K80" s="711"/>
      <c r="L80" s="663"/>
      <c r="M80" s="663"/>
      <c r="N80" s="663"/>
      <c r="O80" s="663"/>
      <c r="P80" s="661"/>
      <c r="Q80" s="663"/>
      <c r="R80" s="712"/>
      <c r="S80" s="661"/>
      <c r="T80" s="661"/>
      <c r="U80" s="661"/>
      <c r="V80" s="661"/>
      <c r="W80" s="711"/>
      <c r="X80" s="661"/>
      <c r="Y80" s="661"/>
      <c r="Z80" s="661"/>
    </row>
    <row r="81" spans="1:26" ht="12.75">
      <c r="A81" s="661"/>
      <c r="B81" s="661"/>
      <c r="C81" s="711"/>
      <c r="D81" s="711"/>
      <c r="E81" s="661"/>
      <c r="F81" s="663"/>
      <c r="G81" s="663"/>
      <c r="H81" s="663"/>
      <c r="I81" s="728"/>
      <c r="J81" s="663"/>
      <c r="K81" s="711"/>
      <c r="L81" s="663"/>
      <c r="M81" s="663"/>
      <c r="N81" s="663"/>
      <c r="O81" s="663"/>
      <c r="P81" s="661"/>
      <c r="Q81" s="663"/>
      <c r="R81" s="712"/>
      <c r="S81" s="661"/>
      <c r="T81" s="661"/>
      <c r="U81" s="661"/>
      <c r="V81" s="661"/>
      <c r="W81" s="711"/>
      <c r="X81" s="661"/>
      <c r="Y81" s="661"/>
      <c r="Z81" s="661"/>
    </row>
    <row r="82" spans="1:26" ht="12.75">
      <c r="A82" s="661"/>
      <c r="B82" s="661"/>
      <c r="C82" s="711"/>
      <c r="D82" s="711"/>
      <c r="E82" s="661"/>
      <c r="F82" s="663"/>
      <c r="G82" s="663"/>
      <c r="H82" s="663"/>
      <c r="I82" s="728"/>
      <c r="J82" s="663"/>
      <c r="K82" s="711"/>
      <c r="L82" s="663"/>
      <c r="M82" s="663"/>
      <c r="N82" s="663"/>
      <c r="O82" s="663"/>
      <c r="P82" s="661"/>
      <c r="Q82" s="663"/>
      <c r="R82" s="712"/>
      <c r="S82" s="661"/>
      <c r="T82" s="661"/>
      <c r="U82" s="661"/>
      <c r="V82" s="661"/>
      <c r="W82" s="711"/>
      <c r="X82" s="661"/>
      <c r="Y82" s="661"/>
      <c r="Z82" s="661"/>
    </row>
    <row r="83" spans="1:26" ht="12.75">
      <c r="A83" s="661"/>
      <c r="B83" s="661"/>
      <c r="C83" s="711"/>
      <c r="D83" s="711"/>
      <c r="E83" s="661"/>
      <c r="F83" s="663"/>
      <c r="G83" s="663"/>
      <c r="H83" s="663"/>
      <c r="I83" s="728"/>
      <c r="J83" s="663"/>
      <c r="K83" s="711"/>
      <c r="L83" s="663"/>
      <c r="M83" s="663"/>
      <c r="N83" s="663"/>
      <c r="O83" s="663"/>
      <c r="P83" s="661"/>
      <c r="Q83" s="663"/>
      <c r="R83" s="712"/>
      <c r="S83" s="661"/>
      <c r="T83" s="661"/>
      <c r="U83" s="661"/>
      <c r="V83" s="661"/>
      <c r="W83" s="711"/>
      <c r="X83" s="661"/>
      <c r="Y83" s="661"/>
      <c r="Z83" s="661"/>
    </row>
    <row r="84" spans="1:26" ht="12.75">
      <c r="A84" s="661"/>
      <c r="B84" s="661"/>
      <c r="C84" s="711"/>
      <c r="D84" s="711"/>
      <c r="E84" s="661"/>
      <c r="F84" s="663"/>
      <c r="G84" s="663"/>
      <c r="H84" s="663"/>
      <c r="I84" s="728"/>
      <c r="J84" s="663"/>
      <c r="K84" s="711"/>
      <c r="L84" s="663"/>
      <c r="M84" s="663"/>
      <c r="N84" s="663"/>
      <c r="O84" s="663"/>
      <c r="P84" s="661"/>
      <c r="Q84" s="663"/>
      <c r="R84" s="712"/>
      <c r="S84" s="661"/>
      <c r="T84" s="661"/>
      <c r="U84" s="661"/>
      <c r="V84" s="661"/>
      <c r="W84" s="711"/>
      <c r="X84" s="661"/>
      <c r="Y84" s="661"/>
      <c r="Z84" s="661"/>
    </row>
    <row r="85" spans="1:26" ht="12.75">
      <c r="A85" s="661"/>
      <c r="B85" s="661"/>
      <c r="C85" s="711"/>
      <c r="D85" s="711"/>
      <c r="E85" s="661"/>
      <c r="F85" s="663"/>
      <c r="G85" s="663"/>
      <c r="H85" s="663"/>
      <c r="I85" s="728"/>
      <c r="J85" s="663"/>
      <c r="K85" s="711"/>
      <c r="L85" s="663"/>
      <c r="M85" s="663"/>
      <c r="N85" s="663"/>
      <c r="O85" s="663"/>
      <c r="P85" s="661"/>
      <c r="Q85" s="663"/>
      <c r="R85" s="712"/>
      <c r="S85" s="663"/>
      <c r="T85" s="663"/>
      <c r="U85" s="663"/>
      <c r="V85" s="661"/>
      <c r="W85" s="711"/>
      <c r="X85" s="663"/>
      <c r="Y85" s="663"/>
      <c r="Z85" s="661"/>
    </row>
  </sheetData>
  <conditionalFormatting sqref="A1:Z1 A3:Z7 A9:Z19 A21:Z25 A27:Z56 A58:Z85">
    <cfRule type="expression" dxfId="7" priority="1">
      <formula>ISODD(COLUMN())</formula>
    </cfRule>
    <cfRule type="expression" dxfId="6" priority="2">
      <formula>ISEVEN(COLUMN())</formula>
    </cfRule>
  </conditionalFormatting>
  <pageMargins left="0.7" right="0.7" top="0.75" bottom="0.75" header="0.3" footer="0.3"/>
  <drawing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80000"/>
    <outlinePr summaryBelow="0" summaryRight="0"/>
  </sheetPr>
  <dimension ref="A1:Z10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41.28515625" customWidth="1"/>
    <col min="6" max="6" width="12.5703125" customWidth="1"/>
    <col min="7" max="7" width="17.140625" customWidth="1"/>
    <col min="9" max="9" width="17.140625" customWidth="1"/>
    <col min="17" max="17" width="14.140625" customWidth="1"/>
    <col min="18" max="18" width="15.140625" customWidth="1"/>
    <col min="19" max="19" width="14.140625" customWidth="1"/>
    <col min="20" max="20" width="18.28515625" customWidth="1"/>
  </cols>
  <sheetData>
    <row r="1" spans="1:26" ht="35.25" customHeight="1">
      <c r="A1" s="651" t="s">
        <v>551</v>
      </c>
      <c r="B1" s="652" t="s">
        <v>292</v>
      </c>
      <c r="C1" s="654" t="s">
        <v>296</v>
      </c>
      <c r="D1" s="652" t="s">
        <v>297</v>
      </c>
      <c r="E1" s="652" t="s">
        <v>298</v>
      </c>
      <c r="F1" s="652" t="s">
        <v>299</v>
      </c>
      <c r="G1" s="653" t="s">
        <v>300</v>
      </c>
      <c r="H1" s="654" t="s">
        <v>301</v>
      </c>
      <c r="I1" s="653" t="s">
        <v>302</v>
      </c>
      <c r="J1" s="654" t="s">
        <v>303</v>
      </c>
      <c r="K1" s="652" t="s">
        <v>304</v>
      </c>
      <c r="L1" s="652" t="s">
        <v>305</v>
      </c>
      <c r="M1" s="652" t="s">
        <v>307</v>
      </c>
      <c r="N1" s="652" t="s">
        <v>309</v>
      </c>
      <c r="O1" s="652" t="s">
        <v>645</v>
      </c>
      <c r="P1" s="652" t="s">
        <v>646</v>
      </c>
      <c r="Q1" s="654" t="s">
        <v>311</v>
      </c>
      <c r="R1" s="652" t="s">
        <v>312</v>
      </c>
      <c r="S1" s="731" t="s">
        <v>313</v>
      </c>
      <c r="T1" s="652" t="s">
        <v>647</v>
      </c>
      <c r="U1" s="652" t="s">
        <v>648</v>
      </c>
      <c r="V1" s="654" t="s">
        <v>315</v>
      </c>
      <c r="W1" s="654" t="s">
        <v>316</v>
      </c>
      <c r="X1" s="654" t="s">
        <v>317</v>
      </c>
      <c r="Y1" s="654" t="s">
        <v>318</v>
      </c>
      <c r="Z1" s="654" t="s">
        <v>319</v>
      </c>
    </row>
    <row r="2" spans="1:26" ht="141.75" customHeight="1">
      <c r="A2" s="656" t="s">
        <v>562</v>
      </c>
      <c r="B2" s="658"/>
      <c r="C2" s="658"/>
      <c r="D2" s="658"/>
      <c r="E2" s="658"/>
      <c r="F2" s="658"/>
      <c r="G2" s="732"/>
      <c r="H2" s="658"/>
      <c r="I2" s="732"/>
      <c r="J2" s="658"/>
      <c r="K2" s="658"/>
      <c r="L2" s="658"/>
      <c r="M2" s="658"/>
      <c r="N2" s="658"/>
      <c r="O2" s="658"/>
      <c r="P2" s="658"/>
      <c r="Q2" s="658"/>
      <c r="R2" s="658"/>
      <c r="S2" s="659"/>
      <c r="T2" s="658"/>
      <c r="U2" s="658"/>
      <c r="V2" s="658"/>
      <c r="W2" s="658"/>
      <c r="X2" s="658"/>
      <c r="Y2" s="658"/>
      <c r="Z2" s="658"/>
    </row>
    <row r="3" spans="1:26" ht="17.25" customHeight="1">
      <c r="A3" s="661" t="s">
        <v>563</v>
      </c>
      <c r="B3" s="661">
        <v>172</v>
      </c>
      <c r="C3" s="663">
        <v>182.34</v>
      </c>
      <c r="D3" s="661">
        <v>205</v>
      </c>
      <c r="E3" s="661">
        <v>193.7</v>
      </c>
      <c r="F3" s="661">
        <v>231.33</v>
      </c>
      <c r="G3" s="733">
        <v>231.33</v>
      </c>
      <c r="H3" s="663">
        <v>95.254400000000004</v>
      </c>
      <c r="I3" s="733">
        <v>625</v>
      </c>
      <c r="J3" s="663">
        <v>75.3</v>
      </c>
      <c r="K3" s="661">
        <v>223</v>
      </c>
      <c r="L3" s="661">
        <v>244</v>
      </c>
      <c r="M3" s="661">
        <v>253</v>
      </c>
      <c r="N3" s="661">
        <v>253</v>
      </c>
      <c r="O3" s="661">
        <v>350</v>
      </c>
      <c r="P3" s="661">
        <v>350</v>
      </c>
      <c r="Q3" s="663">
        <v>193</v>
      </c>
      <c r="R3" s="661">
        <v>193</v>
      </c>
      <c r="S3" s="665">
        <v>208.2</v>
      </c>
      <c r="T3" s="661">
        <v>230</v>
      </c>
      <c r="U3" s="661">
        <v>230</v>
      </c>
      <c r="V3" s="663">
        <v>172.5</v>
      </c>
      <c r="W3" s="663">
        <v>193.5</v>
      </c>
      <c r="X3" s="663">
        <v>245</v>
      </c>
      <c r="Y3" s="663">
        <v>270</v>
      </c>
      <c r="Z3" s="663">
        <v>193</v>
      </c>
    </row>
    <row r="4" spans="1:26" ht="12.75">
      <c r="A4" s="661" t="s">
        <v>564</v>
      </c>
      <c r="B4" s="704">
        <v>144</v>
      </c>
      <c r="C4" s="666">
        <v>144</v>
      </c>
      <c r="D4" s="704">
        <v>146</v>
      </c>
      <c r="E4" s="704">
        <v>146</v>
      </c>
      <c r="F4" s="704">
        <v>193.68</v>
      </c>
      <c r="G4" s="733">
        <v>193.68</v>
      </c>
      <c r="H4" s="663">
        <v>67.857420000000005</v>
      </c>
      <c r="I4" s="733">
        <v>443</v>
      </c>
      <c r="J4" s="663">
        <v>54.8</v>
      </c>
      <c r="K4" s="661">
        <v>190</v>
      </c>
      <c r="L4" s="704">
        <v>169</v>
      </c>
      <c r="M4" s="704">
        <v>186</v>
      </c>
      <c r="N4" s="704">
        <v>186</v>
      </c>
      <c r="O4" s="704">
        <v>286</v>
      </c>
      <c r="P4" s="704">
        <v>286</v>
      </c>
      <c r="Q4" s="666">
        <v>146</v>
      </c>
      <c r="R4" s="704">
        <v>146</v>
      </c>
      <c r="S4" s="665">
        <v>163</v>
      </c>
      <c r="T4" s="704">
        <v>173</v>
      </c>
      <c r="U4" s="704">
        <v>173</v>
      </c>
      <c r="V4" s="666">
        <v>148.69999999999999</v>
      </c>
      <c r="W4" s="666">
        <v>160</v>
      </c>
      <c r="X4" s="666">
        <v>210.45</v>
      </c>
      <c r="Y4" s="666">
        <v>234</v>
      </c>
      <c r="Z4" s="666">
        <v>146</v>
      </c>
    </row>
    <row r="5" spans="1:26" ht="12.75">
      <c r="A5" s="661" t="s">
        <v>565</v>
      </c>
      <c r="B5" s="667" t="s">
        <v>293</v>
      </c>
      <c r="C5" s="669" t="s">
        <v>293</v>
      </c>
      <c r="D5" s="667" t="s">
        <v>293</v>
      </c>
      <c r="E5" s="667" t="s">
        <v>293</v>
      </c>
      <c r="F5" s="704">
        <v>170.1</v>
      </c>
      <c r="G5" s="733">
        <v>170.1</v>
      </c>
      <c r="H5" s="667" t="s">
        <v>293</v>
      </c>
      <c r="I5" s="733">
        <v>330</v>
      </c>
      <c r="J5" s="669" t="s">
        <v>293</v>
      </c>
      <c r="K5" s="667" t="s">
        <v>293</v>
      </c>
      <c r="L5" s="669" t="s">
        <v>293</v>
      </c>
      <c r="M5" s="669" t="s">
        <v>293</v>
      </c>
      <c r="N5" s="669" t="s">
        <v>293</v>
      </c>
      <c r="O5" s="666">
        <v>211.5</v>
      </c>
      <c r="P5" s="666">
        <v>211.5</v>
      </c>
      <c r="Q5" s="667" t="s">
        <v>293</v>
      </c>
      <c r="R5" s="683" t="s">
        <v>293</v>
      </c>
      <c r="S5" s="734">
        <v>146</v>
      </c>
      <c r="T5" s="683" t="s">
        <v>293</v>
      </c>
      <c r="U5" s="683" t="s">
        <v>293</v>
      </c>
      <c r="V5" s="666">
        <v>136.80000000000001</v>
      </c>
      <c r="W5" s="666">
        <v>148</v>
      </c>
      <c r="X5" s="666">
        <v>165</v>
      </c>
      <c r="Y5" s="666">
        <v>171.5</v>
      </c>
      <c r="Z5" s="683" t="s">
        <v>293</v>
      </c>
    </row>
    <row r="6" spans="1:26" ht="12.75">
      <c r="A6" s="661" t="s">
        <v>566</v>
      </c>
      <c r="B6" s="661">
        <v>200</v>
      </c>
      <c r="C6" s="663">
        <v>200</v>
      </c>
      <c r="D6" s="661">
        <v>200</v>
      </c>
      <c r="E6" s="661">
        <v>200</v>
      </c>
      <c r="F6" s="661">
        <v>200</v>
      </c>
      <c r="G6" s="733">
        <v>200</v>
      </c>
      <c r="H6" s="663">
        <v>127</v>
      </c>
      <c r="I6" s="733">
        <v>370</v>
      </c>
      <c r="J6" s="663">
        <v>127</v>
      </c>
      <c r="K6" s="661">
        <v>200</v>
      </c>
      <c r="L6" s="661">
        <v>200</v>
      </c>
      <c r="M6" s="661">
        <v>230</v>
      </c>
      <c r="N6" s="661">
        <v>230</v>
      </c>
      <c r="O6" s="661">
        <v>260</v>
      </c>
      <c r="P6" s="661">
        <v>260</v>
      </c>
      <c r="Q6" s="663">
        <v>200</v>
      </c>
      <c r="R6" s="661">
        <v>200</v>
      </c>
      <c r="S6" s="665">
        <v>200</v>
      </c>
      <c r="T6" s="661">
        <v>200</v>
      </c>
      <c r="U6" s="661">
        <v>200</v>
      </c>
      <c r="V6" s="663">
        <v>263</v>
      </c>
      <c r="W6" s="663">
        <v>263</v>
      </c>
      <c r="X6" s="663">
        <v>263</v>
      </c>
      <c r="Y6" s="663">
        <v>263</v>
      </c>
      <c r="Z6" s="663">
        <v>200</v>
      </c>
    </row>
    <row r="7" spans="1:26" ht="12.75">
      <c r="A7" s="661" t="s">
        <v>567</v>
      </c>
      <c r="B7" s="661">
        <v>3.66</v>
      </c>
      <c r="C7" s="663">
        <v>3.66</v>
      </c>
      <c r="D7" s="661">
        <v>3.66</v>
      </c>
      <c r="E7" s="661">
        <v>3.66</v>
      </c>
      <c r="F7" s="661">
        <v>3.6619999999999999</v>
      </c>
      <c r="G7" s="733">
        <v>3.6619999999999999</v>
      </c>
      <c r="H7" s="663">
        <v>3.0230000000000001</v>
      </c>
      <c r="I7" s="733">
        <v>4.25</v>
      </c>
      <c r="J7" s="663">
        <v>2.83</v>
      </c>
      <c r="K7" s="661">
        <v>4.46</v>
      </c>
      <c r="L7" s="661">
        <v>4.4870000000000001</v>
      </c>
      <c r="M7" s="661">
        <v>4</v>
      </c>
      <c r="N7" s="661">
        <v>4</v>
      </c>
      <c r="O7" s="661">
        <v>4.7</v>
      </c>
      <c r="P7" s="661">
        <v>4.7</v>
      </c>
      <c r="Q7" s="663">
        <v>3.66</v>
      </c>
      <c r="R7" s="661">
        <v>3.66</v>
      </c>
      <c r="S7" s="665">
        <v>3.66</v>
      </c>
      <c r="T7" s="661">
        <v>3.7</v>
      </c>
      <c r="U7" s="661">
        <v>3.7</v>
      </c>
      <c r="V7" s="663">
        <v>3.28</v>
      </c>
      <c r="W7" s="663">
        <v>3.28</v>
      </c>
      <c r="X7" s="663">
        <v>3.54</v>
      </c>
      <c r="Y7" s="663">
        <v>3.8</v>
      </c>
      <c r="Z7" s="663">
        <v>3.66</v>
      </c>
    </row>
    <row r="8" spans="1:26" ht="20.25" customHeight="1">
      <c r="A8" s="671" t="s">
        <v>568</v>
      </c>
      <c r="B8" s="672"/>
      <c r="C8" s="672"/>
      <c r="D8" s="672"/>
      <c r="E8" s="672"/>
      <c r="F8" s="672"/>
      <c r="G8" s="674"/>
      <c r="H8" s="672"/>
      <c r="I8" s="674"/>
      <c r="J8" s="672"/>
      <c r="K8" s="672"/>
      <c r="L8" s="672"/>
      <c r="M8" s="672"/>
      <c r="N8" s="672"/>
      <c r="O8" s="672"/>
      <c r="P8" s="672"/>
      <c r="Q8" s="672"/>
      <c r="R8" s="672"/>
      <c r="S8" s="674"/>
      <c r="T8" s="672"/>
      <c r="U8" s="672"/>
      <c r="V8" s="672"/>
      <c r="W8" s="672"/>
      <c r="X8" s="672"/>
      <c r="Y8" s="672"/>
      <c r="Z8" s="672"/>
    </row>
    <row r="9" spans="1:26" ht="12.75">
      <c r="A9" s="661" t="s">
        <v>569</v>
      </c>
      <c r="B9" s="661">
        <v>32200</v>
      </c>
      <c r="C9" s="663">
        <v>41000</v>
      </c>
      <c r="D9" s="661">
        <v>35000</v>
      </c>
      <c r="E9" s="661">
        <v>35000</v>
      </c>
      <c r="F9" s="661">
        <v>26940</v>
      </c>
      <c r="G9" s="733">
        <v>26940</v>
      </c>
      <c r="H9" s="663">
        <v>11000</v>
      </c>
      <c r="I9" s="733">
        <v>83900</v>
      </c>
      <c r="J9" s="663">
        <v>17318</v>
      </c>
      <c r="K9" s="661">
        <v>60000</v>
      </c>
      <c r="L9" s="661">
        <v>50000</v>
      </c>
      <c r="M9" s="661">
        <v>25125</v>
      </c>
      <c r="N9" s="661">
        <v>25125</v>
      </c>
      <c r="O9" s="661">
        <v>55275</v>
      </c>
      <c r="P9" s="661">
        <v>55275</v>
      </c>
      <c r="Q9" s="663">
        <v>35000</v>
      </c>
      <c r="R9" s="661">
        <v>35000</v>
      </c>
      <c r="S9" s="665">
        <v>33900</v>
      </c>
      <c r="T9" s="661">
        <v>37500</v>
      </c>
      <c r="U9" s="661">
        <v>37500</v>
      </c>
      <c r="V9" s="663">
        <v>15500</v>
      </c>
      <c r="W9" s="663">
        <v>34500</v>
      </c>
      <c r="X9" s="663">
        <v>38000</v>
      </c>
      <c r="Y9" s="663">
        <v>38700</v>
      </c>
      <c r="Z9" s="663">
        <v>35000</v>
      </c>
    </row>
    <row r="10" spans="1:26" ht="16.5" customHeight="1">
      <c r="A10" s="661" t="s">
        <v>570</v>
      </c>
      <c r="B10" s="661">
        <v>2.04</v>
      </c>
      <c r="C10" s="663">
        <v>2.1</v>
      </c>
      <c r="D10" s="661">
        <v>2.8</v>
      </c>
      <c r="E10" s="661">
        <v>2.8</v>
      </c>
      <c r="F10" s="661">
        <v>4.5</v>
      </c>
      <c r="G10" s="733">
        <v>4.5</v>
      </c>
      <c r="H10" s="663">
        <v>5</v>
      </c>
      <c r="I10" s="733">
        <v>5</v>
      </c>
      <c r="J10" s="663">
        <v>2.2000000000000002</v>
      </c>
      <c r="K10" s="661">
        <v>1.85</v>
      </c>
      <c r="L10" s="661">
        <v>3</v>
      </c>
      <c r="M10" s="661">
        <v>6</v>
      </c>
      <c r="N10" s="661">
        <v>6</v>
      </c>
      <c r="O10" s="661">
        <v>3.2</v>
      </c>
      <c r="P10" s="661">
        <v>3.2</v>
      </c>
      <c r="Q10" s="663">
        <v>2.8</v>
      </c>
      <c r="R10" s="661">
        <v>2.8</v>
      </c>
      <c r="S10" s="665">
        <v>3</v>
      </c>
      <c r="T10" s="661">
        <v>3.5</v>
      </c>
      <c r="U10" s="661">
        <v>3.5</v>
      </c>
      <c r="V10" s="663">
        <v>3</v>
      </c>
      <c r="W10" s="663">
        <v>2.7</v>
      </c>
      <c r="X10" s="663">
        <v>2</v>
      </c>
      <c r="Y10" s="663">
        <v>2</v>
      </c>
      <c r="Z10" s="663">
        <v>2.8</v>
      </c>
    </row>
    <row r="11" spans="1:26" ht="12.75">
      <c r="A11" s="661" t="str">
        <f>"Raw acceleration at ignition: [m/s"&amp;CHAR(178)&amp;"]"</f>
        <v>Raw acceleration at ignition: [m/s²]</v>
      </c>
      <c r="B11" s="675">
        <f t="shared" ref="B11:Z11" si="0">B9/B3</f>
        <v>187.2093023255814</v>
      </c>
      <c r="C11" s="678">
        <f t="shared" si="0"/>
        <v>224.85466710540749</v>
      </c>
      <c r="D11" s="675">
        <f t="shared" si="0"/>
        <v>170.73170731707316</v>
      </c>
      <c r="E11" s="675">
        <f t="shared" si="0"/>
        <v>180.69179143004646</v>
      </c>
      <c r="F11" s="675">
        <f t="shared" si="0"/>
        <v>116.45700946699519</v>
      </c>
      <c r="G11" s="735">
        <f t="shared" si="0"/>
        <v>116.45700946699519</v>
      </c>
      <c r="H11" s="678">
        <f t="shared" si="0"/>
        <v>115.48022978466086</v>
      </c>
      <c r="I11" s="735">
        <f t="shared" si="0"/>
        <v>134.24</v>
      </c>
      <c r="J11" s="678">
        <f t="shared" si="0"/>
        <v>229.98671978751662</v>
      </c>
      <c r="K11" s="675">
        <f t="shared" si="0"/>
        <v>269.05829596412553</v>
      </c>
      <c r="L11" s="675">
        <f t="shared" si="0"/>
        <v>204.91803278688525</v>
      </c>
      <c r="M11" s="678">
        <f t="shared" si="0"/>
        <v>99.308300395256921</v>
      </c>
      <c r="N11" s="678">
        <f t="shared" si="0"/>
        <v>99.308300395256921</v>
      </c>
      <c r="O11" s="675">
        <f t="shared" si="0"/>
        <v>157.92857142857142</v>
      </c>
      <c r="P11" s="675">
        <f t="shared" si="0"/>
        <v>157.92857142857142</v>
      </c>
      <c r="Q11" s="678">
        <f t="shared" si="0"/>
        <v>181.34715025906735</v>
      </c>
      <c r="R11" s="675">
        <f t="shared" si="0"/>
        <v>181.34715025906735</v>
      </c>
      <c r="S11" s="680">
        <f t="shared" si="0"/>
        <v>162.82420749279541</v>
      </c>
      <c r="T11" s="675">
        <f t="shared" si="0"/>
        <v>163.04347826086956</v>
      </c>
      <c r="U11" s="675">
        <f t="shared" si="0"/>
        <v>163.04347826086956</v>
      </c>
      <c r="V11" s="678">
        <f t="shared" si="0"/>
        <v>89.85507246376811</v>
      </c>
      <c r="W11" s="678">
        <f t="shared" si="0"/>
        <v>178.29457364341084</v>
      </c>
      <c r="X11" s="678">
        <f t="shared" si="0"/>
        <v>155.10204081632654</v>
      </c>
      <c r="Y11" s="678">
        <f t="shared" si="0"/>
        <v>143.33333333333334</v>
      </c>
      <c r="Z11" s="678">
        <f t="shared" si="0"/>
        <v>181.34715025906735</v>
      </c>
    </row>
    <row r="12" spans="1:26" ht="12.75">
      <c r="A12" s="661" t="s">
        <v>571</v>
      </c>
      <c r="B12" s="678">
        <f t="shared" ref="B12:Z12" si="1">B10*B9/(9.81*(B3-B4))</f>
        <v>239.14373088685014</v>
      </c>
      <c r="C12" s="675">
        <f t="shared" si="1"/>
        <v>228.91910301997734</v>
      </c>
      <c r="D12" s="678">
        <f t="shared" si="1"/>
        <v>169.31875118782284</v>
      </c>
      <c r="E12" s="675">
        <f t="shared" si="1"/>
        <v>209.42990188850214</v>
      </c>
      <c r="F12" s="678">
        <f t="shared" si="1"/>
        <v>328.22837091998974</v>
      </c>
      <c r="G12" s="735">
        <f t="shared" si="1"/>
        <v>328.22837091998974</v>
      </c>
      <c r="H12" s="678">
        <f t="shared" si="1"/>
        <v>204.64021783232343</v>
      </c>
      <c r="I12" s="735">
        <f t="shared" si="1"/>
        <v>234.95872119725331</v>
      </c>
      <c r="J12" s="675">
        <f t="shared" si="1"/>
        <v>189.45128166878001</v>
      </c>
      <c r="K12" s="678">
        <f t="shared" si="1"/>
        <v>342.87832452970065</v>
      </c>
      <c r="L12" s="675">
        <f t="shared" si="1"/>
        <v>203.87359836901121</v>
      </c>
      <c r="M12" s="678">
        <f t="shared" si="1"/>
        <v>229.35779816513761</v>
      </c>
      <c r="N12" s="678">
        <f t="shared" si="1"/>
        <v>229.35779816513761</v>
      </c>
      <c r="O12" s="675">
        <f t="shared" si="1"/>
        <v>281.72782874617735</v>
      </c>
      <c r="P12" s="675">
        <f t="shared" si="1"/>
        <v>281.72782874617735</v>
      </c>
      <c r="Q12" s="678">
        <f t="shared" si="1"/>
        <v>212.54907064003294</v>
      </c>
      <c r="R12" s="675">
        <f t="shared" si="1"/>
        <v>212.54907064003294</v>
      </c>
      <c r="S12" s="680">
        <f t="shared" si="1"/>
        <v>229.35779816513767</v>
      </c>
      <c r="T12" s="675">
        <f t="shared" si="1"/>
        <v>234.72289285905893</v>
      </c>
      <c r="U12" s="675">
        <f t="shared" si="1"/>
        <v>234.72289285905893</v>
      </c>
      <c r="V12" s="675">
        <f t="shared" si="1"/>
        <v>199.16223370081968</v>
      </c>
      <c r="W12" s="675">
        <f t="shared" si="1"/>
        <v>283.44515952348348</v>
      </c>
      <c r="X12" s="678">
        <f t="shared" si="1"/>
        <v>224.2314540672192</v>
      </c>
      <c r="Y12" s="678">
        <f t="shared" si="1"/>
        <v>219.16411824668702</v>
      </c>
      <c r="Z12" s="678">
        <f t="shared" si="1"/>
        <v>212.54907064003294</v>
      </c>
    </row>
    <row r="13" spans="1:26" ht="12.75">
      <c r="A13" s="661" t="s">
        <v>572</v>
      </c>
      <c r="B13" s="678">
        <f t="shared" ref="B13:Z13" si="2">B12*9.81*LN(B3/B4)</f>
        <v>416.84004179906339</v>
      </c>
      <c r="C13" s="678">
        <f t="shared" si="2"/>
        <v>530.11859059997664</v>
      </c>
      <c r="D13" s="678">
        <f t="shared" si="2"/>
        <v>563.75472929062755</v>
      </c>
      <c r="E13" s="678">
        <f t="shared" si="2"/>
        <v>580.81733696126105</v>
      </c>
      <c r="F13" s="678">
        <f t="shared" si="2"/>
        <v>571.98004420550922</v>
      </c>
      <c r="G13" s="735">
        <f t="shared" si="2"/>
        <v>571.98004420550922</v>
      </c>
      <c r="H13" s="678">
        <f t="shared" si="2"/>
        <v>680.83546942492853</v>
      </c>
      <c r="I13" s="735">
        <f t="shared" si="2"/>
        <v>793.32032159607741</v>
      </c>
      <c r="J13" s="678">
        <f t="shared" si="2"/>
        <v>590.61803075513228</v>
      </c>
      <c r="K13" s="678">
        <f t="shared" si="2"/>
        <v>538.67862491694632</v>
      </c>
      <c r="L13" s="678">
        <f t="shared" si="2"/>
        <v>734.53902074025689</v>
      </c>
      <c r="M13" s="678">
        <f t="shared" si="2"/>
        <v>692.19633378221749</v>
      </c>
      <c r="N13" s="678">
        <f t="shared" si="2"/>
        <v>692.19633378221749</v>
      </c>
      <c r="O13" s="675">
        <f t="shared" si="2"/>
        <v>558.11538855029312</v>
      </c>
      <c r="P13" s="675">
        <f t="shared" si="2"/>
        <v>558.11538855029312</v>
      </c>
      <c r="Q13" s="678">
        <f t="shared" si="2"/>
        <v>581.91892734599594</v>
      </c>
      <c r="R13" s="678">
        <f t="shared" si="2"/>
        <v>581.91892734599594</v>
      </c>
      <c r="S13" s="680">
        <f t="shared" si="2"/>
        <v>550.68514959173888</v>
      </c>
      <c r="T13" s="678">
        <f t="shared" si="2"/>
        <v>655.76118453220863</v>
      </c>
      <c r="U13" s="675">
        <f t="shared" si="2"/>
        <v>655.76118453220863</v>
      </c>
      <c r="V13" s="678">
        <f t="shared" si="2"/>
        <v>290.07087435910427</v>
      </c>
      <c r="W13" s="678">
        <f t="shared" si="2"/>
        <v>528.60177306072535</v>
      </c>
      <c r="X13" s="678">
        <f t="shared" si="2"/>
        <v>334.37825658290006</v>
      </c>
      <c r="Y13" s="678">
        <f t="shared" si="2"/>
        <v>307.66681382744747</v>
      </c>
      <c r="Z13" s="678">
        <f t="shared" si="2"/>
        <v>581.91892734599594</v>
      </c>
    </row>
    <row r="14" spans="1:26" ht="18" customHeight="1">
      <c r="A14" s="681" t="s">
        <v>573</v>
      </c>
      <c r="B14" s="661">
        <v>0.25</v>
      </c>
      <c r="C14" s="661">
        <v>0.25</v>
      </c>
      <c r="D14" s="661">
        <v>0.25</v>
      </c>
      <c r="E14" s="661">
        <v>0.25</v>
      </c>
      <c r="F14" s="661">
        <v>0.25</v>
      </c>
      <c r="G14" s="733">
        <v>0.25</v>
      </c>
      <c r="H14" s="661">
        <v>0</v>
      </c>
      <c r="I14" s="733">
        <v>0</v>
      </c>
      <c r="J14" s="661">
        <v>0</v>
      </c>
      <c r="K14" s="661">
        <v>0</v>
      </c>
      <c r="L14" s="661">
        <v>0</v>
      </c>
      <c r="M14" s="661">
        <v>0</v>
      </c>
      <c r="N14" s="661">
        <v>0</v>
      </c>
      <c r="O14" s="661">
        <v>0</v>
      </c>
      <c r="P14" s="661">
        <v>0</v>
      </c>
      <c r="Q14" s="661">
        <v>0.25</v>
      </c>
      <c r="R14" s="661">
        <v>0.25</v>
      </c>
      <c r="S14" s="665">
        <v>0.25</v>
      </c>
      <c r="T14" s="661">
        <v>0.25</v>
      </c>
      <c r="U14" s="661">
        <v>0.25</v>
      </c>
      <c r="V14" s="661">
        <v>0</v>
      </c>
      <c r="W14" s="661">
        <v>0</v>
      </c>
      <c r="X14" s="661">
        <v>0</v>
      </c>
      <c r="Y14" s="661">
        <v>0</v>
      </c>
      <c r="Z14" s="661">
        <v>0.25</v>
      </c>
    </row>
    <row r="15" spans="1:26" ht="16.5" customHeight="1">
      <c r="A15" s="682" t="s">
        <v>574</v>
      </c>
      <c r="B15" s="683" t="s">
        <v>293</v>
      </c>
      <c r="C15" s="685" t="s">
        <v>293</v>
      </c>
      <c r="D15" s="683" t="s">
        <v>293</v>
      </c>
      <c r="E15" s="683" t="s">
        <v>293</v>
      </c>
      <c r="F15" s="687">
        <v>6340</v>
      </c>
      <c r="G15" s="736">
        <v>6340</v>
      </c>
      <c r="H15" s="685" t="s">
        <v>293</v>
      </c>
      <c r="I15" s="735">
        <v>12400</v>
      </c>
      <c r="J15" s="685" t="s">
        <v>293</v>
      </c>
      <c r="K15" s="683" t="s">
        <v>293</v>
      </c>
      <c r="L15" s="683" t="s">
        <v>293</v>
      </c>
      <c r="M15" s="683" t="s">
        <v>293</v>
      </c>
      <c r="N15" s="683" t="s">
        <v>293</v>
      </c>
      <c r="O15" s="737">
        <v>26630</v>
      </c>
      <c r="P15" s="737">
        <v>26630</v>
      </c>
      <c r="Q15" s="685" t="s">
        <v>293</v>
      </c>
      <c r="R15" s="683" t="s">
        <v>293</v>
      </c>
      <c r="S15" s="734">
        <v>9562</v>
      </c>
      <c r="T15" s="683" t="s">
        <v>293</v>
      </c>
      <c r="U15" s="683" t="s">
        <v>293</v>
      </c>
      <c r="V15" s="663">
        <v>1765</v>
      </c>
      <c r="W15" s="663">
        <v>4000</v>
      </c>
      <c r="X15" s="663">
        <v>25000</v>
      </c>
      <c r="Y15" s="663">
        <v>16800</v>
      </c>
      <c r="Z15" s="685" t="s">
        <v>293</v>
      </c>
    </row>
    <row r="16" spans="1:26" ht="18" customHeight="1">
      <c r="A16" s="682" t="s">
        <v>575</v>
      </c>
      <c r="B16" s="683" t="s">
        <v>293</v>
      </c>
      <c r="C16" s="685" t="s">
        <v>293</v>
      </c>
      <c r="D16" s="683" t="s">
        <v>293</v>
      </c>
      <c r="E16" s="683" t="s">
        <v>293</v>
      </c>
      <c r="F16" s="663">
        <v>11</v>
      </c>
      <c r="G16" s="733">
        <v>11</v>
      </c>
      <c r="H16" s="685" t="s">
        <v>293</v>
      </c>
      <c r="I16" s="738">
        <v>21</v>
      </c>
      <c r="J16" s="685" t="s">
        <v>293</v>
      </c>
      <c r="K16" s="683" t="s">
        <v>293</v>
      </c>
      <c r="L16" s="683" t="s">
        <v>293</v>
      </c>
      <c r="M16" s="683" t="s">
        <v>293</v>
      </c>
      <c r="N16" s="683" t="s">
        <v>293</v>
      </c>
      <c r="O16" s="739">
        <v>4.8</v>
      </c>
      <c r="P16" s="739">
        <v>4.8</v>
      </c>
      <c r="Q16" s="685" t="s">
        <v>293</v>
      </c>
      <c r="R16" s="683" t="s">
        <v>293</v>
      </c>
      <c r="S16" s="734">
        <v>4</v>
      </c>
      <c r="T16" s="683" t="s">
        <v>293</v>
      </c>
      <c r="U16" s="683" t="s">
        <v>293</v>
      </c>
      <c r="V16" s="663">
        <v>13.5</v>
      </c>
      <c r="W16" s="663">
        <v>6.5</v>
      </c>
      <c r="X16" s="663">
        <v>4</v>
      </c>
      <c r="Y16" s="663">
        <v>8</v>
      </c>
      <c r="Z16" s="685" t="s">
        <v>293</v>
      </c>
    </row>
    <row r="17" spans="1:26" ht="18" customHeight="1">
      <c r="A17" s="681" t="s">
        <v>576</v>
      </c>
      <c r="B17" s="683" t="s">
        <v>293</v>
      </c>
      <c r="C17" s="683" t="s">
        <v>293</v>
      </c>
      <c r="D17" s="683" t="s">
        <v>293</v>
      </c>
      <c r="E17" s="683" t="s">
        <v>293</v>
      </c>
      <c r="F17" s="693">
        <f t="shared" ref="F17:G17" si="3">F16*F15/(9.81*(F4-F5))</f>
        <v>301.48737808004313</v>
      </c>
      <c r="G17" s="740">
        <f t="shared" si="3"/>
        <v>301.48737808004313</v>
      </c>
      <c r="H17" s="683" t="s">
        <v>293</v>
      </c>
      <c r="I17" s="735">
        <f>I16*I15/(9.81*(I4-I5))</f>
        <v>234.90568590836514</v>
      </c>
      <c r="J17" s="683" t="s">
        <v>293</v>
      </c>
      <c r="K17" s="683" t="s">
        <v>293</v>
      </c>
      <c r="L17" s="683" t="s">
        <v>293</v>
      </c>
      <c r="M17" s="683" t="s">
        <v>293</v>
      </c>
      <c r="N17" s="683" t="s">
        <v>293</v>
      </c>
      <c r="O17" s="694">
        <f t="shared" ref="O17:P17" si="4">O16*O15/(9.81*(O4-O5))</f>
        <v>174.8989183753053</v>
      </c>
      <c r="P17" s="694">
        <f t="shared" si="4"/>
        <v>174.8989183753053</v>
      </c>
      <c r="Q17" s="683" t="s">
        <v>293</v>
      </c>
      <c r="R17" s="683" t="s">
        <v>293</v>
      </c>
      <c r="S17" s="680">
        <f>S16*S15/(9.81*(S4-S5))</f>
        <v>229.34580560052765</v>
      </c>
      <c r="T17" s="683" t="s">
        <v>293</v>
      </c>
      <c r="U17" s="683" t="s">
        <v>293</v>
      </c>
      <c r="V17" s="693">
        <f t="shared" ref="V17:Y17" si="5">V16*V15/(9.81*(V4-V5))</f>
        <v>204.10916660242117</v>
      </c>
      <c r="W17" s="693">
        <f t="shared" si="5"/>
        <v>220.86306489976215</v>
      </c>
      <c r="X17" s="693">
        <f t="shared" si="5"/>
        <v>224.28338654456684</v>
      </c>
      <c r="Y17" s="693">
        <f t="shared" si="5"/>
        <v>219.20489296636086</v>
      </c>
      <c r="Z17" s="683" t="s">
        <v>293</v>
      </c>
    </row>
    <row r="18" spans="1:26" ht="18" customHeight="1">
      <c r="A18" s="681" t="s">
        <v>577</v>
      </c>
      <c r="B18" s="683" t="s">
        <v>293</v>
      </c>
      <c r="C18" s="683" t="s">
        <v>293</v>
      </c>
      <c r="D18" s="683" t="s">
        <v>293</v>
      </c>
      <c r="E18" s="683" t="s">
        <v>293</v>
      </c>
      <c r="F18" s="693">
        <f t="shared" ref="F18:G18" si="6">F17*9.81*LN(F4/F5)</f>
        <v>383.95689204918608</v>
      </c>
      <c r="G18" s="740">
        <f t="shared" si="6"/>
        <v>383.95689204918608</v>
      </c>
      <c r="H18" s="683" t="s">
        <v>293</v>
      </c>
      <c r="I18" s="735">
        <f>I17*9.81*LN(I4/I5)</f>
        <v>678.60036193126018</v>
      </c>
      <c r="J18" s="683" t="s">
        <v>293</v>
      </c>
      <c r="K18" s="683" t="s">
        <v>293</v>
      </c>
      <c r="L18" s="683" t="s">
        <v>293</v>
      </c>
      <c r="M18" s="683" t="s">
        <v>293</v>
      </c>
      <c r="N18" s="683" t="s">
        <v>293</v>
      </c>
      <c r="O18" s="694">
        <f t="shared" ref="O18:P18" si="7">O17*9.81*LN(O4/O5)</f>
        <v>517.7589398620114</v>
      </c>
      <c r="P18" s="694">
        <f t="shared" si="7"/>
        <v>517.7589398620114</v>
      </c>
      <c r="Q18" s="683" t="s">
        <v>293</v>
      </c>
      <c r="R18" s="683" t="s">
        <v>293</v>
      </c>
      <c r="S18" s="680">
        <f>S17*9.81*LN(S4/S5)</f>
        <v>247.81009490332909</v>
      </c>
      <c r="T18" s="683" t="s">
        <v>293</v>
      </c>
      <c r="U18" s="683" t="s">
        <v>293</v>
      </c>
      <c r="V18" s="693">
        <f t="shared" ref="V18:Y18" si="8">V17*9.81*LN(V4/V5)</f>
        <v>167.01445271730478</v>
      </c>
      <c r="W18" s="693">
        <f t="shared" si="8"/>
        <v>168.91667318437584</v>
      </c>
      <c r="X18" s="693">
        <f t="shared" si="8"/>
        <v>535.31929882508041</v>
      </c>
      <c r="Y18" s="693">
        <f t="shared" si="8"/>
        <v>668.2106699556706</v>
      </c>
      <c r="Z18" s="683" t="s">
        <v>293</v>
      </c>
    </row>
    <row r="19" spans="1:26" ht="18" customHeight="1">
      <c r="A19" s="681" t="s">
        <v>578</v>
      </c>
      <c r="B19" s="692">
        <f t="shared" ref="B19:Z19" si="9">IF(ISNUMBER(B18),B13+B18,B13)</f>
        <v>416.84004179906339</v>
      </c>
      <c r="C19" s="692">
        <f t="shared" si="9"/>
        <v>530.11859059997664</v>
      </c>
      <c r="D19" s="692">
        <f t="shared" si="9"/>
        <v>563.75472929062755</v>
      </c>
      <c r="E19" s="692">
        <f t="shared" si="9"/>
        <v>580.81733696126105</v>
      </c>
      <c r="F19" s="692">
        <f t="shared" si="9"/>
        <v>955.9369362546953</v>
      </c>
      <c r="G19" s="735">
        <f t="shared" si="9"/>
        <v>955.9369362546953</v>
      </c>
      <c r="H19" s="692">
        <f t="shared" si="9"/>
        <v>680.83546942492853</v>
      </c>
      <c r="I19" s="735">
        <f t="shared" si="9"/>
        <v>1471.9206835273376</v>
      </c>
      <c r="J19" s="692">
        <f t="shared" si="9"/>
        <v>590.61803075513228</v>
      </c>
      <c r="K19" s="692">
        <f t="shared" si="9"/>
        <v>538.67862491694632</v>
      </c>
      <c r="L19" s="692">
        <f t="shared" si="9"/>
        <v>734.53902074025689</v>
      </c>
      <c r="M19" s="692">
        <f t="shared" si="9"/>
        <v>692.19633378221749</v>
      </c>
      <c r="N19" s="692">
        <f t="shared" si="9"/>
        <v>692.19633378221749</v>
      </c>
      <c r="O19" s="694">
        <f t="shared" si="9"/>
        <v>1075.8743284123045</v>
      </c>
      <c r="P19" s="694">
        <f t="shared" si="9"/>
        <v>1075.8743284123045</v>
      </c>
      <c r="Q19" s="692">
        <f t="shared" si="9"/>
        <v>581.91892734599594</v>
      </c>
      <c r="R19" s="692">
        <f t="shared" si="9"/>
        <v>581.91892734599594</v>
      </c>
      <c r="S19" s="680">
        <f t="shared" si="9"/>
        <v>798.49524449506794</v>
      </c>
      <c r="T19" s="692">
        <f t="shared" si="9"/>
        <v>655.76118453220863</v>
      </c>
      <c r="U19" s="694">
        <f t="shared" si="9"/>
        <v>655.76118453220863</v>
      </c>
      <c r="V19" s="692">
        <f t="shared" si="9"/>
        <v>457.08532707640904</v>
      </c>
      <c r="W19" s="692">
        <f t="shared" si="9"/>
        <v>697.51844624510113</v>
      </c>
      <c r="X19" s="692">
        <f t="shared" si="9"/>
        <v>869.69755540798042</v>
      </c>
      <c r="Y19" s="692">
        <f t="shared" si="9"/>
        <v>975.87748378311812</v>
      </c>
      <c r="Z19" s="692">
        <f t="shared" si="9"/>
        <v>581.91892734599594</v>
      </c>
    </row>
    <row r="20" spans="1:26" ht="18">
      <c r="A20" s="695" t="s">
        <v>579</v>
      </c>
      <c r="B20" s="696"/>
      <c r="C20" s="696"/>
      <c r="D20" s="696"/>
      <c r="E20" s="696"/>
      <c r="F20" s="696"/>
      <c r="G20" s="698"/>
      <c r="H20" s="696"/>
      <c r="I20" s="698"/>
      <c r="J20" s="696"/>
      <c r="K20" s="696"/>
      <c r="L20" s="696"/>
      <c r="M20" s="696"/>
      <c r="N20" s="696"/>
      <c r="O20" s="696"/>
      <c r="P20" s="696"/>
      <c r="Q20" s="696"/>
      <c r="R20" s="696"/>
      <c r="S20" s="698"/>
      <c r="T20" s="696"/>
      <c r="U20" s="696"/>
      <c r="V20" s="696"/>
      <c r="W20" s="696"/>
      <c r="X20" s="696"/>
      <c r="Y20" s="696"/>
      <c r="Z20" s="696"/>
    </row>
    <row r="21" spans="1:26" ht="12.75">
      <c r="A21" s="661" t="s">
        <v>580</v>
      </c>
      <c r="B21" s="704">
        <f t="shared" ref="B21:E21" si="10">1.28*9</f>
        <v>11.52</v>
      </c>
      <c r="C21" s="704">
        <f t="shared" si="10"/>
        <v>11.52</v>
      </c>
      <c r="D21" s="704">
        <f t="shared" si="10"/>
        <v>11.52</v>
      </c>
      <c r="E21" s="704">
        <f t="shared" si="10"/>
        <v>11.52</v>
      </c>
      <c r="F21" s="704">
        <f t="shared" ref="F21:G21" si="11">1.28*11.79</f>
        <v>15.091199999999999</v>
      </c>
      <c r="G21" s="733">
        <f t="shared" si="11"/>
        <v>15.091199999999999</v>
      </c>
      <c r="H21" s="663">
        <f>1.656*2.95</f>
        <v>4.8852000000000002</v>
      </c>
      <c r="I21" s="733">
        <f>1.28*36.2874</f>
        <v>46.447871999999997</v>
      </c>
      <c r="J21" s="663">
        <f>1.6*5.5</f>
        <v>8.8000000000000007</v>
      </c>
      <c r="K21" s="661">
        <f t="shared" ref="K21:L21" si="12">1.6*13</f>
        <v>20.8</v>
      </c>
      <c r="L21" s="661">
        <f t="shared" si="12"/>
        <v>20.8</v>
      </c>
      <c r="M21" s="661">
        <f t="shared" ref="M21:P21" si="13">15*1.6</f>
        <v>24</v>
      </c>
      <c r="N21" s="661">
        <f t="shared" si="13"/>
        <v>24</v>
      </c>
      <c r="O21" s="661">
        <f t="shared" si="13"/>
        <v>24</v>
      </c>
      <c r="P21" s="661">
        <f t="shared" si="13"/>
        <v>24</v>
      </c>
      <c r="Q21" s="704">
        <f t="shared" ref="Q21:S21" si="14">1.28*9</f>
        <v>11.52</v>
      </c>
      <c r="R21" s="704">
        <f t="shared" si="14"/>
        <v>11.52</v>
      </c>
      <c r="S21" s="665">
        <f t="shared" si="14"/>
        <v>11.52</v>
      </c>
      <c r="T21" s="704">
        <f t="shared" ref="T21:V21" si="15">1.28*8</f>
        <v>10.24</v>
      </c>
      <c r="U21" s="704">
        <f t="shared" si="15"/>
        <v>10.24</v>
      </c>
      <c r="V21" s="704">
        <f t="shared" si="15"/>
        <v>10.24</v>
      </c>
      <c r="W21" s="704">
        <f t="shared" ref="W21:Y21" si="16">1.28*8.1</f>
        <v>10.368</v>
      </c>
      <c r="X21" s="704">
        <f t="shared" si="16"/>
        <v>10.368</v>
      </c>
      <c r="Y21" s="704">
        <f t="shared" si="16"/>
        <v>10.368</v>
      </c>
      <c r="Z21" s="704">
        <f>1.28*9</f>
        <v>11.52</v>
      </c>
    </row>
    <row r="22" spans="1:26" ht="12.75">
      <c r="A22" s="661" t="s">
        <v>581</v>
      </c>
      <c r="B22" s="667" t="s">
        <v>328</v>
      </c>
      <c r="C22" s="669" t="s">
        <v>328</v>
      </c>
      <c r="D22" s="667" t="s">
        <v>328</v>
      </c>
      <c r="E22" s="667" t="s">
        <v>328</v>
      </c>
      <c r="F22" s="667" t="s">
        <v>328</v>
      </c>
      <c r="G22" s="741" t="s">
        <v>328</v>
      </c>
      <c r="H22" s="669" t="s">
        <v>328</v>
      </c>
      <c r="I22" s="741" t="s">
        <v>328</v>
      </c>
      <c r="J22" s="669" t="s">
        <v>328</v>
      </c>
      <c r="K22" s="667" t="s">
        <v>328</v>
      </c>
      <c r="L22" s="667" t="s">
        <v>328</v>
      </c>
      <c r="M22" s="667" t="s">
        <v>328</v>
      </c>
      <c r="N22" s="667" t="s">
        <v>328</v>
      </c>
      <c r="O22" s="667" t="s">
        <v>328</v>
      </c>
      <c r="P22" s="667" t="s">
        <v>328</v>
      </c>
      <c r="Q22" s="669" t="s">
        <v>328</v>
      </c>
      <c r="R22" s="667" t="s">
        <v>328</v>
      </c>
      <c r="S22" s="602" t="s">
        <v>328</v>
      </c>
      <c r="T22" s="667" t="s">
        <v>328</v>
      </c>
      <c r="U22" s="667" t="s">
        <v>328</v>
      </c>
      <c r="V22" s="669" t="s">
        <v>328</v>
      </c>
      <c r="W22" s="669" t="s">
        <v>328</v>
      </c>
      <c r="X22" s="669" t="s">
        <v>328</v>
      </c>
      <c r="Y22" s="669" t="s">
        <v>328</v>
      </c>
      <c r="Z22" s="669" t="s">
        <v>328</v>
      </c>
    </row>
    <row r="23" spans="1:26" ht="12.75">
      <c r="A23" s="661" t="s">
        <v>582</v>
      </c>
      <c r="B23" s="704">
        <v>3</v>
      </c>
      <c r="C23" s="666">
        <v>8</v>
      </c>
      <c r="D23" s="704">
        <v>8</v>
      </c>
      <c r="E23" s="704">
        <v>8</v>
      </c>
      <c r="F23" s="704">
        <v>8</v>
      </c>
      <c r="G23" s="733">
        <v>8</v>
      </c>
      <c r="H23" s="663">
        <v>5</v>
      </c>
      <c r="I23" s="733">
        <v>20</v>
      </c>
      <c r="J23" s="663">
        <v>5</v>
      </c>
      <c r="K23" s="661">
        <v>10</v>
      </c>
      <c r="L23" s="661">
        <v>10</v>
      </c>
      <c r="M23" s="661">
        <v>8</v>
      </c>
      <c r="N23" s="661">
        <v>8</v>
      </c>
      <c r="O23" s="661">
        <v>8</v>
      </c>
      <c r="P23" s="661">
        <v>8</v>
      </c>
      <c r="Q23" s="665">
        <v>15.25</v>
      </c>
      <c r="R23" s="665">
        <v>15.25</v>
      </c>
      <c r="S23" s="665">
        <v>15.25</v>
      </c>
      <c r="T23" s="704">
        <v>8</v>
      </c>
      <c r="U23" s="704">
        <v>8</v>
      </c>
      <c r="V23" s="663">
        <v>8</v>
      </c>
      <c r="W23" s="663">
        <v>8</v>
      </c>
      <c r="X23" s="663">
        <v>8</v>
      </c>
      <c r="Y23" s="663">
        <v>8</v>
      </c>
      <c r="Z23" s="665">
        <v>15.25</v>
      </c>
    </row>
    <row r="24" spans="1:26" ht="12.75">
      <c r="A24" s="699" t="s">
        <v>583</v>
      </c>
      <c r="B24" s="667" t="s">
        <v>328</v>
      </c>
      <c r="C24" s="669" t="s">
        <v>328</v>
      </c>
      <c r="D24" s="667" t="s">
        <v>328</v>
      </c>
      <c r="E24" s="667" t="s">
        <v>328</v>
      </c>
      <c r="F24" s="667" t="s">
        <v>328</v>
      </c>
      <c r="G24" s="741" t="s">
        <v>328</v>
      </c>
      <c r="H24" s="669" t="s">
        <v>328</v>
      </c>
      <c r="I24" s="741" t="s">
        <v>328</v>
      </c>
      <c r="J24" s="669" t="s">
        <v>328</v>
      </c>
      <c r="K24" s="667" t="s">
        <v>328</v>
      </c>
      <c r="L24" s="667" t="s">
        <v>328</v>
      </c>
      <c r="M24" s="667" t="s">
        <v>328</v>
      </c>
      <c r="N24" s="667" t="s">
        <v>328</v>
      </c>
      <c r="O24" s="667" t="s">
        <v>328</v>
      </c>
      <c r="P24" s="667" t="s">
        <v>328</v>
      </c>
      <c r="Q24" s="669" t="s">
        <v>328</v>
      </c>
      <c r="R24" s="667" t="s">
        <v>328</v>
      </c>
      <c r="S24" s="602" t="s">
        <v>328</v>
      </c>
      <c r="T24" s="667" t="s">
        <v>328</v>
      </c>
      <c r="U24" s="667" t="s">
        <v>328</v>
      </c>
      <c r="V24" s="669" t="s">
        <v>328</v>
      </c>
      <c r="W24" s="669" t="s">
        <v>328</v>
      </c>
      <c r="X24" s="669" t="s">
        <v>328</v>
      </c>
      <c r="Y24" s="669" t="s">
        <v>328</v>
      </c>
      <c r="Z24" s="669" t="s">
        <v>328</v>
      </c>
    </row>
    <row r="25" spans="1:26" ht="12.75">
      <c r="A25" s="661" t="s">
        <v>584</v>
      </c>
      <c r="B25" s="704">
        <v>2</v>
      </c>
      <c r="C25" s="666">
        <v>1.8</v>
      </c>
      <c r="D25" s="704">
        <v>1.8</v>
      </c>
      <c r="E25" s="704">
        <v>0.8</v>
      </c>
      <c r="F25" s="704">
        <v>1.8</v>
      </c>
      <c r="G25" s="733">
        <v>1.8</v>
      </c>
      <c r="H25" s="663">
        <v>0.5</v>
      </c>
      <c r="I25" s="733">
        <v>5</v>
      </c>
      <c r="J25" s="663">
        <v>0.5</v>
      </c>
      <c r="K25" s="661">
        <v>1.7</v>
      </c>
      <c r="L25" s="661">
        <v>1.7</v>
      </c>
      <c r="M25" s="661">
        <v>2</v>
      </c>
      <c r="N25" s="661">
        <v>2</v>
      </c>
      <c r="O25" s="661">
        <v>2</v>
      </c>
      <c r="P25" s="661">
        <v>2</v>
      </c>
      <c r="Q25" s="663">
        <v>1.8</v>
      </c>
      <c r="R25" s="661">
        <v>0.8</v>
      </c>
      <c r="S25" s="665">
        <v>0.8</v>
      </c>
      <c r="T25" s="704">
        <v>0.8</v>
      </c>
      <c r="U25" s="704">
        <v>0.8</v>
      </c>
      <c r="V25" s="663">
        <v>4</v>
      </c>
      <c r="W25" s="663">
        <v>4</v>
      </c>
      <c r="X25" s="663">
        <v>2.2000000000000002</v>
      </c>
      <c r="Y25" s="663">
        <v>2.2000000000000002</v>
      </c>
      <c r="Z25" s="663">
        <v>0.8</v>
      </c>
    </row>
    <row r="26" spans="1:26" ht="18">
      <c r="A26" s="700" t="s">
        <v>585</v>
      </c>
      <c r="B26" s="701"/>
      <c r="C26" s="701"/>
      <c r="D26" s="701"/>
      <c r="E26" s="701"/>
      <c r="F26" s="701"/>
      <c r="G26" s="703"/>
      <c r="H26" s="701"/>
      <c r="I26" s="703"/>
      <c r="J26" s="701"/>
      <c r="K26" s="701"/>
      <c r="L26" s="701"/>
      <c r="M26" s="701"/>
      <c r="N26" s="701"/>
      <c r="O26" s="701"/>
      <c r="P26" s="701"/>
      <c r="Q26" s="701"/>
      <c r="R26" s="701"/>
      <c r="S26" s="703"/>
      <c r="T26" s="701"/>
      <c r="U26" s="701"/>
      <c r="V26" s="701"/>
      <c r="W26" s="701"/>
      <c r="X26" s="701"/>
      <c r="Y26" s="701"/>
      <c r="Z26" s="701"/>
    </row>
    <row r="27" spans="1:26" ht="12.75">
      <c r="A27" s="661" t="s">
        <v>586</v>
      </c>
      <c r="B27" s="667" t="s">
        <v>294</v>
      </c>
      <c r="C27" s="669" t="s">
        <v>294</v>
      </c>
      <c r="D27" s="667" t="s">
        <v>294</v>
      </c>
      <c r="E27" s="667" t="s">
        <v>294</v>
      </c>
      <c r="F27" s="667" t="s">
        <v>294</v>
      </c>
      <c r="G27" s="741" t="s">
        <v>294</v>
      </c>
      <c r="H27" s="669" t="s">
        <v>294</v>
      </c>
      <c r="I27" s="741" t="s">
        <v>294</v>
      </c>
      <c r="J27" s="669" t="s">
        <v>294</v>
      </c>
      <c r="K27" s="667" t="s">
        <v>294</v>
      </c>
      <c r="L27" s="667" t="s">
        <v>306</v>
      </c>
      <c r="M27" s="667" t="s">
        <v>308</v>
      </c>
      <c r="N27" s="667" t="s">
        <v>308</v>
      </c>
      <c r="O27" s="667" t="s">
        <v>308</v>
      </c>
      <c r="P27" s="667" t="s">
        <v>308</v>
      </c>
      <c r="Q27" s="669" t="s">
        <v>294</v>
      </c>
      <c r="R27" s="667" t="s">
        <v>294</v>
      </c>
      <c r="S27" s="602" t="s">
        <v>294</v>
      </c>
      <c r="T27" s="667" t="s">
        <v>294</v>
      </c>
      <c r="U27" s="667" t="s">
        <v>294</v>
      </c>
      <c r="V27" s="669" t="s">
        <v>294</v>
      </c>
      <c r="W27" s="669" t="s">
        <v>294</v>
      </c>
      <c r="X27" s="669" t="s">
        <v>294</v>
      </c>
      <c r="Y27" s="669" t="s">
        <v>294</v>
      </c>
      <c r="Z27" s="669" t="s">
        <v>294</v>
      </c>
    </row>
    <row r="28" spans="1:26" ht="12.75">
      <c r="A28" s="661" t="s">
        <v>587</v>
      </c>
      <c r="B28" s="661">
        <v>2</v>
      </c>
      <c r="C28" s="663">
        <v>1.8</v>
      </c>
      <c r="D28" s="661">
        <v>1.8</v>
      </c>
      <c r="E28" s="661">
        <v>0.7</v>
      </c>
      <c r="F28" s="667" t="s">
        <v>293</v>
      </c>
      <c r="G28" s="741" t="s">
        <v>293</v>
      </c>
      <c r="H28" s="666">
        <v>0.5</v>
      </c>
      <c r="I28" s="733">
        <v>1.5</v>
      </c>
      <c r="J28" s="663">
        <v>0.5</v>
      </c>
      <c r="K28" s="661">
        <v>1.7</v>
      </c>
      <c r="L28" s="661">
        <v>0.5</v>
      </c>
      <c r="M28" s="661">
        <v>0.35</v>
      </c>
      <c r="N28" s="661">
        <v>0.35</v>
      </c>
      <c r="O28" s="661">
        <v>0.35</v>
      </c>
      <c r="P28" s="661">
        <v>0.35</v>
      </c>
      <c r="Q28" s="663">
        <v>1.8</v>
      </c>
      <c r="R28" s="661">
        <v>0.7</v>
      </c>
      <c r="S28" s="665">
        <v>0.7</v>
      </c>
      <c r="T28" s="663">
        <v>0.5</v>
      </c>
      <c r="U28" s="661">
        <v>0.5</v>
      </c>
      <c r="V28" s="663">
        <v>1.5</v>
      </c>
      <c r="W28" s="663">
        <v>0.5</v>
      </c>
      <c r="X28" s="663">
        <v>0.5</v>
      </c>
      <c r="Y28" s="663">
        <v>0.5</v>
      </c>
      <c r="Z28" s="663">
        <v>0.7</v>
      </c>
    </row>
    <row r="29" spans="1:26" ht="12.75">
      <c r="A29" s="661" t="s">
        <v>588</v>
      </c>
      <c r="B29" s="661">
        <v>20</v>
      </c>
      <c r="C29" s="663">
        <v>40</v>
      </c>
      <c r="D29" s="661">
        <v>40</v>
      </c>
      <c r="E29" s="661">
        <v>40</v>
      </c>
      <c r="F29" s="661">
        <v>75</v>
      </c>
      <c r="G29" s="733">
        <v>75</v>
      </c>
      <c r="H29" s="666">
        <v>60</v>
      </c>
      <c r="I29" s="733">
        <v>105</v>
      </c>
      <c r="J29" s="663">
        <v>21</v>
      </c>
      <c r="K29" s="661">
        <v>35</v>
      </c>
      <c r="L29" s="661">
        <v>45</v>
      </c>
      <c r="M29" s="661">
        <v>60</v>
      </c>
      <c r="N29" s="661">
        <v>60</v>
      </c>
      <c r="O29" s="661">
        <v>60</v>
      </c>
      <c r="P29" s="661">
        <v>60</v>
      </c>
      <c r="Q29" s="663">
        <v>40</v>
      </c>
      <c r="R29" s="661">
        <v>40</v>
      </c>
      <c r="S29" s="665">
        <v>50</v>
      </c>
      <c r="T29" s="661">
        <v>45</v>
      </c>
      <c r="U29" s="661">
        <v>45</v>
      </c>
      <c r="V29" s="663">
        <v>30</v>
      </c>
      <c r="W29" s="663">
        <v>25</v>
      </c>
      <c r="X29" s="663">
        <v>60</v>
      </c>
      <c r="Y29" s="663">
        <v>60</v>
      </c>
      <c r="Z29" s="663">
        <v>40</v>
      </c>
    </row>
    <row r="30" spans="1:26" ht="12.75">
      <c r="A30" s="661" t="s">
        <v>589</v>
      </c>
      <c r="B30" s="661">
        <v>1</v>
      </c>
      <c r="C30" s="663">
        <v>0.5</v>
      </c>
      <c r="D30" s="663">
        <v>0.5</v>
      </c>
      <c r="E30" s="663">
        <v>0.5</v>
      </c>
      <c r="F30" s="663">
        <v>0.5</v>
      </c>
      <c r="G30" s="663">
        <v>0.5</v>
      </c>
      <c r="H30" s="666">
        <v>2</v>
      </c>
      <c r="I30" s="663">
        <v>0.5</v>
      </c>
      <c r="J30" s="663">
        <v>2</v>
      </c>
      <c r="K30" s="661">
        <v>1</v>
      </c>
      <c r="L30" s="661">
        <v>1</v>
      </c>
      <c r="M30" s="661">
        <v>1</v>
      </c>
      <c r="N30" s="661">
        <v>1</v>
      </c>
      <c r="O30" s="661">
        <v>1</v>
      </c>
      <c r="P30" s="661">
        <v>1</v>
      </c>
      <c r="Q30" s="663">
        <v>0.5</v>
      </c>
      <c r="R30" s="663">
        <v>0.5</v>
      </c>
      <c r="S30" s="663">
        <v>0.5</v>
      </c>
      <c r="T30" s="663">
        <v>0.5</v>
      </c>
      <c r="U30" s="663">
        <v>0.5</v>
      </c>
      <c r="V30" s="663">
        <v>2</v>
      </c>
      <c r="W30" s="663">
        <v>2</v>
      </c>
      <c r="X30" s="663">
        <v>0.5</v>
      </c>
      <c r="Y30" s="663">
        <v>0.5</v>
      </c>
      <c r="Z30" s="663">
        <v>0.5</v>
      </c>
    </row>
    <row r="31" spans="1:26" ht="12.75">
      <c r="A31" s="661" t="s">
        <v>590</v>
      </c>
      <c r="B31" s="661">
        <v>60</v>
      </c>
      <c r="C31" s="663">
        <v>100</v>
      </c>
      <c r="D31" s="661">
        <v>100</v>
      </c>
      <c r="E31" s="661">
        <v>100</v>
      </c>
      <c r="F31" s="661">
        <v>100</v>
      </c>
      <c r="G31" s="733">
        <v>100</v>
      </c>
      <c r="H31" s="666">
        <v>15</v>
      </c>
      <c r="I31" s="733">
        <v>100</v>
      </c>
      <c r="J31" s="663">
        <v>15</v>
      </c>
      <c r="K31" s="661">
        <v>100</v>
      </c>
      <c r="L31" s="661">
        <v>100</v>
      </c>
      <c r="M31" s="661">
        <v>100</v>
      </c>
      <c r="N31" s="661">
        <v>100</v>
      </c>
      <c r="O31" s="661">
        <v>100</v>
      </c>
      <c r="P31" s="661">
        <v>100</v>
      </c>
      <c r="Q31" s="663">
        <v>100</v>
      </c>
      <c r="R31" s="661">
        <v>100</v>
      </c>
      <c r="S31" s="665">
        <v>100</v>
      </c>
      <c r="T31" s="661">
        <v>100</v>
      </c>
      <c r="U31" s="661">
        <v>100</v>
      </c>
      <c r="V31" s="663">
        <v>15</v>
      </c>
      <c r="W31" s="663">
        <v>15</v>
      </c>
      <c r="X31" s="663">
        <v>100</v>
      </c>
      <c r="Y31" s="663">
        <v>100</v>
      </c>
      <c r="Z31" s="663">
        <v>100</v>
      </c>
    </row>
    <row r="32" spans="1:26" ht="12.75">
      <c r="A32" s="661" t="s">
        <v>592</v>
      </c>
      <c r="B32" s="661">
        <v>25</v>
      </c>
      <c r="C32" s="663">
        <v>45</v>
      </c>
      <c r="D32" s="661">
        <v>45</v>
      </c>
      <c r="E32" s="661">
        <v>45</v>
      </c>
      <c r="F32" s="661">
        <v>55</v>
      </c>
      <c r="G32" s="733">
        <v>60</v>
      </c>
      <c r="H32" s="663">
        <v>30</v>
      </c>
      <c r="I32" s="733">
        <v>60</v>
      </c>
      <c r="J32" s="663">
        <v>30</v>
      </c>
      <c r="K32" s="661">
        <v>50</v>
      </c>
      <c r="L32" s="661">
        <v>50</v>
      </c>
      <c r="M32" s="661">
        <v>55</v>
      </c>
      <c r="N32" s="661">
        <v>55</v>
      </c>
      <c r="O32" s="661">
        <v>55</v>
      </c>
      <c r="P32" s="661">
        <v>55</v>
      </c>
      <c r="Q32" s="663">
        <v>46</v>
      </c>
      <c r="R32" s="663">
        <v>46</v>
      </c>
      <c r="S32" s="663">
        <v>46</v>
      </c>
      <c r="T32" s="661">
        <v>50</v>
      </c>
      <c r="U32" s="661">
        <v>50</v>
      </c>
      <c r="V32" s="663">
        <v>10</v>
      </c>
      <c r="W32" s="663">
        <v>45</v>
      </c>
      <c r="X32" s="663">
        <v>55</v>
      </c>
      <c r="Y32" s="663">
        <v>55</v>
      </c>
      <c r="Z32" s="663">
        <v>46</v>
      </c>
    </row>
    <row r="33" spans="1:26" ht="12.75">
      <c r="A33" s="661" t="s">
        <v>593</v>
      </c>
      <c r="B33" s="661">
        <v>12</v>
      </c>
      <c r="C33" s="663">
        <v>12</v>
      </c>
      <c r="D33" s="661">
        <v>12</v>
      </c>
      <c r="E33" s="661">
        <v>12</v>
      </c>
      <c r="F33" s="661">
        <v>20</v>
      </c>
      <c r="G33" s="733">
        <v>20</v>
      </c>
      <c r="H33" s="663">
        <v>12</v>
      </c>
      <c r="I33" s="733">
        <v>20</v>
      </c>
      <c r="J33" s="663">
        <v>12</v>
      </c>
      <c r="K33" s="661">
        <v>12</v>
      </c>
      <c r="L33" s="661">
        <v>20</v>
      </c>
      <c r="M33" s="661">
        <v>20</v>
      </c>
      <c r="N33" s="661">
        <v>20</v>
      </c>
      <c r="O33" s="661">
        <v>20</v>
      </c>
      <c r="P33" s="661">
        <v>20</v>
      </c>
      <c r="Q33" s="663">
        <v>44</v>
      </c>
      <c r="R33" s="663">
        <v>44</v>
      </c>
      <c r="S33" s="663">
        <v>44</v>
      </c>
      <c r="T33" s="661">
        <v>12</v>
      </c>
      <c r="U33" s="661">
        <v>12</v>
      </c>
      <c r="V33" s="663">
        <v>12</v>
      </c>
      <c r="W33" s="663">
        <v>12</v>
      </c>
      <c r="X33" s="663">
        <v>12</v>
      </c>
      <c r="Y33" s="663">
        <v>12</v>
      </c>
      <c r="Z33" s="663">
        <v>44</v>
      </c>
    </row>
    <row r="34" spans="1:26" ht="17.25" customHeight="1">
      <c r="A34" s="661" t="s">
        <v>594</v>
      </c>
      <c r="B34" s="667" t="s">
        <v>328</v>
      </c>
      <c r="C34" s="669" t="s">
        <v>328</v>
      </c>
      <c r="D34" s="667" t="s">
        <v>328</v>
      </c>
      <c r="E34" s="667" t="s">
        <v>328</v>
      </c>
      <c r="F34" s="667" t="s">
        <v>328</v>
      </c>
      <c r="G34" s="741" t="s">
        <v>328</v>
      </c>
      <c r="H34" s="669" t="s">
        <v>328</v>
      </c>
      <c r="I34" s="741" t="s">
        <v>328</v>
      </c>
      <c r="J34" s="669" t="s">
        <v>328</v>
      </c>
      <c r="K34" s="667" t="s">
        <v>328</v>
      </c>
      <c r="L34" s="667" t="s">
        <v>328</v>
      </c>
      <c r="M34" s="667" t="s">
        <v>328</v>
      </c>
      <c r="N34" s="667" t="s">
        <v>328</v>
      </c>
      <c r="O34" s="667" t="s">
        <v>328</v>
      </c>
      <c r="P34" s="667" t="s">
        <v>328</v>
      </c>
      <c r="Q34" s="669" t="s">
        <v>328</v>
      </c>
      <c r="R34" s="667" t="s">
        <v>328</v>
      </c>
      <c r="S34" s="602" t="s">
        <v>328</v>
      </c>
      <c r="T34" s="667" t="s">
        <v>328</v>
      </c>
      <c r="U34" s="667" t="s">
        <v>328</v>
      </c>
      <c r="V34" s="669" t="s">
        <v>328</v>
      </c>
      <c r="W34" s="669" t="s">
        <v>328</v>
      </c>
      <c r="X34" s="669" t="s">
        <v>328</v>
      </c>
      <c r="Y34" s="669" t="s">
        <v>328</v>
      </c>
      <c r="Z34" s="669" t="s">
        <v>328</v>
      </c>
    </row>
    <row r="35" spans="1:26" ht="17.25" customHeight="1">
      <c r="A35" s="661" t="s">
        <v>595</v>
      </c>
      <c r="B35" s="704">
        <v>15</v>
      </c>
      <c r="C35" s="666">
        <v>15</v>
      </c>
      <c r="D35" s="704">
        <v>35</v>
      </c>
      <c r="E35" s="704">
        <v>35</v>
      </c>
      <c r="F35" s="704">
        <v>35</v>
      </c>
      <c r="G35" s="733">
        <v>35</v>
      </c>
      <c r="H35" s="666">
        <v>30</v>
      </c>
      <c r="I35" s="733">
        <v>60</v>
      </c>
      <c r="J35" s="666">
        <v>30</v>
      </c>
      <c r="K35" s="661">
        <v>50</v>
      </c>
      <c r="L35" s="704">
        <v>50</v>
      </c>
      <c r="M35" s="704">
        <v>55</v>
      </c>
      <c r="N35" s="704">
        <v>55</v>
      </c>
      <c r="O35" s="704">
        <v>55</v>
      </c>
      <c r="P35" s="704">
        <v>55</v>
      </c>
      <c r="Q35" s="663">
        <v>35</v>
      </c>
      <c r="R35" s="663">
        <v>35</v>
      </c>
      <c r="S35" s="663">
        <v>35</v>
      </c>
      <c r="T35" s="704">
        <v>35</v>
      </c>
      <c r="U35" s="704">
        <v>15</v>
      </c>
      <c r="V35" s="663">
        <v>10</v>
      </c>
      <c r="W35" s="663">
        <v>40</v>
      </c>
      <c r="X35" s="663">
        <v>55</v>
      </c>
      <c r="Y35" s="663">
        <v>55</v>
      </c>
      <c r="Z35" s="663">
        <v>35</v>
      </c>
    </row>
    <row r="36" spans="1:26" ht="12.75">
      <c r="A36" s="661" t="s">
        <v>598</v>
      </c>
      <c r="B36" s="704">
        <v>12</v>
      </c>
      <c r="C36" s="663">
        <v>15</v>
      </c>
      <c r="D36" s="661">
        <v>25</v>
      </c>
      <c r="E36" s="661">
        <v>25</v>
      </c>
      <c r="F36" s="661">
        <v>40</v>
      </c>
      <c r="G36" s="733">
        <v>40</v>
      </c>
      <c r="H36" s="666">
        <v>9</v>
      </c>
      <c r="I36" s="733">
        <v>40</v>
      </c>
      <c r="J36" s="666">
        <v>8</v>
      </c>
      <c r="K36" s="704">
        <v>20</v>
      </c>
      <c r="L36" s="704">
        <v>25</v>
      </c>
      <c r="M36" s="704">
        <v>25</v>
      </c>
      <c r="N36" s="704">
        <v>25</v>
      </c>
      <c r="O36" s="704">
        <v>25</v>
      </c>
      <c r="P36" s="704">
        <v>25</v>
      </c>
      <c r="Q36" s="666">
        <v>37</v>
      </c>
      <c r="R36" s="666">
        <v>37</v>
      </c>
      <c r="S36" s="666">
        <v>37</v>
      </c>
      <c r="T36" s="661">
        <v>30</v>
      </c>
      <c r="U36" s="661">
        <v>30</v>
      </c>
      <c r="V36" s="666">
        <v>8</v>
      </c>
      <c r="W36" s="666">
        <v>12.5</v>
      </c>
      <c r="X36" s="666">
        <v>25</v>
      </c>
      <c r="Y36" s="666">
        <v>30</v>
      </c>
      <c r="Z36" s="666">
        <v>37</v>
      </c>
    </row>
    <row r="37" spans="1:26" ht="12.75">
      <c r="A37" s="661" t="s">
        <v>606</v>
      </c>
      <c r="B37" s="704">
        <v>5</v>
      </c>
      <c r="C37" s="666">
        <v>5</v>
      </c>
      <c r="D37" s="704">
        <v>5</v>
      </c>
      <c r="E37" s="704">
        <v>5</v>
      </c>
      <c r="F37" s="704">
        <v>20</v>
      </c>
      <c r="G37" s="733">
        <v>20</v>
      </c>
      <c r="H37" s="666">
        <v>3</v>
      </c>
      <c r="I37" s="733">
        <v>160</v>
      </c>
      <c r="J37" s="666">
        <v>3</v>
      </c>
      <c r="K37" s="704">
        <v>3</v>
      </c>
      <c r="L37" s="704">
        <v>15</v>
      </c>
      <c r="M37" s="704">
        <v>60</v>
      </c>
      <c r="N37" s="704">
        <v>60</v>
      </c>
      <c r="O37" s="704">
        <v>60</v>
      </c>
      <c r="P37" s="704">
        <v>60</v>
      </c>
      <c r="Q37" s="666">
        <v>5</v>
      </c>
      <c r="R37" s="704">
        <v>5</v>
      </c>
      <c r="S37" s="665">
        <v>20</v>
      </c>
      <c r="T37" s="704">
        <v>5</v>
      </c>
      <c r="U37" s="704">
        <v>5</v>
      </c>
      <c r="V37" s="666">
        <v>3</v>
      </c>
      <c r="W37" s="666">
        <v>3</v>
      </c>
      <c r="X37" s="666">
        <v>20</v>
      </c>
      <c r="Y37" s="666">
        <v>20</v>
      </c>
      <c r="Z37" s="666">
        <v>5</v>
      </c>
    </row>
    <row r="38" spans="1:26" ht="12.75">
      <c r="A38" s="661" t="s">
        <v>649</v>
      </c>
      <c r="B38" s="667" t="s">
        <v>328</v>
      </c>
      <c r="C38" s="669" t="s">
        <v>328</v>
      </c>
      <c r="D38" s="667" t="s">
        <v>328</v>
      </c>
      <c r="E38" s="667" t="s">
        <v>328</v>
      </c>
      <c r="F38" s="667" t="s">
        <v>328</v>
      </c>
      <c r="G38" s="741" t="s">
        <v>328</v>
      </c>
      <c r="H38" s="669" t="s">
        <v>324</v>
      </c>
      <c r="I38" s="741" t="s">
        <v>328</v>
      </c>
      <c r="J38" s="669" t="s">
        <v>324</v>
      </c>
      <c r="K38" s="667" t="s">
        <v>328</v>
      </c>
      <c r="L38" s="667" t="s">
        <v>328</v>
      </c>
      <c r="M38" s="667" t="s">
        <v>328</v>
      </c>
      <c r="N38" s="667" t="s">
        <v>328</v>
      </c>
      <c r="O38" s="667" t="s">
        <v>328</v>
      </c>
      <c r="P38" s="667" t="s">
        <v>328</v>
      </c>
      <c r="Q38" s="669" t="s">
        <v>328</v>
      </c>
      <c r="R38" s="667" t="s">
        <v>328</v>
      </c>
      <c r="S38" s="602" t="s">
        <v>328</v>
      </c>
      <c r="T38" s="667" t="s">
        <v>328</v>
      </c>
      <c r="U38" s="667" t="s">
        <v>328</v>
      </c>
      <c r="V38" s="669" t="s">
        <v>324</v>
      </c>
      <c r="W38" s="669" t="s">
        <v>324</v>
      </c>
      <c r="X38" s="669" t="s">
        <v>324</v>
      </c>
      <c r="Y38" s="669" t="s">
        <v>328</v>
      </c>
      <c r="Z38" s="669" t="s">
        <v>328</v>
      </c>
    </row>
    <row r="39" spans="1:26" ht="12.75">
      <c r="A39" s="661" t="s">
        <v>650</v>
      </c>
      <c r="B39" s="704" t="s">
        <v>651</v>
      </c>
      <c r="C39" s="704" t="s">
        <v>651</v>
      </c>
      <c r="D39" s="704" t="s">
        <v>651</v>
      </c>
      <c r="E39" s="704" t="s">
        <v>651</v>
      </c>
      <c r="F39" s="704" t="s">
        <v>651</v>
      </c>
      <c r="G39" s="733" t="s">
        <v>651</v>
      </c>
      <c r="H39" s="666" t="s">
        <v>651</v>
      </c>
      <c r="I39" s="733" t="s">
        <v>651</v>
      </c>
      <c r="J39" s="666" t="s">
        <v>651</v>
      </c>
      <c r="K39" s="704" t="s">
        <v>651</v>
      </c>
      <c r="L39" s="704" t="s">
        <v>651</v>
      </c>
      <c r="M39" s="704" t="s">
        <v>651</v>
      </c>
      <c r="N39" s="704" t="s">
        <v>651</v>
      </c>
      <c r="O39" s="704" t="s">
        <v>651</v>
      </c>
      <c r="P39" s="704" t="s">
        <v>651</v>
      </c>
      <c r="Q39" s="666" t="s">
        <v>651</v>
      </c>
      <c r="R39" s="704" t="s">
        <v>651</v>
      </c>
      <c r="S39" s="665" t="s">
        <v>651</v>
      </c>
      <c r="T39" s="704" t="s">
        <v>651</v>
      </c>
      <c r="U39" s="704" t="s">
        <v>651</v>
      </c>
      <c r="V39" s="666" t="s">
        <v>651</v>
      </c>
      <c r="W39" s="666" t="s">
        <v>651</v>
      </c>
      <c r="X39" s="666" t="s">
        <v>651</v>
      </c>
      <c r="Y39" s="666" t="s">
        <v>651</v>
      </c>
      <c r="Z39" s="666" t="s">
        <v>651</v>
      </c>
    </row>
    <row r="40" spans="1:26" ht="12.75">
      <c r="A40" s="661" t="s">
        <v>652</v>
      </c>
      <c r="B40" s="667" t="s">
        <v>293</v>
      </c>
      <c r="C40" s="667" t="s">
        <v>293</v>
      </c>
      <c r="D40" s="667" t="s">
        <v>293</v>
      </c>
      <c r="E40" s="667" t="s">
        <v>293</v>
      </c>
      <c r="F40" s="704">
        <v>30</v>
      </c>
      <c r="G40" s="704">
        <v>30</v>
      </c>
      <c r="H40" s="667" t="s">
        <v>293</v>
      </c>
      <c r="I40" s="704">
        <v>30</v>
      </c>
      <c r="J40" s="667" t="s">
        <v>293</v>
      </c>
      <c r="K40" s="667" t="s">
        <v>293</v>
      </c>
      <c r="L40" s="704">
        <v>30</v>
      </c>
      <c r="M40" s="704">
        <v>30</v>
      </c>
      <c r="N40" s="704">
        <v>30</v>
      </c>
      <c r="O40" s="704">
        <v>30</v>
      </c>
      <c r="P40" s="704">
        <v>30</v>
      </c>
      <c r="Q40" s="704">
        <v>30</v>
      </c>
      <c r="R40" s="704">
        <v>30</v>
      </c>
      <c r="S40" s="704">
        <v>30</v>
      </c>
      <c r="T40" s="704">
        <v>45</v>
      </c>
      <c r="U40" s="704">
        <v>45</v>
      </c>
      <c r="V40" s="667" t="s">
        <v>293</v>
      </c>
      <c r="W40" s="667" t="s">
        <v>293</v>
      </c>
      <c r="X40" s="704">
        <v>30</v>
      </c>
      <c r="Y40" s="704">
        <v>30</v>
      </c>
      <c r="Z40" s="704">
        <v>30</v>
      </c>
    </row>
    <row r="41" spans="1:26" ht="12.75">
      <c r="A41" s="661" t="s">
        <v>653</v>
      </c>
      <c r="B41" s="667" t="s">
        <v>293</v>
      </c>
      <c r="C41" s="667" t="s">
        <v>293</v>
      </c>
      <c r="D41" s="667" t="s">
        <v>293</v>
      </c>
      <c r="E41" s="667" t="s">
        <v>293</v>
      </c>
      <c r="F41" s="704" t="s">
        <v>654</v>
      </c>
      <c r="G41" s="704" t="s">
        <v>654</v>
      </c>
      <c r="H41" s="667" t="s">
        <v>293</v>
      </c>
      <c r="I41" s="704" t="s">
        <v>654</v>
      </c>
      <c r="J41" s="667" t="s">
        <v>293</v>
      </c>
      <c r="K41" s="667" t="s">
        <v>293</v>
      </c>
      <c r="L41" s="704" t="s">
        <v>654</v>
      </c>
      <c r="M41" s="704" t="s">
        <v>654</v>
      </c>
      <c r="N41" s="704" t="s">
        <v>654</v>
      </c>
      <c r="O41" s="704" t="s">
        <v>654</v>
      </c>
      <c r="P41" s="704" t="s">
        <v>654</v>
      </c>
      <c r="Q41" s="704" t="s">
        <v>654</v>
      </c>
      <c r="R41" s="704" t="s">
        <v>654</v>
      </c>
      <c r="S41" s="704" t="s">
        <v>654</v>
      </c>
      <c r="T41" s="704" t="s">
        <v>654</v>
      </c>
      <c r="U41" s="704" t="s">
        <v>654</v>
      </c>
      <c r="V41" s="667" t="s">
        <v>293</v>
      </c>
      <c r="W41" s="667" t="s">
        <v>293</v>
      </c>
      <c r="X41" s="704" t="s">
        <v>655</v>
      </c>
      <c r="Y41" s="704" t="s">
        <v>654</v>
      </c>
      <c r="Z41" s="704" t="s">
        <v>654</v>
      </c>
    </row>
    <row r="42" spans="1:26" ht="12.75">
      <c r="A42" s="661" t="s">
        <v>656</v>
      </c>
      <c r="B42" s="704">
        <v>-18</v>
      </c>
      <c r="C42" s="666">
        <v>-20</v>
      </c>
      <c r="D42" s="704">
        <v>-20</v>
      </c>
      <c r="E42" s="704">
        <v>-20</v>
      </c>
      <c r="F42" s="704">
        <v>-20</v>
      </c>
      <c r="G42" s="733">
        <v>-20</v>
      </c>
      <c r="H42" s="666">
        <v>-13</v>
      </c>
      <c r="I42" s="733">
        <v>-20</v>
      </c>
      <c r="J42" s="666">
        <v>-18</v>
      </c>
      <c r="K42" s="704">
        <v>-20</v>
      </c>
      <c r="L42" s="704">
        <v>-20</v>
      </c>
      <c r="M42" s="704">
        <v>-20</v>
      </c>
      <c r="N42" s="704">
        <v>-20</v>
      </c>
      <c r="O42" s="704">
        <v>-20</v>
      </c>
      <c r="P42" s="704">
        <v>-20</v>
      </c>
      <c r="Q42" s="666">
        <v>-20</v>
      </c>
      <c r="R42" s="704">
        <v>-20</v>
      </c>
      <c r="S42" s="665">
        <v>-20</v>
      </c>
      <c r="T42" s="704">
        <v>-20</v>
      </c>
      <c r="U42" s="704">
        <v>-20</v>
      </c>
      <c r="V42" s="666">
        <v>-16</v>
      </c>
      <c r="W42" s="666">
        <v>-18</v>
      </c>
      <c r="X42" s="666">
        <v>-20</v>
      </c>
      <c r="Y42" s="666">
        <v>-20</v>
      </c>
      <c r="Z42" s="666">
        <v>-20</v>
      </c>
    </row>
    <row r="43" spans="1:26" ht="12.75">
      <c r="A43" s="661" t="s">
        <v>657</v>
      </c>
      <c r="B43" s="704">
        <v>200</v>
      </c>
      <c r="C43" s="666">
        <v>200</v>
      </c>
      <c r="D43" s="704">
        <v>200</v>
      </c>
      <c r="E43" s="704">
        <v>200</v>
      </c>
      <c r="F43" s="704">
        <v>200</v>
      </c>
      <c r="G43" s="733">
        <v>200</v>
      </c>
      <c r="H43" s="666">
        <v>400</v>
      </c>
      <c r="I43" s="733">
        <v>200</v>
      </c>
      <c r="J43" s="666">
        <v>300</v>
      </c>
      <c r="K43" s="704">
        <v>270</v>
      </c>
      <c r="L43" s="704">
        <v>270</v>
      </c>
      <c r="M43" s="704">
        <v>900</v>
      </c>
      <c r="N43" s="704">
        <v>900</v>
      </c>
      <c r="O43" s="704">
        <v>900</v>
      </c>
      <c r="P43" s="704">
        <v>900</v>
      </c>
      <c r="Q43" s="666">
        <v>200</v>
      </c>
      <c r="R43" s="704">
        <v>200</v>
      </c>
      <c r="S43" s="665">
        <v>200</v>
      </c>
      <c r="T43" s="704">
        <v>200</v>
      </c>
      <c r="U43" s="704">
        <v>200</v>
      </c>
      <c r="V43" s="666">
        <v>200</v>
      </c>
      <c r="W43" s="666">
        <v>200</v>
      </c>
      <c r="X43" s="666">
        <v>200</v>
      </c>
      <c r="Y43" s="666">
        <v>1000</v>
      </c>
      <c r="Z43" s="666">
        <v>200</v>
      </c>
    </row>
    <row r="44" spans="1:26" ht="12.75">
      <c r="A44" s="661" t="s">
        <v>658</v>
      </c>
      <c r="B44" s="704">
        <v>10</v>
      </c>
      <c r="C44" s="666">
        <v>10</v>
      </c>
      <c r="D44" s="704">
        <v>10</v>
      </c>
      <c r="E44" s="704">
        <v>10</v>
      </c>
      <c r="F44" s="704">
        <v>12</v>
      </c>
      <c r="G44" s="733">
        <v>12</v>
      </c>
      <c r="H44" s="666">
        <v>5</v>
      </c>
      <c r="I44" s="733">
        <v>10</v>
      </c>
      <c r="J44" s="666">
        <v>5</v>
      </c>
      <c r="K44" s="704">
        <v>10</v>
      </c>
      <c r="L44" s="704">
        <v>10</v>
      </c>
      <c r="M44" s="704">
        <v>3.5</v>
      </c>
      <c r="N44" s="704">
        <v>3.5</v>
      </c>
      <c r="O44" s="704">
        <v>3.5</v>
      </c>
      <c r="P44" s="704">
        <v>3.5</v>
      </c>
      <c r="Q44" s="666">
        <v>10</v>
      </c>
      <c r="R44" s="704">
        <v>10</v>
      </c>
      <c r="S44" s="665">
        <v>2.6</v>
      </c>
      <c r="T44" s="704">
        <v>12</v>
      </c>
      <c r="U44" s="704">
        <v>12</v>
      </c>
      <c r="V44" s="666">
        <v>5</v>
      </c>
      <c r="W44" s="666">
        <v>5</v>
      </c>
      <c r="X44" s="666">
        <v>5</v>
      </c>
      <c r="Y44" s="666">
        <v>3</v>
      </c>
      <c r="Z44" s="666">
        <v>10</v>
      </c>
    </row>
    <row r="45" spans="1:26" ht="12.75">
      <c r="A45" s="661" t="s">
        <v>659</v>
      </c>
      <c r="B45" s="704">
        <v>-26</v>
      </c>
      <c r="C45" s="666">
        <v>-30</v>
      </c>
      <c r="D45" s="704">
        <v>-30</v>
      </c>
      <c r="E45" s="704">
        <v>-30</v>
      </c>
      <c r="F45" s="704">
        <v>-30</v>
      </c>
      <c r="G45" s="733">
        <v>-30</v>
      </c>
      <c r="H45" s="666">
        <v>-25</v>
      </c>
      <c r="I45" s="733">
        <v>-30</v>
      </c>
      <c r="J45" s="666">
        <v>-20</v>
      </c>
      <c r="K45" s="704">
        <v>-30</v>
      </c>
      <c r="L45" s="704">
        <v>-30</v>
      </c>
      <c r="M45" s="704">
        <v>-30</v>
      </c>
      <c r="N45" s="704">
        <v>-30</v>
      </c>
      <c r="O45" s="704">
        <v>-30</v>
      </c>
      <c r="P45" s="704">
        <v>-30</v>
      </c>
      <c r="Q45" s="666">
        <v>-30</v>
      </c>
      <c r="R45" s="704">
        <v>-30</v>
      </c>
      <c r="S45" s="665">
        <v>-30</v>
      </c>
      <c r="T45" s="704">
        <v>-27</v>
      </c>
      <c r="U45" s="704">
        <v>-27</v>
      </c>
      <c r="V45" s="666">
        <v>-27</v>
      </c>
      <c r="W45" s="666">
        <v>-27</v>
      </c>
      <c r="X45" s="666">
        <v>-27</v>
      </c>
      <c r="Y45" s="666">
        <v>-30</v>
      </c>
      <c r="Z45" s="666">
        <v>-30</v>
      </c>
    </row>
    <row r="46" spans="1:26" ht="12.75">
      <c r="A46" s="661" t="s">
        <v>660</v>
      </c>
      <c r="B46" s="704">
        <v>14</v>
      </c>
      <c r="C46" s="666">
        <v>13</v>
      </c>
      <c r="D46" s="666">
        <v>13</v>
      </c>
      <c r="E46" s="666">
        <v>13</v>
      </c>
      <c r="F46" s="704">
        <v>13</v>
      </c>
      <c r="G46" s="733">
        <v>13</v>
      </c>
      <c r="H46" s="666">
        <v>15</v>
      </c>
      <c r="I46" s="733">
        <v>13</v>
      </c>
      <c r="J46" s="666">
        <v>16</v>
      </c>
      <c r="K46" s="704">
        <v>11</v>
      </c>
      <c r="L46" s="704">
        <v>11</v>
      </c>
      <c r="M46" s="704">
        <v>13</v>
      </c>
      <c r="N46" s="704">
        <v>13</v>
      </c>
      <c r="O46" s="704">
        <v>13</v>
      </c>
      <c r="P46" s="704">
        <v>13</v>
      </c>
      <c r="Q46" s="666">
        <v>12</v>
      </c>
      <c r="R46" s="704">
        <v>10</v>
      </c>
      <c r="S46" s="665">
        <v>10</v>
      </c>
      <c r="T46" s="704">
        <v>12</v>
      </c>
      <c r="U46" s="704">
        <v>12</v>
      </c>
      <c r="V46" s="666">
        <v>10</v>
      </c>
      <c r="W46" s="666">
        <v>10</v>
      </c>
      <c r="X46" s="666">
        <v>10</v>
      </c>
      <c r="Y46" s="666">
        <v>10</v>
      </c>
      <c r="Z46" s="666">
        <v>10</v>
      </c>
    </row>
    <row r="47" spans="1:26" ht="12.75">
      <c r="A47" s="661" t="s">
        <v>661</v>
      </c>
      <c r="B47" s="704">
        <v>-16</v>
      </c>
      <c r="C47" s="666">
        <v>-17</v>
      </c>
      <c r="D47" s="704">
        <v>-17</v>
      </c>
      <c r="E47" s="704">
        <v>-17</v>
      </c>
      <c r="F47" s="704">
        <v>-17</v>
      </c>
      <c r="G47" s="733">
        <v>-17</v>
      </c>
      <c r="H47" s="666">
        <v>-12</v>
      </c>
      <c r="I47" s="733">
        <v>-17</v>
      </c>
      <c r="J47" s="666">
        <v>-14</v>
      </c>
      <c r="K47" s="704">
        <v>-17</v>
      </c>
      <c r="L47" s="704">
        <v>-17</v>
      </c>
      <c r="M47" s="704">
        <v>-17</v>
      </c>
      <c r="N47" s="704">
        <v>-17</v>
      </c>
      <c r="O47" s="704">
        <v>-17</v>
      </c>
      <c r="P47" s="704">
        <v>-17</v>
      </c>
      <c r="Q47" s="666">
        <v>-17</v>
      </c>
      <c r="R47" s="704">
        <v>-17</v>
      </c>
      <c r="S47" s="665">
        <v>-17</v>
      </c>
      <c r="T47" s="704">
        <v>-17</v>
      </c>
      <c r="U47" s="704">
        <v>-17</v>
      </c>
      <c r="V47" s="666">
        <v>-15</v>
      </c>
      <c r="W47" s="666">
        <v>-15</v>
      </c>
      <c r="X47" s="666">
        <v>-17</v>
      </c>
      <c r="Y47" s="666">
        <v>-17</v>
      </c>
      <c r="Z47" s="666">
        <v>-17</v>
      </c>
    </row>
    <row r="48" spans="1:26" ht="12.75">
      <c r="A48" s="661" t="s">
        <v>662</v>
      </c>
      <c r="B48" s="667" t="s">
        <v>293</v>
      </c>
      <c r="C48" s="667" t="s">
        <v>293</v>
      </c>
      <c r="D48" s="667" t="s">
        <v>293</v>
      </c>
      <c r="E48" s="667" t="s">
        <v>293</v>
      </c>
      <c r="F48" s="667" t="s">
        <v>293</v>
      </c>
      <c r="G48" s="741" t="s">
        <v>293</v>
      </c>
      <c r="H48" s="666">
        <v>300</v>
      </c>
      <c r="I48" s="741" t="s">
        <v>293</v>
      </c>
      <c r="J48" s="666">
        <v>300</v>
      </c>
      <c r="K48" s="667" t="s">
        <v>293</v>
      </c>
      <c r="L48" s="667" t="s">
        <v>293</v>
      </c>
      <c r="M48" s="667" t="s">
        <v>293</v>
      </c>
      <c r="N48" s="667" t="s">
        <v>293</v>
      </c>
      <c r="O48" s="667" t="s">
        <v>293</v>
      </c>
      <c r="P48" s="667" t="s">
        <v>293</v>
      </c>
      <c r="Q48" s="667" t="s">
        <v>293</v>
      </c>
      <c r="R48" s="667" t="s">
        <v>293</v>
      </c>
      <c r="S48" s="602" t="s">
        <v>293</v>
      </c>
      <c r="T48" s="667" t="s">
        <v>293</v>
      </c>
      <c r="U48" s="667" t="s">
        <v>293</v>
      </c>
      <c r="V48" s="666">
        <v>300</v>
      </c>
      <c r="W48" s="666">
        <v>300</v>
      </c>
      <c r="X48" s="666">
        <v>150</v>
      </c>
      <c r="Y48" s="667" t="s">
        <v>293</v>
      </c>
      <c r="Z48" s="667" t="s">
        <v>293</v>
      </c>
    </row>
    <row r="49" spans="1:26" ht="12.75">
      <c r="A49" s="661" t="s">
        <v>663</v>
      </c>
      <c r="B49" s="667" t="s">
        <v>293</v>
      </c>
      <c r="C49" s="667" t="s">
        <v>293</v>
      </c>
      <c r="D49" s="667" t="s">
        <v>293</v>
      </c>
      <c r="E49" s="667" t="s">
        <v>293</v>
      </c>
      <c r="F49" s="667" t="s">
        <v>293</v>
      </c>
      <c r="G49" s="741" t="s">
        <v>293</v>
      </c>
      <c r="H49" s="666">
        <v>15000</v>
      </c>
      <c r="I49" s="741" t="s">
        <v>293</v>
      </c>
      <c r="J49" s="666">
        <v>15000</v>
      </c>
      <c r="K49" s="667" t="s">
        <v>293</v>
      </c>
      <c r="L49" s="667" t="s">
        <v>293</v>
      </c>
      <c r="M49" s="667" t="s">
        <v>293</v>
      </c>
      <c r="N49" s="667" t="s">
        <v>293</v>
      </c>
      <c r="O49" s="667" t="s">
        <v>293</v>
      </c>
      <c r="P49" s="667" t="s">
        <v>293</v>
      </c>
      <c r="Q49" s="667" t="s">
        <v>293</v>
      </c>
      <c r="R49" s="667" t="s">
        <v>293</v>
      </c>
      <c r="S49" s="602" t="s">
        <v>293</v>
      </c>
      <c r="T49" s="667" t="s">
        <v>293</v>
      </c>
      <c r="U49" s="667" t="s">
        <v>293</v>
      </c>
      <c r="V49" s="666">
        <v>38000</v>
      </c>
      <c r="W49" s="666">
        <v>38000</v>
      </c>
      <c r="X49" s="666">
        <v>75000</v>
      </c>
      <c r="Y49" s="667" t="s">
        <v>293</v>
      </c>
      <c r="Z49" s="667" t="s">
        <v>293</v>
      </c>
    </row>
    <row r="50" spans="1:26" ht="12.75">
      <c r="A50" s="661" t="s">
        <v>664</v>
      </c>
      <c r="B50" s="667" t="s">
        <v>293</v>
      </c>
      <c r="C50" s="667" t="s">
        <v>293</v>
      </c>
      <c r="D50" s="667" t="s">
        <v>293</v>
      </c>
      <c r="E50" s="667" t="s">
        <v>293</v>
      </c>
      <c r="F50" s="667" t="s">
        <v>293</v>
      </c>
      <c r="G50" s="741" t="s">
        <v>293</v>
      </c>
      <c r="H50" s="666">
        <v>300</v>
      </c>
      <c r="I50" s="741" t="s">
        <v>293</v>
      </c>
      <c r="J50" s="666">
        <v>300</v>
      </c>
      <c r="K50" s="667" t="s">
        <v>293</v>
      </c>
      <c r="L50" s="667" t="s">
        <v>293</v>
      </c>
      <c r="M50" s="667" t="s">
        <v>293</v>
      </c>
      <c r="N50" s="667" t="s">
        <v>293</v>
      </c>
      <c r="O50" s="667" t="s">
        <v>293</v>
      </c>
      <c r="P50" s="667" t="s">
        <v>293</v>
      </c>
      <c r="Q50" s="667" t="s">
        <v>293</v>
      </c>
      <c r="R50" s="667" t="s">
        <v>293</v>
      </c>
      <c r="S50" s="602" t="s">
        <v>293</v>
      </c>
      <c r="T50" s="667" t="s">
        <v>293</v>
      </c>
      <c r="U50" s="667" t="s">
        <v>293</v>
      </c>
      <c r="V50" s="666">
        <v>300</v>
      </c>
      <c r="W50" s="666">
        <v>300</v>
      </c>
      <c r="X50" s="666">
        <v>150</v>
      </c>
      <c r="Y50" s="667" t="s">
        <v>293</v>
      </c>
      <c r="Z50" s="667" t="s">
        <v>293</v>
      </c>
    </row>
    <row r="51" spans="1:26" ht="12.75">
      <c r="A51" s="661" t="s">
        <v>665</v>
      </c>
      <c r="B51" s="667" t="s">
        <v>293</v>
      </c>
      <c r="C51" s="667" t="s">
        <v>293</v>
      </c>
      <c r="D51" s="667" t="s">
        <v>293</v>
      </c>
      <c r="E51" s="667" t="s">
        <v>293</v>
      </c>
      <c r="F51" s="667" t="s">
        <v>293</v>
      </c>
      <c r="G51" s="741" t="s">
        <v>293</v>
      </c>
      <c r="H51" s="666">
        <v>150</v>
      </c>
      <c r="I51" s="741" t="s">
        <v>293</v>
      </c>
      <c r="J51" s="666">
        <v>150</v>
      </c>
      <c r="K51" s="667" t="s">
        <v>293</v>
      </c>
      <c r="L51" s="667" t="s">
        <v>293</v>
      </c>
      <c r="M51" s="667" t="s">
        <v>293</v>
      </c>
      <c r="N51" s="667" t="s">
        <v>293</v>
      </c>
      <c r="O51" s="667" t="s">
        <v>293</v>
      </c>
      <c r="P51" s="667" t="s">
        <v>293</v>
      </c>
      <c r="Q51" s="667" t="s">
        <v>293</v>
      </c>
      <c r="R51" s="667" t="s">
        <v>293</v>
      </c>
      <c r="S51" s="602" t="s">
        <v>293</v>
      </c>
      <c r="T51" s="667" t="s">
        <v>293</v>
      </c>
      <c r="U51" s="667" t="s">
        <v>293</v>
      </c>
      <c r="V51" s="666">
        <v>150</v>
      </c>
      <c r="W51" s="666">
        <v>150</v>
      </c>
      <c r="X51" s="666">
        <v>75</v>
      </c>
      <c r="Y51" s="667" t="s">
        <v>293</v>
      </c>
      <c r="Z51" s="667" t="s">
        <v>293</v>
      </c>
    </row>
    <row r="52" spans="1:26" ht="12.75">
      <c r="A52" s="661" t="s">
        <v>666</v>
      </c>
      <c r="B52" s="667" t="s">
        <v>293</v>
      </c>
      <c r="C52" s="669" t="s">
        <v>293</v>
      </c>
      <c r="D52" s="667" t="s">
        <v>293</v>
      </c>
      <c r="E52" s="667" t="s">
        <v>293</v>
      </c>
      <c r="F52" s="667" t="s">
        <v>293</v>
      </c>
      <c r="G52" s="741" t="s">
        <v>293</v>
      </c>
      <c r="H52" s="666">
        <v>1200</v>
      </c>
      <c r="I52" s="741" t="s">
        <v>293</v>
      </c>
      <c r="J52" s="666">
        <v>900</v>
      </c>
      <c r="K52" s="667" t="s">
        <v>293</v>
      </c>
      <c r="L52" s="667" t="s">
        <v>293</v>
      </c>
      <c r="M52" s="667" t="s">
        <v>293</v>
      </c>
      <c r="N52" s="667" t="s">
        <v>293</v>
      </c>
      <c r="O52" s="667" t="s">
        <v>293</v>
      </c>
      <c r="P52" s="667" t="s">
        <v>293</v>
      </c>
      <c r="Q52" s="669" t="s">
        <v>293</v>
      </c>
      <c r="R52" s="667" t="s">
        <v>293</v>
      </c>
      <c r="S52" s="602" t="s">
        <v>293</v>
      </c>
      <c r="T52" s="667" t="s">
        <v>293</v>
      </c>
      <c r="U52" s="667" t="s">
        <v>293</v>
      </c>
      <c r="V52" s="666">
        <v>1500</v>
      </c>
      <c r="W52" s="666">
        <v>1500</v>
      </c>
      <c r="X52" s="666">
        <v>750</v>
      </c>
      <c r="Y52" s="667" t="s">
        <v>293</v>
      </c>
      <c r="Z52" s="669" t="s">
        <v>293</v>
      </c>
    </row>
    <row r="53" spans="1:26" ht="12.75">
      <c r="A53" s="661" t="s">
        <v>667</v>
      </c>
      <c r="B53" s="667" t="s">
        <v>293</v>
      </c>
      <c r="C53" s="667" t="s">
        <v>293</v>
      </c>
      <c r="D53" s="667" t="s">
        <v>293</v>
      </c>
      <c r="E53" s="667" t="s">
        <v>293</v>
      </c>
      <c r="F53" s="667" t="s">
        <v>293</v>
      </c>
      <c r="G53" s="667" t="s">
        <v>293</v>
      </c>
      <c r="H53" s="666">
        <v>0.8</v>
      </c>
      <c r="I53" s="667" t="s">
        <v>293</v>
      </c>
      <c r="J53" s="666">
        <v>0.8</v>
      </c>
      <c r="K53" s="667" t="s">
        <v>293</v>
      </c>
      <c r="L53" s="667" t="s">
        <v>293</v>
      </c>
      <c r="M53" s="667" t="s">
        <v>293</v>
      </c>
      <c r="N53" s="667" t="s">
        <v>293</v>
      </c>
      <c r="O53" s="667" t="s">
        <v>293</v>
      </c>
      <c r="P53" s="667" t="s">
        <v>293</v>
      </c>
      <c r="Q53" s="667" t="s">
        <v>293</v>
      </c>
      <c r="R53" s="667" t="s">
        <v>293</v>
      </c>
      <c r="S53" s="667" t="s">
        <v>293</v>
      </c>
      <c r="T53" s="667" t="s">
        <v>293</v>
      </c>
      <c r="U53" s="667" t="s">
        <v>293</v>
      </c>
      <c r="V53" s="666">
        <v>0.8</v>
      </c>
      <c r="W53" s="666">
        <v>0.8</v>
      </c>
      <c r="X53" s="666">
        <v>0.8</v>
      </c>
      <c r="Y53" s="667" t="s">
        <v>293</v>
      </c>
      <c r="Z53" s="667" t="s">
        <v>293</v>
      </c>
    </row>
    <row r="54" spans="1:26" ht="12.75">
      <c r="A54" s="661" t="s">
        <v>668</v>
      </c>
      <c r="B54" s="667" t="s">
        <v>293</v>
      </c>
      <c r="C54" s="667" t="s">
        <v>293</v>
      </c>
      <c r="D54" s="667" t="s">
        <v>293</v>
      </c>
      <c r="E54" s="667" t="s">
        <v>293</v>
      </c>
      <c r="F54" s="667" t="s">
        <v>293</v>
      </c>
      <c r="G54" s="667" t="s">
        <v>293</v>
      </c>
      <c r="H54" s="666">
        <v>0.05</v>
      </c>
      <c r="I54" s="667" t="s">
        <v>293</v>
      </c>
      <c r="J54" s="666">
        <v>0.05</v>
      </c>
      <c r="K54" s="667" t="s">
        <v>293</v>
      </c>
      <c r="L54" s="667" t="s">
        <v>293</v>
      </c>
      <c r="M54" s="667" t="s">
        <v>293</v>
      </c>
      <c r="N54" s="667" t="s">
        <v>293</v>
      </c>
      <c r="O54" s="667" t="s">
        <v>293</v>
      </c>
      <c r="P54" s="667" t="s">
        <v>293</v>
      </c>
      <c r="Q54" s="667" t="s">
        <v>293</v>
      </c>
      <c r="R54" s="667" t="s">
        <v>293</v>
      </c>
      <c r="S54" s="667" t="s">
        <v>293</v>
      </c>
      <c r="T54" s="667" t="s">
        <v>293</v>
      </c>
      <c r="U54" s="667" t="s">
        <v>293</v>
      </c>
      <c r="V54" s="666">
        <v>0.05</v>
      </c>
      <c r="W54" s="666">
        <v>0.05</v>
      </c>
      <c r="X54" s="666">
        <v>0.05</v>
      </c>
      <c r="Y54" s="667" t="s">
        <v>293</v>
      </c>
      <c r="Z54" s="667" t="s">
        <v>293</v>
      </c>
    </row>
    <row r="55" spans="1:26" ht="12.75">
      <c r="A55" s="661" t="s">
        <v>669</v>
      </c>
      <c r="B55" s="704">
        <v>-2000</v>
      </c>
      <c r="C55" s="666">
        <v>-3000</v>
      </c>
      <c r="D55" s="704">
        <v>-3000</v>
      </c>
      <c r="E55" s="704">
        <v>-3000</v>
      </c>
      <c r="F55" s="704">
        <v>-3000</v>
      </c>
      <c r="G55" s="733">
        <v>-3000</v>
      </c>
      <c r="H55" s="667" t="s">
        <v>293</v>
      </c>
      <c r="I55" s="733">
        <v>-3000</v>
      </c>
      <c r="J55" s="667" t="s">
        <v>293</v>
      </c>
      <c r="K55" s="704">
        <v>-3000</v>
      </c>
      <c r="L55" s="704">
        <v>-3000</v>
      </c>
      <c r="M55" s="704">
        <v>-3000</v>
      </c>
      <c r="N55" s="704">
        <v>-3000</v>
      </c>
      <c r="O55" s="704">
        <v>-3000</v>
      </c>
      <c r="P55" s="704">
        <v>-3000</v>
      </c>
      <c r="Q55" s="666">
        <v>-3000</v>
      </c>
      <c r="R55" s="704">
        <v>-3000</v>
      </c>
      <c r="S55" s="665">
        <v>-3000</v>
      </c>
      <c r="T55" s="704">
        <v>-3000</v>
      </c>
      <c r="U55" s="704">
        <v>-3000</v>
      </c>
      <c r="V55" s="667" t="s">
        <v>293</v>
      </c>
      <c r="W55" s="667" t="s">
        <v>293</v>
      </c>
      <c r="X55" s="667" t="s">
        <v>293</v>
      </c>
      <c r="Y55" s="704">
        <v>-3000</v>
      </c>
      <c r="Z55" s="666">
        <v>-3000</v>
      </c>
    </row>
    <row r="56" spans="1:26" ht="12.75">
      <c r="A56" s="661" t="s">
        <v>670</v>
      </c>
      <c r="B56" s="704">
        <v>2000</v>
      </c>
      <c r="C56" s="666">
        <v>3000</v>
      </c>
      <c r="D56" s="704">
        <v>3000</v>
      </c>
      <c r="E56" s="704">
        <v>3000</v>
      </c>
      <c r="F56" s="704">
        <v>3000</v>
      </c>
      <c r="G56" s="733">
        <v>3000</v>
      </c>
      <c r="H56" s="667" t="s">
        <v>293</v>
      </c>
      <c r="I56" s="733">
        <v>3000</v>
      </c>
      <c r="J56" s="667" t="s">
        <v>293</v>
      </c>
      <c r="K56" s="704">
        <v>3000</v>
      </c>
      <c r="L56" s="704">
        <v>3000</v>
      </c>
      <c r="M56" s="704">
        <v>3000</v>
      </c>
      <c r="N56" s="704">
        <v>3000</v>
      </c>
      <c r="O56" s="704">
        <v>3000</v>
      </c>
      <c r="P56" s="704">
        <v>3000</v>
      </c>
      <c r="Q56" s="666">
        <v>3000</v>
      </c>
      <c r="R56" s="704">
        <v>3000</v>
      </c>
      <c r="S56" s="665">
        <v>3000</v>
      </c>
      <c r="T56" s="704">
        <v>3000</v>
      </c>
      <c r="U56" s="704">
        <v>3000</v>
      </c>
      <c r="V56" s="667" t="s">
        <v>293</v>
      </c>
      <c r="W56" s="667" t="s">
        <v>293</v>
      </c>
      <c r="X56" s="667" t="s">
        <v>293</v>
      </c>
      <c r="Y56" s="704">
        <v>3000</v>
      </c>
      <c r="Z56" s="666">
        <v>3000</v>
      </c>
    </row>
    <row r="57" spans="1:26" ht="12.75">
      <c r="A57" s="661" t="s">
        <v>671</v>
      </c>
      <c r="B57" s="704">
        <v>30</v>
      </c>
      <c r="C57" s="666">
        <v>22</v>
      </c>
      <c r="D57" s="704">
        <v>22</v>
      </c>
      <c r="E57" s="704">
        <v>22</v>
      </c>
      <c r="F57" s="704">
        <v>20</v>
      </c>
      <c r="G57" s="733">
        <v>20</v>
      </c>
      <c r="H57" s="667" t="s">
        <v>293</v>
      </c>
      <c r="I57" s="733">
        <v>20</v>
      </c>
      <c r="J57" s="667" t="s">
        <v>293</v>
      </c>
      <c r="K57" s="704">
        <v>24</v>
      </c>
      <c r="L57" s="704">
        <v>20</v>
      </c>
      <c r="M57" s="704">
        <v>20</v>
      </c>
      <c r="N57" s="704">
        <v>20</v>
      </c>
      <c r="O57" s="704">
        <v>20</v>
      </c>
      <c r="P57" s="704">
        <v>20</v>
      </c>
      <c r="Q57" s="666">
        <v>20</v>
      </c>
      <c r="R57" s="704">
        <v>20</v>
      </c>
      <c r="S57" s="665">
        <v>20</v>
      </c>
      <c r="T57" s="704">
        <v>20</v>
      </c>
      <c r="U57" s="704">
        <v>20</v>
      </c>
      <c r="V57" s="667" t="s">
        <v>293</v>
      </c>
      <c r="W57" s="667" t="s">
        <v>293</v>
      </c>
      <c r="X57" s="667" t="s">
        <v>293</v>
      </c>
      <c r="Y57" s="704">
        <v>20</v>
      </c>
      <c r="Z57" s="666">
        <v>20</v>
      </c>
    </row>
    <row r="58" spans="1:26" ht="12.75">
      <c r="A58" s="661" t="s">
        <v>672</v>
      </c>
      <c r="B58" s="704">
        <v>150</v>
      </c>
      <c r="C58" s="666">
        <v>120</v>
      </c>
      <c r="D58" s="704">
        <v>120</v>
      </c>
      <c r="E58" s="704">
        <v>120</v>
      </c>
      <c r="F58" s="704">
        <v>100</v>
      </c>
      <c r="G58" s="733">
        <v>100</v>
      </c>
      <c r="H58" s="667" t="s">
        <v>293</v>
      </c>
      <c r="I58" s="733">
        <v>100</v>
      </c>
      <c r="J58" s="667" t="s">
        <v>293</v>
      </c>
      <c r="K58" s="704">
        <v>120</v>
      </c>
      <c r="L58" s="704">
        <v>100</v>
      </c>
      <c r="M58" s="704">
        <v>100</v>
      </c>
      <c r="N58" s="704">
        <v>100</v>
      </c>
      <c r="O58" s="704">
        <v>100</v>
      </c>
      <c r="P58" s="704">
        <v>100</v>
      </c>
      <c r="Q58" s="704">
        <v>100</v>
      </c>
      <c r="R58" s="704">
        <v>100</v>
      </c>
      <c r="S58" s="665">
        <v>100</v>
      </c>
      <c r="T58" s="704">
        <v>100</v>
      </c>
      <c r="U58" s="704">
        <v>100</v>
      </c>
      <c r="V58" s="667" t="s">
        <v>293</v>
      </c>
      <c r="W58" s="667" t="s">
        <v>293</v>
      </c>
      <c r="X58" s="667" t="s">
        <v>293</v>
      </c>
      <c r="Y58" s="704">
        <v>100</v>
      </c>
      <c r="Z58" s="704">
        <v>100</v>
      </c>
    </row>
    <row r="59" spans="1:26" ht="12.75">
      <c r="A59" s="661" t="s">
        <v>673</v>
      </c>
      <c r="B59" s="704">
        <v>7</v>
      </c>
      <c r="C59" s="666">
        <v>7</v>
      </c>
      <c r="D59" s="704">
        <v>5</v>
      </c>
      <c r="E59" s="704">
        <v>5</v>
      </c>
      <c r="F59" s="704">
        <v>5</v>
      </c>
      <c r="G59" s="733">
        <v>5</v>
      </c>
      <c r="H59" s="667" t="s">
        <v>293</v>
      </c>
      <c r="I59" s="733">
        <v>5</v>
      </c>
      <c r="J59" s="667" t="s">
        <v>293</v>
      </c>
      <c r="K59" s="704">
        <v>5</v>
      </c>
      <c r="L59" s="704">
        <v>5</v>
      </c>
      <c r="M59" s="704">
        <v>5</v>
      </c>
      <c r="N59" s="704">
        <v>5</v>
      </c>
      <c r="O59" s="704">
        <v>5</v>
      </c>
      <c r="P59" s="704">
        <v>5</v>
      </c>
      <c r="Q59" s="666">
        <v>4</v>
      </c>
      <c r="R59" s="704">
        <v>4</v>
      </c>
      <c r="S59" s="665">
        <v>4</v>
      </c>
      <c r="T59" s="704">
        <v>5</v>
      </c>
      <c r="U59" s="704">
        <v>5</v>
      </c>
      <c r="V59" s="667" t="s">
        <v>293</v>
      </c>
      <c r="W59" s="667" t="s">
        <v>293</v>
      </c>
      <c r="X59" s="667" t="s">
        <v>293</v>
      </c>
      <c r="Y59" s="704">
        <v>5</v>
      </c>
      <c r="Z59" s="666">
        <v>4</v>
      </c>
    </row>
    <row r="60" spans="1:26" ht="12.75">
      <c r="A60" s="661" t="s">
        <v>674</v>
      </c>
      <c r="B60" s="704">
        <v>200</v>
      </c>
      <c r="C60" s="666">
        <v>150</v>
      </c>
      <c r="D60" s="704">
        <v>150</v>
      </c>
      <c r="E60" s="704">
        <v>150</v>
      </c>
      <c r="F60" s="704">
        <v>150</v>
      </c>
      <c r="G60" s="733">
        <v>150</v>
      </c>
      <c r="H60" s="669" t="s">
        <v>293</v>
      </c>
      <c r="I60" s="733">
        <v>150</v>
      </c>
      <c r="J60" s="669" t="s">
        <v>293</v>
      </c>
      <c r="K60" s="704">
        <v>150</v>
      </c>
      <c r="L60" s="704">
        <v>150</v>
      </c>
      <c r="M60" s="704">
        <v>100</v>
      </c>
      <c r="N60" s="704">
        <v>100</v>
      </c>
      <c r="O60" s="704">
        <v>100</v>
      </c>
      <c r="P60" s="704">
        <v>100</v>
      </c>
      <c r="Q60" s="666">
        <v>150</v>
      </c>
      <c r="R60" s="704">
        <v>150</v>
      </c>
      <c r="S60" s="665">
        <v>150</v>
      </c>
      <c r="T60" s="704">
        <v>150</v>
      </c>
      <c r="U60" s="704">
        <v>150</v>
      </c>
      <c r="V60" s="669" t="s">
        <v>293</v>
      </c>
      <c r="W60" s="669" t="s">
        <v>293</v>
      </c>
      <c r="X60" s="669" t="s">
        <v>293</v>
      </c>
      <c r="Y60" s="704">
        <v>150</v>
      </c>
      <c r="Z60" s="666">
        <v>150</v>
      </c>
    </row>
    <row r="61" spans="1:26" ht="12.75">
      <c r="A61" s="661" t="s">
        <v>675</v>
      </c>
      <c r="B61" s="704">
        <v>0.15</v>
      </c>
      <c r="C61" s="704">
        <v>0.2</v>
      </c>
      <c r="D61" s="704">
        <v>0.2</v>
      </c>
      <c r="E61" s="704">
        <v>0.2</v>
      </c>
      <c r="F61" s="704">
        <v>0.25</v>
      </c>
      <c r="G61" s="733">
        <v>0.25</v>
      </c>
      <c r="H61" s="666">
        <v>0.8</v>
      </c>
      <c r="I61" s="733">
        <v>0.25</v>
      </c>
      <c r="J61" s="666">
        <v>0.8</v>
      </c>
      <c r="K61" s="704">
        <v>0.2</v>
      </c>
      <c r="L61" s="704">
        <v>0.25</v>
      </c>
      <c r="M61" s="704">
        <v>0.25</v>
      </c>
      <c r="N61" s="704">
        <v>0.25</v>
      </c>
      <c r="O61" s="704">
        <v>0.25</v>
      </c>
      <c r="P61" s="704">
        <v>0.25</v>
      </c>
      <c r="Q61" s="704">
        <v>0.2</v>
      </c>
      <c r="R61" s="704">
        <v>0.2</v>
      </c>
      <c r="S61" s="665">
        <v>0.2</v>
      </c>
      <c r="T61" s="704">
        <v>0.25</v>
      </c>
      <c r="U61" s="704">
        <v>0.25</v>
      </c>
      <c r="V61" s="667" t="s">
        <v>293</v>
      </c>
      <c r="W61" s="667" t="s">
        <v>293</v>
      </c>
      <c r="X61" s="667" t="s">
        <v>293</v>
      </c>
      <c r="Y61" s="666">
        <v>0.2</v>
      </c>
      <c r="Z61" s="704">
        <v>0.2</v>
      </c>
    </row>
    <row r="62" spans="1:26" ht="12.75">
      <c r="A62" s="661" t="s">
        <v>676</v>
      </c>
      <c r="B62" s="704">
        <v>0.02</v>
      </c>
      <c r="C62" s="704">
        <v>0.02</v>
      </c>
      <c r="D62" s="704">
        <v>0.02</v>
      </c>
      <c r="E62" s="704">
        <v>0.02</v>
      </c>
      <c r="F62" s="704">
        <v>0.03</v>
      </c>
      <c r="G62" s="733">
        <v>0.03</v>
      </c>
      <c r="H62" s="666">
        <v>0.05</v>
      </c>
      <c r="I62" s="733">
        <v>0.03</v>
      </c>
      <c r="J62" s="666">
        <v>0.05</v>
      </c>
      <c r="K62" s="704">
        <v>0.02</v>
      </c>
      <c r="L62" s="704">
        <v>0.03</v>
      </c>
      <c r="M62" s="704">
        <v>0.03</v>
      </c>
      <c r="N62" s="704">
        <v>0.03</v>
      </c>
      <c r="O62" s="704">
        <v>0.03</v>
      </c>
      <c r="P62" s="704">
        <v>0.03</v>
      </c>
      <c r="Q62" s="704">
        <v>0.02</v>
      </c>
      <c r="R62" s="704">
        <v>0.02</v>
      </c>
      <c r="S62" s="665">
        <v>0.02</v>
      </c>
      <c r="T62" s="704">
        <v>0.03</v>
      </c>
      <c r="U62" s="704">
        <v>0.03</v>
      </c>
      <c r="V62" s="667" t="s">
        <v>293</v>
      </c>
      <c r="W62" s="667" t="s">
        <v>293</v>
      </c>
      <c r="X62" s="667" t="s">
        <v>293</v>
      </c>
      <c r="Y62" s="666">
        <v>0.02</v>
      </c>
      <c r="Z62" s="704">
        <v>0.02</v>
      </c>
    </row>
    <row r="63" spans="1:26" ht="25.5">
      <c r="A63" s="682" t="s">
        <v>607</v>
      </c>
      <c r="B63" s="704">
        <v>4</v>
      </c>
      <c r="C63" s="704">
        <v>4</v>
      </c>
      <c r="D63" s="704">
        <v>4</v>
      </c>
      <c r="E63" s="704">
        <v>4</v>
      </c>
      <c r="F63" s="704">
        <v>4</v>
      </c>
      <c r="G63" s="733">
        <v>4</v>
      </c>
      <c r="H63" s="666">
        <v>4</v>
      </c>
      <c r="I63" s="733">
        <v>4</v>
      </c>
      <c r="J63" s="666">
        <v>4</v>
      </c>
      <c r="K63" s="704">
        <v>4</v>
      </c>
      <c r="L63" s="704">
        <v>4</v>
      </c>
      <c r="M63" s="704">
        <v>4</v>
      </c>
      <c r="N63" s="704">
        <v>4</v>
      </c>
      <c r="O63" s="704">
        <v>4</v>
      </c>
      <c r="P63" s="704">
        <v>4</v>
      </c>
      <c r="Q63" s="704">
        <v>4</v>
      </c>
      <c r="R63" s="704">
        <v>4</v>
      </c>
      <c r="S63" s="665">
        <v>4</v>
      </c>
      <c r="T63" s="704">
        <v>4</v>
      </c>
      <c r="U63" s="704">
        <v>4</v>
      </c>
      <c r="V63" s="666">
        <v>4</v>
      </c>
      <c r="W63" s="666">
        <v>4</v>
      </c>
      <c r="X63" s="666">
        <v>4</v>
      </c>
      <c r="Y63" s="666">
        <v>4</v>
      </c>
      <c r="Z63" s="666">
        <v>4</v>
      </c>
    </row>
    <row r="64" spans="1:26" ht="12.75">
      <c r="A64" s="682" t="s">
        <v>608</v>
      </c>
      <c r="B64" s="666">
        <v>1800</v>
      </c>
      <c r="C64" s="666">
        <v>1800</v>
      </c>
      <c r="D64" s="666">
        <v>1800</v>
      </c>
      <c r="E64" s="666">
        <v>1800</v>
      </c>
      <c r="F64" s="666">
        <v>1800</v>
      </c>
      <c r="G64" s="733">
        <v>1800</v>
      </c>
      <c r="H64" s="666">
        <v>1800</v>
      </c>
      <c r="I64" s="733">
        <v>1800</v>
      </c>
      <c r="J64" s="666">
        <v>1800</v>
      </c>
      <c r="K64" s="666">
        <v>1800</v>
      </c>
      <c r="L64" s="666">
        <v>1800</v>
      </c>
      <c r="M64" s="666">
        <v>1800</v>
      </c>
      <c r="N64" s="666">
        <v>1800</v>
      </c>
      <c r="O64" s="666">
        <v>1800</v>
      </c>
      <c r="P64" s="666">
        <v>1800</v>
      </c>
      <c r="Q64" s="666">
        <v>1800</v>
      </c>
      <c r="R64" s="666">
        <v>1800</v>
      </c>
      <c r="S64" s="665">
        <v>1800</v>
      </c>
      <c r="T64" s="666">
        <v>1800</v>
      </c>
      <c r="U64" s="704">
        <v>1800</v>
      </c>
      <c r="V64" s="666">
        <v>1620</v>
      </c>
      <c r="W64" s="704">
        <v>1800</v>
      </c>
      <c r="X64" s="666">
        <v>1800</v>
      </c>
      <c r="Y64" s="666">
        <v>1800</v>
      </c>
      <c r="Z64" s="666">
        <v>1800</v>
      </c>
    </row>
    <row r="65" spans="1:26" ht="12.75">
      <c r="A65" s="661" t="s">
        <v>609</v>
      </c>
      <c r="B65" s="704">
        <v>3.0000000000000001E-3</v>
      </c>
      <c r="C65" s="704">
        <v>4.0000000000000001E-3</v>
      </c>
      <c r="D65" s="704">
        <v>2.5000000000000001E-3</v>
      </c>
      <c r="E65" s="704">
        <v>2.5000000000000001E-3</v>
      </c>
      <c r="F65" s="704">
        <v>1E-3</v>
      </c>
      <c r="G65" s="733">
        <v>1E-3</v>
      </c>
      <c r="H65" s="704">
        <v>5.4999999999999997E-3</v>
      </c>
      <c r="I65" s="733">
        <v>3.4099999999999998E-2</v>
      </c>
      <c r="J65" s="704">
        <v>2.5000000000000001E-3</v>
      </c>
      <c r="K65" s="704">
        <v>3.5000000000000001E-3</v>
      </c>
      <c r="L65" s="704">
        <v>2.5000000000000001E-3</v>
      </c>
      <c r="M65" s="704">
        <v>1.5E-3</v>
      </c>
      <c r="N65" s="704">
        <v>1.5E-3</v>
      </c>
      <c r="O65" s="704">
        <v>4.0000000000000001E-3</v>
      </c>
      <c r="P65" s="704">
        <v>4.0000000000000001E-3</v>
      </c>
      <c r="Q65" s="704">
        <v>2.5000000000000001E-3</v>
      </c>
      <c r="R65" s="704">
        <v>2.5000000000000001E-3</v>
      </c>
      <c r="S65" s="665">
        <v>1.0500000000000001E-2</v>
      </c>
      <c r="T65" s="704">
        <v>2.5000000000000001E-3</v>
      </c>
      <c r="U65" s="704">
        <v>2.5000000000000001E-3</v>
      </c>
      <c r="V65" s="666">
        <v>0.04</v>
      </c>
      <c r="W65" s="666">
        <v>7.0000000000000001E-3</v>
      </c>
      <c r="X65" s="666">
        <v>1.1999999999999999E-3</v>
      </c>
      <c r="Y65" s="666">
        <v>2E-3</v>
      </c>
      <c r="Z65" s="704">
        <v>2.5000000000000001E-3</v>
      </c>
    </row>
    <row r="66" spans="1:26" ht="12.75">
      <c r="A66" s="661" t="s">
        <v>611</v>
      </c>
      <c r="B66" s="704">
        <v>4.36E-2</v>
      </c>
      <c r="C66" s="704">
        <v>4.2599999999999999E-2</v>
      </c>
      <c r="D66" s="704">
        <v>2.9000000000000001E-2</v>
      </c>
      <c r="E66" s="704">
        <v>2.9000000000000001E-2</v>
      </c>
      <c r="F66" s="704">
        <v>2.2599999999999999E-2</v>
      </c>
      <c r="G66" s="733">
        <v>2.2599999999999999E-2</v>
      </c>
      <c r="H66" s="704">
        <v>6.3100000000000003E-2</v>
      </c>
      <c r="I66" s="733">
        <v>1.4E-2</v>
      </c>
      <c r="J66" s="704">
        <v>4.9099999999999998E-2</v>
      </c>
      <c r="K66" s="704">
        <v>3.4599999999999999E-2</v>
      </c>
      <c r="L66" s="704">
        <v>2.3599999999999999E-2</v>
      </c>
      <c r="M66" s="704">
        <v>2.1600000000000001E-2</v>
      </c>
      <c r="N66" s="704">
        <v>2.1600000000000001E-2</v>
      </c>
      <c r="O66" s="704">
        <v>3.0099999999999998E-2</v>
      </c>
      <c r="P66" s="704">
        <v>3.0099999999999998E-2</v>
      </c>
      <c r="Q66" s="704">
        <v>2.9000000000000001E-2</v>
      </c>
      <c r="R66" s="704">
        <v>2.9000000000000001E-2</v>
      </c>
      <c r="S66" s="665">
        <v>2.9000000000000001E-2</v>
      </c>
      <c r="T66" s="704">
        <v>2.6599999999999999E-2</v>
      </c>
      <c r="U66" s="704">
        <v>2.6599999999999999E-2</v>
      </c>
      <c r="V66" s="666">
        <v>0.02</v>
      </c>
      <c r="W66" s="666">
        <v>4.5100000000000001E-2</v>
      </c>
      <c r="X66" s="666">
        <v>3.4000000000000002E-2</v>
      </c>
      <c r="Y66" s="666">
        <v>2.5600000000000001E-2</v>
      </c>
      <c r="Z66" s="666">
        <v>2.9000000000000001E-2</v>
      </c>
    </row>
    <row r="67" spans="1:26" ht="12.75">
      <c r="A67" s="661" t="s">
        <v>613</v>
      </c>
      <c r="B67" s="704">
        <v>1</v>
      </c>
      <c r="C67" s="704">
        <v>1</v>
      </c>
      <c r="D67" s="704">
        <v>1</v>
      </c>
      <c r="E67" s="704">
        <v>1</v>
      </c>
      <c r="F67" s="704">
        <v>1</v>
      </c>
      <c r="G67" s="733">
        <v>1</v>
      </c>
      <c r="H67" s="704">
        <v>1</v>
      </c>
      <c r="I67" s="733">
        <v>1</v>
      </c>
      <c r="J67" s="704">
        <v>1</v>
      </c>
      <c r="K67" s="704">
        <v>1</v>
      </c>
      <c r="L67" s="704">
        <v>1</v>
      </c>
      <c r="M67" s="704">
        <v>1</v>
      </c>
      <c r="N67" s="704">
        <v>1</v>
      </c>
      <c r="O67" s="704">
        <v>1</v>
      </c>
      <c r="P67" s="704">
        <v>1</v>
      </c>
      <c r="Q67" s="704">
        <v>1</v>
      </c>
      <c r="R67" s="704">
        <v>1</v>
      </c>
      <c r="S67" s="665">
        <v>1</v>
      </c>
      <c r="T67" s="704">
        <v>1</v>
      </c>
      <c r="U67" s="704">
        <v>1</v>
      </c>
      <c r="V67" s="666">
        <v>0.8</v>
      </c>
      <c r="W67" s="666">
        <v>1</v>
      </c>
      <c r="X67" s="666">
        <v>1</v>
      </c>
      <c r="Y67" s="666">
        <v>1</v>
      </c>
      <c r="Z67" s="704">
        <v>1</v>
      </c>
    </row>
    <row r="68" spans="1:26" ht="12.75">
      <c r="A68" s="661" t="s">
        <v>615</v>
      </c>
      <c r="B68" s="704">
        <v>1.1000000000000001E-3</v>
      </c>
      <c r="C68" s="704">
        <v>1.1000000000000001E-3</v>
      </c>
      <c r="D68" s="704">
        <v>8.0000000000000004E-4</v>
      </c>
      <c r="E68" s="704">
        <v>8.0000000000000004E-4</v>
      </c>
      <c r="F68" s="704">
        <v>6.9999999999999999E-4</v>
      </c>
      <c r="G68" s="733">
        <v>6.9999999999999999E-4</v>
      </c>
      <c r="H68" s="666">
        <v>1.1999999999999999E-3</v>
      </c>
      <c r="I68" s="733">
        <v>4.4999999999999999E-4</v>
      </c>
      <c r="J68" s="704">
        <v>5.9999999999999995E-4</v>
      </c>
      <c r="K68" s="704">
        <v>1E-3</v>
      </c>
      <c r="L68" s="704">
        <v>5.9999999999999995E-4</v>
      </c>
      <c r="M68" s="704">
        <v>1.1E-4</v>
      </c>
      <c r="N68" s="704">
        <v>1.1E-4</v>
      </c>
      <c r="O68" s="704">
        <v>1.1999999999999999E-3</v>
      </c>
      <c r="P68" s="704">
        <v>1.1999999999999999E-3</v>
      </c>
      <c r="Q68" s="704">
        <v>8.0000000000000004E-4</v>
      </c>
      <c r="R68" s="704">
        <v>8.0000000000000004E-4</v>
      </c>
      <c r="S68" s="665">
        <v>1.6999999999999999E-3</v>
      </c>
      <c r="T68" s="704">
        <v>1.1000000000000001E-3</v>
      </c>
      <c r="U68" s="704">
        <v>1.1000000000000001E-3</v>
      </c>
      <c r="V68" s="666">
        <v>2E-3</v>
      </c>
      <c r="W68" s="666">
        <v>1.1000000000000001E-3</v>
      </c>
      <c r="X68" s="666">
        <v>1.1999999999999999E-3</v>
      </c>
      <c r="Y68" s="666">
        <v>1.1999999999999999E-3</v>
      </c>
      <c r="Z68" s="704">
        <v>8.0000000000000004E-4</v>
      </c>
    </row>
    <row r="69" spans="1:26" ht="24" customHeight="1">
      <c r="A69" s="707" t="s">
        <v>617</v>
      </c>
      <c r="B69" s="708"/>
      <c r="C69" s="708"/>
      <c r="D69" s="708"/>
      <c r="E69" s="708"/>
      <c r="F69" s="708"/>
      <c r="G69" s="710"/>
      <c r="H69" s="708"/>
      <c r="I69" s="710"/>
      <c r="J69" s="708"/>
      <c r="K69" s="708"/>
      <c r="L69" s="708"/>
      <c r="M69" s="708"/>
      <c r="N69" s="708"/>
      <c r="O69" s="708"/>
      <c r="P69" s="708"/>
      <c r="Q69" s="708"/>
      <c r="R69" s="708"/>
      <c r="S69" s="710"/>
      <c r="T69" s="708"/>
      <c r="U69" s="708"/>
      <c r="V69" s="708"/>
      <c r="W69" s="708"/>
      <c r="X69" s="708"/>
      <c r="Y69" s="708"/>
      <c r="Z69" s="708"/>
    </row>
    <row r="70" spans="1:26" ht="12.75">
      <c r="A70" s="661" t="s">
        <v>618</v>
      </c>
      <c r="B70" s="661">
        <f>90*0.17</f>
        <v>15.3</v>
      </c>
      <c r="C70" s="663">
        <f>90*0.16</f>
        <v>14.4</v>
      </c>
      <c r="D70" s="661">
        <f t="shared" ref="D70:E70" si="17">90*0.23</f>
        <v>20.7</v>
      </c>
      <c r="E70" s="661">
        <f t="shared" si="17"/>
        <v>20.7</v>
      </c>
      <c r="F70" s="661">
        <f t="shared" ref="F70:G70" si="18">90*0.3</f>
        <v>27</v>
      </c>
      <c r="G70" s="733">
        <f t="shared" si="18"/>
        <v>27</v>
      </c>
      <c r="H70" s="663">
        <f>90*0.17</f>
        <v>15.3</v>
      </c>
      <c r="I70" s="733">
        <f>90*0.180867</f>
        <v>16.278030000000001</v>
      </c>
      <c r="J70" s="663">
        <f>90*0.11</f>
        <v>9.9</v>
      </c>
      <c r="K70" s="661">
        <f>90*0.22</f>
        <v>19.8</v>
      </c>
      <c r="L70" s="661">
        <f>90*0.28</f>
        <v>25.200000000000003</v>
      </c>
      <c r="M70" s="661">
        <f t="shared" ref="M70:P70" si="19">0.32*90</f>
        <v>28.8</v>
      </c>
      <c r="N70" s="661">
        <f t="shared" si="19"/>
        <v>28.8</v>
      </c>
      <c r="O70" s="661">
        <f t="shared" si="19"/>
        <v>28.8</v>
      </c>
      <c r="P70" s="661">
        <f t="shared" si="19"/>
        <v>28.8</v>
      </c>
      <c r="Q70" s="661">
        <f t="shared" ref="Q70:U70" si="20">90*0.23</f>
        <v>20.7</v>
      </c>
      <c r="R70" s="661">
        <f t="shared" si="20"/>
        <v>20.7</v>
      </c>
      <c r="S70" s="665">
        <f t="shared" si="20"/>
        <v>20.7</v>
      </c>
      <c r="T70" s="661">
        <f t="shared" si="20"/>
        <v>20.7</v>
      </c>
      <c r="U70" s="661">
        <f t="shared" si="20"/>
        <v>20.7</v>
      </c>
      <c r="V70" s="663">
        <f>90*0.16</f>
        <v>14.4</v>
      </c>
      <c r="W70" s="663">
        <f>90*0.18</f>
        <v>16.2</v>
      </c>
      <c r="X70" s="663">
        <f>90*0.17</f>
        <v>15.3</v>
      </c>
      <c r="Y70" s="663">
        <f>90*0.25</f>
        <v>22.5</v>
      </c>
      <c r="Z70" s="661">
        <f>90*0.23</f>
        <v>20.7</v>
      </c>
    </row>
    <row r="71" spans="1:26" ht="12.75">
      <c r="A71" s="661" t="s">
        <v>619</v>
      </c>
      <c r="B71" s="661">
        <v>15</v>
      </c>
      <c r="C71" s="663">
        <v>13</v>
      </c>
      <c r="D71" s="661">
        <v>23.3</v>
      </c>
      <c r="E71" s="661">
        <v>23.3</v>
      </c>
      <c r="F71" s="661">
        <v>29</v>
      </c>
      <c r="G71" s="733">
        <v>29</v>
      </c>
      <c r="H71" s="663">
        <v>10.4</v>
      </c>
      <c r="I71" s="733">
        <v>27.676200000000001</v>
      </c>
      <c r="J71" s="663">
        <v>10.7</v>
      </c>
      <c r="K71" s="661">
        <v>15.9</v>
      </c>
      <c r="L71" s="661">
        <v>21.9</v>
      </c>
      <c r="M71" s="661">
        <v>36.96</v>
      </c>
      <c r="N71" s="661">
        <v>36.96</v>
      </c>
      <c r="O71" s="661">
        <v>36.96</v>
      </c>
      <c r="P71" s="661">
        <v>36.96</v>
      </c>
      <c r="Q71" s="661">
        <v>23.3</v>
      </c>
      <c r="R71" s="661">
        <v>23.3</v>
      </c>
      <c r="S71" s="665">
        <v>23.3</v>
      </c>
      <c r="T71" s="661">
        <v>23.3</v>
      </c>
      <c r="U71" s="661">
        <v>23.3</v>
      </c>
      <c r="V71" s="669" t="s">
        <v>293</v>
      </c>
      <c r="W71" s="663">
        <v>15.5</v>
      </c>
      <c r="X71" s="663">
        <v>21</v>
      </c>
      <c r="Y71" s="663">
        <v>36.799999999999997</v>
      </c>
      <c r="Z71" s="661">
        <v>23.3</v>
      </c>
    </row>
    <row r="72" spans="1:26" ht="12.75">
      <c r="A72" s="661" t="s">
        <v>621</v>
      </c>
      <c r="B72" s="661">
        <v>1.4</v>
      </c>
      <c r="C72" s="663">
        <v>1.4</v>
      </c>
      <c r="D72" s="661">
        <v>1.4</v>
      </c>
      <c r="E72" s="661">
        <v>1.4</v>
      </c>
      <c r="F72" s="661">
        <v>1.4</v>
      </c>
      <c r="G72" s="733">
        <v>1.4</v>
      </c>
      <c r="H72" s="663">
        <v>1.4</v>
      </c>
      <c r="I72" s="733">
        <v>1.4</v>
      </c>
      <c r="J72" s="663">
        <v>1.4</v>
      </c>
      <c r="K72" s="661">
        <v>1.35</v>
      </c>
      <c r="L72" s="661">
        <v>1.35</v>
      </c>
      <c r="M72" s="661">
        <v>1.4</v>
      </c>
      <c r="N72" s="661">
        <v>1.4</v>
      </c>
      <c r="O72" s="661">
        <v>1.4</v>
      </c>
      <c r="P72" s="661">
        <v>1.4</v>
      </c>
      <c r="Q72" s="663">
        <v>1.4</v>
      </c>
      <c r="R72" s="661">
        <v>1.4</v>
      </c>
      <c r="S72" s="665">
        <v>1.4</v>
      </c>
      <c r="T72" s="661">
        <v>1.4</v>
      </c>
      <c r="U72" s="661">
        <v>1.4</v>
      </c>
      <c r="V72" s="663">
        <v>1.4</v>
      </c>
      <c r="W72" s="663">
        <v>1.4</v>
      </c>
      <c r="X72" s="663">
        <v>1.4</v>
      </c>
      <c r="Y72" s="663">
        <v>1.4</v>
      </c>
      <c r="Z72" s="663">
        <v>1.4</v>
      </c>
    </row>
    <row r="73" spans="1:26" ht="12.75">
      <c r="A73" s="661" t="s">
        <v>622</v>
      </c>
      <c r="B73" s="669" t="s">
        <v>293</v>
      </c>
      <c r="C73" s="669" t="s">
        <v>293</v>
      </c>
      <c r="D73" s="669" t="s">
        <v>293</v>
      </c>
      <c r="E73" s="669" t="s">
        <v>293</v>
      </c>
      <c r="F73" s="669" t="s">
        <v>293</v>
      </c>
      <c r="G73" s="741" t="s">
        <v>293</v>
      </c>
      <c r="H73" s="669" t="s">
        <v>293</v>
      </c>
      <c r="I73" s="741" t="s">
        <v>293</v>
      </c>
      <c r="J73" s="669" t="s">
        <v>293</v>
      </c>
      <c r="K73" s="669" t="s">
        <v>293</v>
      </c>
      <c r="L73" s="669" t="s">
        <v>293</v>
      </c>
      <c r="M73" s="669" t="s">
        <v>293</v>
      </c>
      <c r="N73" s="669" t="s">
        <v>293</v>
      </c>
      <c r="O73" s="669" t="s">
        <v>293</v>
      </c>
      <c r="P73" s="669" t="s">
        <v>293</v>
      </c>
      <c r="Q73" s="669" t="s">
        <v>293</v>
      </c>
      <c r="R73" s="669" t="s">
        <v>293</v>
      </c>
      <c r="S73" s="602" t="s">
        <v>293</v>
      </c>
      <c r="T73" s="669" t="s">
        <v>293</v>
      </c>
      <c r="U73" s="667" t="s">
        <v>293</v>
      </c>
      <c r="V73" s="669" t="s">
        <v>293</v>
      </c>
      <c r="W73" s="669" t="s">
        <v>293</v>
      </c>
      <c r="X73" s="669" t="s">
        <v>293</v>
      </c>
      <c r="Y73" s="669" t="s">
        <v>293</v>
      </c>
      <c r="Z73" s="669" t="s">
        <v>293</v>
      </c>
    </row>
    <row r="74" spans="1:26" ht="12.75">
      <c r="A74" s="661" t="s">
        <v>623</v>
      </c>
      <c r="B74" s="661">
        <v>1500</v>
      </c>
      <c r="C74" s="663">
        <v>1500</v>
      </c>
      <c r="D74" s="661">
        <v>1500</v>
      </c>
      <c r="E74" s="661">
        <v>1500</v>
      </c>
      <c r="F74" s="661">
        <v>1500</v>
      </c>
      <c r="G74" s="733">
        <v>1500</v>
      </c>
      <c r="H74" s="663">
        <v>1000</v>
      </c>
      <c r="I74" s="733">
        <v>1500</v>
      </c>
      <c r="J74" s="663">
        <v>1000</v>
      </c>
      <c r="K74" s="661">
        <v>1000</v>
      </c>
      <c r="L74" s="661">
        <v>1500</v>
      </c>
      <c r="M74" s="661">
        <v>1500</v>
      </c>
      <c r="N74" s="661">
        <v>1500</v>
      </c>
      <c r="O74" s="661">
        <v>1750</v>
      </c>
      <c r="P74" s="661">
        <v>1750</v>
      </c>
      <c r="Q74" s="663">
        <v>1500</v>
      </c>
      <c r="R74" s="661">
        <v>1500</v>
      </c>
      <c r="S74" s="665">
        <v>1500</v>
      </c>
      <c r="T74" s="661">
        <v>1500</v>
      </c>
      <c r="U74" s="661">
        <v>1500</v>
      </c>
      <c r="V74" s="667" t="s">
        <v>293</v>
      </c>
      <c r="W74" s="667" t="s">
        <v>293</v>
      </c>
      <c r="X74" s="667" t="s">
        <v>293</v>
      </c>
      <c r="Y74" s="667" t="s">
        <v>293</v>
      </c>
      <c r="Z74" s="663">
        <v>1500</v>
      </c>
    </row>
    <row r="75" spans="1:26" ht="12.75">
      <c r="A75" s="661" t="s">
        <v>624</v>
      </c>
      <c r="B75" s="661">
        <v>3</v>
      </c>
      <c r="C75" s="663">
        <v>4</v>
      </c>
      <c r="D75" s="661">
        <v>4</v>
      </c>
      <c r="E75" s="661">
        <v>4</v>
      </c>
      <c r="F75" s="661">
        <v>4</v>
      </c>
      <c r="G75" s="733">
        <v>4</v>
      </c>
      <c r="H75" s="663">
        <v>2.5</v>
      </c>
      <c r="I75" s="733">
        <v>4</v>
      </c>
      <c r="J75" s="663">
        <v>1.7</v>
      </c>
      <c r="K75" s="661">
        <v>3</v>
      </c>
      <c r="L75" s="661">
        <v>3.5</v>
      </c>
      <c r="M75" s="661">
        <v>3.5</v>
      </c>
      <c r="N75" s="661">
        <v>3.5</v>
      </c>
      <c r="O75" s="661">
        <v>5.75</v>
      </c>
      <c r="P75" s="661">
        <v>5.75</v>
      </c>
      <c r="Q75" s="663">
        <v>4</v>
      </c>
      <c r="R75" s="661">
        <v>4</v>
      </c>
      <c r="S75" s="665">
        <v>4.4000000000000004</v>
      </c>
      <c r="T75" s="661">
        <v>5</v>
      </c>
      <c r="U75" s="661">
        <v>5</v>
      </c>
      <c r="V75" s="663">
        <v>1.8</v>
      </c>
      <c r="W75" s="663">
        <v>2.7</v>
      </c>
      <c r="X75" s="663">
        <v>4.5</v>
      </c>
      <c r="Y75" s="663">
        <v>5</v>
      </c>
      <c r="Z75" s="663">
        <v>4</v>
      </c>
    </row>
    <row r="76" spans="1:26" ht="12.75">
      <c r="A76" s="661" t="s">
        <v>625</v>
      </c>
      <c r="B76" s="661">
        <v>25</v>
      </c>
      <c r="C76" s="663">
        <v>45</v>
      </c>
      <c r="D76" s="661">
        <v>50</v>
      </c>
      <c r="E76" s="661">
        <v>50</v>
      </c>
      <c r="F76" s="661">
        <v>100</v>
      </c>
      <c r="G76" s="733">
        <v>100</v>
      </c>
      <c r="H76" s="663">
        <v>18</v>
      </c>
      <c r="I76" s="733">
        <v>110</v>
      </c>
      <c r="J76" s="663">
        <v>9</v>
      </c>
      <c r="K76" s="661">
        <v>27</v>
      </c>
      <c r="L76" s="661">
        <v>50</v>
      </c>
      <c r="M76" s="661">
        <v>55</v>
      </c>
      <c r="N76" s="661">
        <v>55</v>
      </c>
      <c r="O76" s="661">
        <v>100</v>
      </c>
      <c r="P76" s="661">
        <v>100</v>
      </c>
      <c r="Q76" s="663">
        <v>50</v>
      </c>
      <c r="R76" s="661">
        <v>50</v>
      </c>
      <c r="S76" s="665">
        <v>50</v>
      </c>
      <c r="T76" s="661">
        <v>80</v>
      </c>
      <c r="U76" s="661">
        <v>80</v>
      </c>
      <c r="V76" s="663">
        <v>8</v>
      </c>
      <c r="W76" s="663">
        <v>18</v>
      </c>
      <c r="X76" s="663">
        <v>40</v>
      </c>
      <c r="Y76" s="663">
        <v>40</v>
      </c>
      <c r="Z76" s="663">
        <v>50</v>
      </c>
    </row>
    <row r="77" spans="1:26" ht="12.75">
      <c r="A77" s="661" t="s">
        <v>629</v>
      </c>
      <c r="B77" s="661">
        <v>30</v>
      </c>
      <c r="C77" s="661">
        <v>30</v>
      </c>
      <c r="D77" s="661">
        <v>30</v>
      </c>
      <c r="E77" s="661">
        <v>30</v>
      </c>
      <c r="F77" s="661">
        <v>30</v>
      </c>
      <c r="G77" s="733">
        <v>30</v>
      </c>
      <c r="H77" s="661">
        <v>30</v>
      </c>
      <c r="I77" s="733">
        <v>30</v>
      </c>
      <c r="J77" s="661">
        <v>30</v>
      </c>
      <c r="K77" s="661">
        <v>30</v>
      </c>
      <c r="L77" s="661">
        <v>30</v>
      </c>
      <c r="M77" s="661">
        <v>30</v>
      </c>
      <c r="N77" s="661">
        <v>30</v>
      </c>
      <c r="O77" s="661">
        <v>30</v>
      </c>
      <c r="P77" s="661">
        <v>30</v>
      </c>
      <c r="Q77" s="661">
        <v>30</v>
      </c>
      <c r="R77" s="661">
        <v>30</v>
      </c>
      <c r="S77" s="665">
        <v>30</v>
      </c>
      <c r="T77" s="661">
        <v>30</v>
      </c>
      <c r="U77" s="661">
        <v>30</v>
      </c>
      <c r="V77" s="661">
        <v>30</v>
      </c>
      <c r="W77" s="661">
        <v>30</v>
      </c>
      <c r="X77" s="661">
        <v>30</v>
      </c>
      <c r="Y77" s="661">
        <v>30</v>
      </c>
      <c r="Z77" s="661">
        <v>30</v>
      </c>
    </row>
    <row r="78" spans="1:26" ht="12.75">
      <c r="A78" s="661" t="s">
        <v>630</v>
      </c>
      <c r="B78" s="661">
        <v>26</v>
      </c>
      <c r="C78" s="663">
        <v>45</v>
      </c>
      <c r="D78" s="661">
        <v>50</v>
      </c>
      <c r="E78" s="661">
        <v>50</v>
      </c>
      <c r="F78" s="661">
        <v>70</v>
      </c>
      <c r="G78" s="661">
        <v>70</v>
      </c>
      <c r="H78" s="663">
        <v>18</v>
      </c>
      <c r="I78" s="661">
        <v>135</v>
      </c>
      <c r="J78" s="663">
        <v>11</v>
      </c>
      <c r="K78" s="661">
        <v>27</v>
      </c>
      <c r="L78" s="661">
        <v>45</v>
      </c>
      <c r="M78" s="661">
        <v>55</v>
      </c>
      <c r="N78" s="661">
        <v>55</v>
      </c>
      <c r="O78" s="661">
        <v>67.5</v>
      </c>
      <c r="P78" s="661">
        <v>67.5</v>
      </c>
      <c r="Q78" s="663">
        <v>50</v>
      </c>
      <c r="R78" s="661">
        <v>50</v>
      </c>
      <c r="S78" s="665">
        <v>50</v>
      </c>
      <c r="T78" s="661">
        <v>80</v>
      </c>
      <c r="U78" s="661">
        <v>80</v>
      </c>
      <c r="V78" s="663">
        <v>18</v>
      </c>
      <c r="W78" s="663">
        <v>18</v>
      </c>
      <c r="X78" s="663">
        <v>40</v>
      </c>
      <c r="Y78" s="663">
        <v>40</v>
      </c>
      <c r="Z78" s="663">
        <v>50</v>
      </c>
    </row>
    <row r="79" spans="1:26" ht="12.75">
      <c r="A79" s="661" t="s">
        <v>631</v>
      </c>
      <c r="B79" s="661">
        <v>15</v>
      </c>
      <c r="C79" s="663">
        <v>15</v>
      </c>
      <c r="D79" s="661">
        <v>25</v>
      </c>
      <c r="E79" s="661">
        <v>25</v>
      </c>
      <c r="F79" s="661">
        <v>25</v>
      </c>
      <c r="G79" s="733">
        <v>25</v>
      </c>
      <c r="H79" s="663">
        <v>18</v>
      </c>
      <c r="I79" s="733">
        <v>20</v>
      </c>
      <c r="J79" s="663">
        <v>11</v>
      </c>
      <c r="K79" s="661">
        <v>20</v>
      </c>
      <c r="L79" s="661">
        <v>24</v>
      </c>
      <c r="M79" s="661">
        <v>35</v>
      </c>
      <c r="N79" s="661">
        <v>35</v>
      </c>
      <c r="O79" s="661">
        <v>35</v>
      </c>
      <c r="P79" s="661">
        <v>35</v>
      </c>
      <c r="Q79" s="663">
        <v>25</v>
      </c>
      <c r="R79" s="661">
        <v>25</v>
      </c>
      <c r="S79" s="665">
        <v>25</v>
      </c>
      <c r="T79" s="661">
        <v>25</v>
      </c>
      <c r="U79" s="661">
        <v>25</v>
      </c>
      <c r="V79" s="663">
        <v>15</v>
      </c>
      <c r="W79" s="663">
        <v>15</v>
      </c>
      <c r="X79" s="663">
        <v>20</v>
      </c>
      <c r="Y79" s="663">
        <v>30</v>
      </c>
      <c r="Z79" s="663">
        <v>25</v>
      </c>
    </row>
    <row r="80" spans="1:26" ht="12.75">
      <c r="A80" s="661" t="s">
        <v>632</v>
      </c>
      <c r="B80" s="661">
        <v>15</v>
      </c>
      <c r="C80" s="663">
        <v>15</v>
      </c>
      <c r="D80" s="661">
        <v>25</v>
      </c>
      <c r="E80" s="661">
        <v>25</v>
      </c>
      <c r="F80" s="661">
        <v>25</v>
      </c>
      <c r="G80" s="733">
        <v>25</v>
      </c>
      <c r="H80" s="663">
        <v>18</v>
      </c>
      <c r="I80" s="733">
        <v>20</v>
      </c>
      <c r="J80" s="663">
        <v>10</v>
      </c>
      <c r="K80" s="661">
        <v>20</v>
      </c>
      <c r="L80" s="661">
        <v>24</v>
      </c>
      <c r="M80" s="661">
        <v>35</v>
      </c>
      <c r="N80" s="661">
        <v>35</v>
      </c>
      <c r="O80" s="661">
        <v>35</v>
      </c>
      <c r="P80" s="661">
        <v>35</v>
      </c>
      <c r="Q80" s="663">
        <v>25</v>
      </c>
      <c r="R80" s="661">
        <v>25</v>
      </c>
      <c r="S80" s="665">
        <v>25</v>
      </c>
      <c r="T80" s="661">
        <v>25</v>
      </c>
      <c r="U80" s="661">
        <v>25</v>
      </c>
      <c r="V80" s="663">
        <v>12</v>
      </c>
      <c r="W80" s="663">
        <v>15</v>
      </c>
      <c r="X80" s="663">
        <v>20</v>
      </c>
      <c r="Y80" s="663">
        <v>30</v>
      </c>
      <c r="Z80" s="663">
        <v>25</v>
      </c>
    </row>
    <row r="81" spans="1:26" ht="12.75">
      <c r="A81" s="661" t="s">
        <v>626</v>
      </c>
      <c r="B81" s="704">
        <v>2</v>
      </c>
      <c r="C81" s="666">
        <v>1.8</v>
      </c>
      <c r="D81" s="704">
        <v>1.8</v>
      </c>
      <c r="E81" s="661">
        <v>0.7</v>
      </c>
      <c r="F81" s="667" t="s">
        <v>293</v>
      </c>
      <c r="G81" s="741" t="s">
        <v>293</v>
      </c>
      <c r="H81" s="666">
        <v>0.5</v>
      </c>
      <c r="I81" s="741" t="s">
        <v>293</v>
      </c>
      <c r="J81" s="663">
        <v>0.5</v>
      </c>
      <c r="K81" s="742">
        <v>1.7</v>
      </c>
      <c r="L81" s="704">
        <v>0.5</v>
      </c>
      <c r="M81" s="704">
        <v>0.35</v>
      </c>
      <c r="N81" s="704">
        <v>0.35</v>
      </c>
      <c r="O81" s="704">
        <v>0.35</v>
      </c>
      <c r="P81" s="704">
        <v>0.35</v>
      </c>
      <c r="Q81" s="743">
        <v>1.8</v>
      </c>
      <c r="R81" s="661">
        <v>0.7</v>
      </c>
      <c r="S81" s="665">
        <v>0.7</v>
      </c>
      <c r="T81" s="704">
        <v>0.5</v>
      </c>
      <c r="U81" s="704">
        <v>0.5</v>
      </c>
      <c r="V81" s="704">
        <v>1.5</v>
      </c>
      <c r="W81" s="704">
        <v>0.5</v>
      </c>
      <c r="X81" s="704">
        <v>0.5</v>
      </c>
      <c r="Y81" s="704">
        <v>0.5</v>
      </c>
      <c r="Z81" s="663">
        <v>0.7</v>
      </c>
    </row>
    <row r="82" spans="1:26" ht="12.75">
      <c r="A82" s="661" t="s">
        <v>627</v>
      </c>
      <c r="B82" s="704">
        <v>2.5</v>
      </c>
      <c r="C82" s="666">
        <v>2.5</v>
      </c>
      <c r="D82" s="704">
        <v>2.5</v>
      </c>
      <c r="E82" s="669" t="s">
        <v>293</v>
      </c>
      <c r="F82" s="667" t="s">
        <v>293</v>
      </c>
      <c r="G82" s="741" t="s">
        <v>293</v>
      </c>
      <c r="H82" s="669" t="s">
        <v>293</v>
      </c>
      <c r="I82" s="741" t="s">
        <v>293</v>
      </c>
      <c r="J82" s="669" t="s">
        <v>293</v>
      </c>
      <c r="K82" s="742">
        <v>2.5</v>
      </c>
      <c r="L82" s="713" t="s">
        <v>293</v>
      </c>
      <c r="M82" s="713" t="s">
        <v>293</v>
      </c>
      <c r="N82" s="713" t="s">
        <v>293</v>
      </c>
      <c r="O82" s="713" t="s">
        <v>293</v>
      </c>
      <c r="P82" s="713" t="s">
        <v>293</v>
      </c>
      <c r="Q82" s="743">
        <v>2.5</v>
      </c>
      <c r="R82" s="669" t="s">
        <v>293</v>
      </c>
      <c r="S82" s="602" t="s">
        <v>293</v>
      </c>
      <c r="T82" s="667" t="s">
        <v>293</v>
      </c>
      <c r="U82" s="667" t="s">
        <v>293</v>
      </c>
      <c r="V82" s="717" t="s">
        <v>293</v>
      </c>
      <c r="W82" s="717" t="s">
        <v>293</v>
      </c>
      <c r="X82" s="717" t="s">
        <v>293</v>
      </c>
      <c r="Y82" s="717" t="s">
        <v>293</v>
      </c>
      <c r="Z82" s="669" t="s">
        <v>293</v>
      </c>
    </row>
    <row r="83" spans="1:26" ht="12.75">
      <c r="A83" s="661" t="s">
        <v>628</v>
      </c>
      <c r="B83" s="704">
        <v>4.5</v>
      </c>
      <c r="C83" s="666">
        <v>4.5</v>
      </c>
      <c r="D83" s="704">
        <v>4.5</v>
      </c>
      <c r="E83" s="669" t="s">
        <v>293</v>
      </c>
      <c r="F83" s="704">
        <v>1</v>
      </c>
      <c r="G83" s="733">
        <v>1</v>
      </c>
      <c r="H83" s="669" t="s">
        <v>293</v>
      </c>
      <c r="I83" s="667" t="s">
        <v>293</v>
      </c>
      <c r="J83" s="669" t="s">
        <v>293</v>
      </c>
      <c r="K83" s="716">
        <v>5</v>
      </c>
      <c r="L83" s="716">
        <v>1</v>
      </c>
      <c r="M83" s="742">
        <v>0.4</v>
      </c>
      <c r="N83" s="742">
        <v>0.4</v>
      </c>
      <c r="O83" s="742">
        <v>0.4</v>
      </c>
      <c r="P83" s="742">
        <v>0.4</v>
      </c>
      <c r="Q83" s="743">
        <v>4.5</v>
      </c>
      <c r="R83" s="669" t="s">
        <v>293</v>
      </c>
      <c r="S83" s="602" t="s">
        <v>293</v>
      </c>
      <c r="T83" s="667" t="s">
        <v>293</v>
      </c>
      <c r="U83" s="667" t="s">
        <v>293</v>
      </c>
      <c r="V83" s="666">
        <v>2</v>
      </c>
      <c r="W83" s="666">
        <v>2.5</v>
      </c>
      <c r="X83" s="666">
        <v>1.5</v>
      </c>
      <c r="Y83" s="666">
        <v>0.7</v>
      </c>
      <c r="Z83" s="669" t="s">
        <v>293</v>
      </c>
    </row>
    <row r="84" spans="1:26" ht="12.75">
      <c r="A84" s="661" t="s">
        <v>677</v>
      </c>
      <c r="B84" s="667" t="s">
        <v>293</v>
      </c>
      <c r="C84" s="667" t="s">
        <v>293</v>
      </c>
      <c r="D84" s="667" t="s">
        <v>293</v>
      </c>
      <c r="E84" s="667" t="s">
        <v>293</v>
      </c>
      <c r="F84" s="704">
        <v>50</v>
      </c>
      <c r="G84" s="733">
        <v>50</v>
      </c>
      <c r="H84" s="667" t="s">
        <v>293</v>
      </c>
      <c r="I84" s="667" t="s">
        <v>293</v>
      </c>
      <c r="J84" s="667" t="s">
        <v>293</v>
      </c>
      <c r="K84" s="667" t="s">
        <v>293</v>
      </c>
      <c r="L84" s="716">
        <v>45</v>
      </c>
      <c r="M84" s="716">
        <v>60</v>
      </c>
      <c r="N84" s="716">
        <v>60</v>
      </c>
      <c r="O84" s="716">
        <v>60</v>
      </c>
      <c r="P84" s="716">
        <v>60</v>
      </c>
      <c r="Q84" s="667" t="s">
        <v>293</v>
      </c>
      <c r="R84" s="667" t="s">
        <v>293</v>
      </c>
      <c r="S84" s="602" t="s">
        <v>293</v>
      </c>
      <c r="T84" s="667" t="s">
        <v>293</v>
      </c>
      <c r="U84" s="667" t="s">
        <v>293</v>
      </c>
      <c r="V84" s="667" t="s">
        <v>293</v>
      </c>
      <c r="W84" s="667" t="s">
        <v>293</v>
      </c>
      <c r="X84" s="667" t="s">
        <v>293</v>
      </c>
      <c r="Y84" s="704" t="s">
        <v>678</v>
      </c>
      <c r="Z84" s="667" t="s">
        <v>293</v>
      </c>
    </row>
    <row r="85" spans="1:26" ht="12.75">
      <c r="A85" s="661" t="s">
        <v>679</v>
      </c>
      <c r="B85" s="667" t="s">
        <v>293</v>
      </c>
      <c r="C85" s="667" t="s">
        <v>293</v>
      </c>
      <c r="D85" s="667" t="s">
        <v>293</v>
      </c>
      <c r="E85" s="667" t="s">
        <v>293</v>
      </c>
      <c r="F85" s="704">
        <v>25</v>
      </c>
      <c r="G85" s="733">
        <v>25</v>
      </c>
      <c r="H85" s="667" t="s">
        <v>293</v>
      </c>
      <c r="I85" s="667" t="s">
        <v>293</v>
      </c>
      <c r="J85" s="667" t="s">
        <v>293</v>
      </c>
      <c r="K85" s="667" t="s">
        <v>293</v>
      </c>
      <c r="L85" s="704">
        <v>25</v>
      </c>
      <c r="M85" s="704">
        <v>25</v>
      </c>
      <c r="N85" s="704">
        <v>25</v>
      </c>
      <c r="O85" s="704">
        <v>25</v>
      </c>
      <c r="P85" s="704">
        <v>25</v>
      </c>
      <c r="Q85" s="667" t="s">
        <v>293</v>
      </c>
      <c r="R85" s="667" t="s">
        <v>293</v>
      </c>
      <c r="S85" s="602" t="s">
        <v>293</v>
      </c>
      <c r="T85" s="667" t="s">
        <v>293</v>
      </c>
      <c r="U85" s="667" t="s">
        <v>293</v>
      </c>
      <c r="V85" s="667" t="s">
        <v>293</v>
      </c>
      <c r="W85" s="667" t="s">
        <v>293</v>
      </c>
      <c r="X85" s="667" t="s">
        <v>293</v>
      </c>
      <c r="Y85" s="704" t="s">
        <v>680</v>
      </c>
      <c r="Z85" s="667" t="s">
        <v>293</v>
      </c>
    </row>
    <row r="86" spans="1:26" ht="12.75">
      <c r="A86" s="661" t="s">
        <v>681</v>
      </c>
      <c r="B86" s="667" t="s">
        <v>293</v>
      </c>
      <c r="C86" s="667" t="s">
        <v>293</v>
      </c>
      <c r="D86" s="667" t="s">
        <v>293</v>
      </c>
      <c r="E86" s="667" t="s">
        <v>293</v>
      </c>
      <c r="F86" s="704">
        <v>12</v>
      </c>
      <c r="G86" s="733">
        <v>12</v>
      </c>
      <c r="H86" s="667" t="s">
        <v>293</v>
      </c>
      <c r="I86" s="667" t="s">
        <v>293</v>
      </c>
      <c r="J86" s="667" t="s">
        <v>293</v>
      </c>
      <c r="K86" s="667" t="s">
        <v>293</v>
      </c>
      <c r="L86" s="704">
        <v>12</v>
      </c>
      <c r="M86" s="704">
        <v>12</v>
      </c>
      <c r="N86" s="704">
        <v>12</v>
      </c>
      <c r="O86" s="704">
        <v>12</v>
      </c>
      <c r="P86" s="704">
        <v>12</v>
      </c>
      <c r="Q86" s="667" t="s">
        <v>293</v>
      </c>
      <c r="R86" s="667" t="s">
        <v>293</v>
      </c>
      <c r="S86" s="602" t="s">
        <v>293</v>
      </c>
      <c r="T86" s="667" t="s">
        <v>293</v>
      </c>
      <c r="U86" s="667" t="s">
        <v>293</v>
      </c>
      <c r="V86" s="667" t="s">
        <v>293</v>
      </c>
      <c r="W86" s="667" t="s">
        <v>293</v>
      </c>
      <c r="X86" s="667" t="s">
        <v>293</v>
      </c>
      <c r="Y86" s="704" t="s">
        <v>682</v>
      </c>
      <c r="Z86" s="667" t="s">
        <v>293</v>
      </c>
    </row>
    <row r="87" spans="1:26" ht="12.75">
      <c r="A87" s="661" t="s">
        <v>683</v>
      </c>
      <c r="B87" s="667" t="s">
        <v>293</v>
      </c>
      <c r="C87" s="667" t="s">
        <v>293</v>
      </c>
      <c r="D87" s="667" t="s">
        <v>293</v>
      </c>
      <c r="E87" s="667" t="s">
        <v>293</v>
      </c>
      <c r="F87" s="704">
        <v>8</v>
      </c>
      <c r="G87" s="733">
        <v>8</v>
      </c>
      <c r="H87" s="667" t="s">
        <v>293</v>
      </c>
      <c r="I87" s="667" t="s">
        <v>293</v>
      </c>
      <c r="J87" s="667" t="s">
        <v>293</v>
      </c>
      <c r="K87" s="667" t="s">
        <v>293</v>
      </c>
      <c r="L87" s="704">
        <v>8</v>
      </c>
      <c r="M87" s="704">
        <v>8</v>
      </c>
      <c r="N87" s="704">
        <v>8</v>
      </c>
      <c r="O87" s="704">
        <v>8</v>
      </c>
      <c r="P87" s="704">
        <v>8</v>
      </c>
      <c r="Q87" s="667" t="s">
        <v>293</v>
      </c>
      <c r="R87" s="667" t="s">
        <v>293</v>
      </c>
      <c r="S87" s="602" t="s">
        <v>293</v>
      </c>
      <c r="T87" s="667" t="s">
        <v>293</v>
      </c>
      <c r="U87" s="667" t="s">
        <v>293</v>
      </c>
      <c r="V87" s="667" t="s">
        <v>293</v>
      </c>
      <c r="W87" s="667" t="s">
        <v>293</v>
      </c>
      <c r="X87" s="667" t="s">
        <v>293</v>
      </c>
      <c r="Y87" s="704" t="s">
        <v>684</v>
      </c>
      <c r="Z87" s="667" t="s">
        <v>293</v>
      </c>
    </row>
    <row r="88" spans="1:26" ht="12.75">
      <c r="A88" s="661" t="s">
        <v>685</v>
      </c>
      <c r="B88" s="667" t="s">
        <v>293</v>
      </c>
      <c r="C88" s="667" t="s">
        <v>293</v>
      </c>
      <c r="D88" s="667" t="s">
        <v>293</v>
      </c>
      <c r="E88" s="667" t="s">
        <v>293</v>
      </c>
      <c r="F88" s="704">
        <v>5</v>
      </c>
      <c r="G88" s="733">
        <v>5</v>
      </c>
      <c r="H88" s="667" t="s">
        <v>293</v>
      </c>
      <c r="I88" s="667" t="s">
        <v>293</v>
      </c>
      <c r="J88" s="667" t="s">
        <v>293</v>
      </c>
      <c r="K88" s="667" t="s">
        <v>293</v>
      </c>
      <c r="L88" s="704">
        <v>5</v>
      </c>
      <c r="M88" s="704">
        <v>5</v>
      </c>
      <c r="N88" s="704">
        <v>5</v>
      </c>
      <c r="O88" s="704">
        <v>5</v>
      </c>
      <c r="P88" s="704">
        <v>5</v>
      </c>
      <c r="Q88" s="667" t="s">
        <v>293</v>
      </c>
      <c r="R88" s="667" t="s">
        <v>293</v>
      </c>
      <c r="S88" s="602" t="s">
        <v>293</v>
      </c>
      <c r="T88" s="667" t="s">
        <v>293</v>
      </c>
      <c r="U88" s="667" t="s">
        <v>293</v>
      </c>
      <c r="V88" s="667" t="s">
        <v>293</v>
      </c>
      <c r="W88" s="667" t="s">
        <v>293</v>
      </c>
      <c r="X88" s="667" t="s">
        <v>293</v>
      </c>
      <c r="Y88" s="744">
        <v>45047</v>
      </c>
      <c r="Z88" s="667" t="s">
        <v>293</v>
      </c>
    </row>
    <row r="89" spans="1:26" ht="12.75">
      <c r="A89" s="681" t="s">
        <v>686</v>
      </c>
      <c r="B89" s="667"/>
      <c r="C89" s="667"/>
      <c r="D89" s="667"/>
      <c r="E89" s="667"/>
      <c r="F89" s="667" t="s">
        <v>293</v>
      </c>
      <c r="G89" s="667" t="s">
        <v>293</v>
      </c>
      <c r="H89" s="667" t="s">
        <v>293</v>
      </c>
      <c r="I89" s="745" t="s">
        <v>328</v>
      </c>
      <c r="J89" s="667" t="s">
        <v>293</v>
      </c>
      <c r="K89" s="667" t="s">
        <v>293</v>
      </c>
      <c r="L89" s="667" t="s">
        <v>293</v>
      </c>
      <c r="M89" s="667" t="s">
        <v>293</v>
      </c>
      <c r="N89" s="667" t="s">
        <v>293</v>
      </c>
      <c r="O89" s="667" t="s">
        <v>293</v>
      </c>
      <c r="P89" s="667" t="s">
        <v>293</v>
      </c>
      <c r="Q89" s="667" t="s">
        <v>293</v>
      </c>
      <c r="R89" s="667" t="s">
        <v>293</v>
      </c>
      <c r="S89" s="667" t="s">
        <v>293</v>
      </c>
      <c r="T89" s="667" t="s">
        <v>293</v>
      </c>
      <c r="U89" s="667" t="s">
        <v>293</v>
      </c>
      <c r="V89" s="667" t="s">
        <v>293</v>
      </c>
      <c r="W89" s="667" t="s">
        <v>293</v>
      </c>
      <c r="X89" s="667" t="s">
        <v>293</v>
      </c>
      <c r="Y89" s="667" t="s">
        <v>293</v>
      </c>
      <c r="Z89" s="667" t="s">
        <v>293</v>
      </c>
    </row>
    <row r="90" spans="1:26" ht="12.75">
      <c r="A90" s="681" t="s">
        <v>687</v>
      </c>
      <c r="B90" s="667"/>
      <c r="C90" s="667"/>
      <c r="D90" s="667"/>
      <c r="E90" s="667"/>
      <c r="F90" s="667" t="s">
        <v>293</v>
      </c>
      <c r="G90" s="667" t="s">
        <v>293</v>
      </c>
      <c r="H90" s="667" t="s">
        <v>293</v>
      </c>
      <c r="I90" s="733">
        <v>15</v>
      </c>
      <c r="J90" s="667" t="s">
        <v>293</v>
      </c>
      <c r="K90" s="667" t="s">
        <v>293</v>
      </c>
      <c r="L90" s="667" t="s">
        <v>293</v>
      </c>
      <c r="M90" s="667" t="s">
        <v>293</v>
      </c>
      <c r="N90" s="667" t="s">
        <v>293</v>
      </c>
      <c r="O90" s="667" t="s">
        <v>293</v>
      </c>
      <c r="P90" s="667" t="s">
        <v>293</v>
      </c>
      <c r="Q90" s="667" t="s">
        <v>293</v>
      </c>
      <c r="R90" s="667" t="s">
        <v>293</v>
      </c>
      <c r="S90" s="667" t="s">
        <v>293</v>
      </c>
      <c r="T90" s="667" t="s">
        <v>293</v>
      </c>
      <c r="U90" s="667" t="s">
        <v>293</v>
      </c>
      <c r="V90" s="667" t="s">
        <v>293</v>
      </c>
      <c r="W90" s="667" t="s">
        <v>293</v>
      </c>
      <c r="X90" s="667" t="s">
        <v>293</v>
      </c>
      <c r="Y90" s="667" t="s">
        <v>293</v>
      </c>
      <c r="Z90" s="667" t="s">
        <v>293</v>
      </c>
    </row>
    <row r="91" spans="1:26" ht="12.75">
      <c r="A91" s="681" t="s">
        <v>688</v>
      </c>
      <c r="B91" s="667"/>
      <c r="C91" s="667"/>
      <c r="D91" s="667"/>
      <c r="E91" s="667"/>
      <c r="F91" s="667" t="s">
        <v>293</v>
      </c>
      <c r="G91" s="667" t="s">
        <v>293</v>
      </c>
      <c r="H91" s="667" t="s">
        <v>293</v>
      </c>
      <c r="I91" s="733">
        <v>-7.5</v>
      </c>
      <c r="J91" s="667" t="s">
        <v>293</v>
      </c>
      <c r="K91" s="667" t="s">
        <v>293</v>
      </c>
      <c r="L91" s="667" t="s">
        <v>293</v>
      </c>
      <c r="M91" s="667" t="s">
        <v>293</v>
      </c>
      <c r="N91" s="667" t="s">
        <v>293</v>
      </c>
      <c r="O91" s="667" t="s">
        <v>293</v>
      </c>
      <c r="P91" s="667" t="s">
        <v>293</v>
      </c>
      <c r="Q91" s="667" t="s">
        <v>293</v>
      </c>
      <c r="R91" s="667" t="s">
        <v>293</v>
      </c>
      <c r="S91" s="667" t="s">
        <v>293</v>
      </c>
      <c r="T91" s="667" t="s">
        <v>293</v>
      </c>
      <c r="U91" s="667" t="s">
        <v>293</v>
      </c>
      <c r="V91" s="667" t="s">
        <v>293</v>
      </c>
      <c r="W91" s="667" t="s">
        <v>293</v>
      </c>
      <c r="X91" s="667" t="s">
        <v>293</v>
      </c>
      <c r="Y91" s="667" t="s">
        <v>293</v>
      </c>
      <c r="Z91" s="667" t="s">
        <v>293</v>
      </c>
    </row>
    <row r="92" spans="1:26" ht="12.75">
      <c r="A92" s="746" t="s">
        <v>689</v>
      </c>
      <c r="B92" s="667"/>
      <c r="C92" s="667"/>
      <c r="D92" s="667"/>
      <c r="E92" s="667"/>
      <c r="F92" s="667" t="s">
        <v>293</v>
      </c>
      <c r="G92" s="667" t="s">
        <v>293</v>
      </c>
      <c r="H92" s="667" t="s">
        <v>293</v>
      </c>
      <c r="I92" s="733">
        <v>0.5</v>
      </c>
      <c r="J92" s="667" t="s">
        <v>293</v>
      </c>
      <c r="K92" s="667" t="s">
        <v>293</v>
      </c>
      <c r="L92" s="667" t="s">
        <v>293</v>
      </c>
      <c r="M92" s="667" t="s">
        <v>293</v>
      </c>
      <c r="N92" s="667" t="s">
        <v>293</v>
      </c>
      <c r="O92" s="667" t="s">
        <v>293</v>
      </c>
      <c r="P92" s="667" t="s">
        <v>293</v>
      </c>
      <c r="Q92" s="667" t="s">
        <v>293</v>
      </c>
      <c r="R92" s="667" t="s">
        <v>293</v>
      </c>
      <c r="S92" s="667" t="s">
        <v>293</v>
      </c>
      <c r="T92" s="667" t="s">
        <v>293</v>
      </c>
      <c r="U92" s="667" t="s">
        <v>293</v>
      </c>
      <c r="V92" s="667" t="s">
        <v>293</v>
      </c>
      <c r="W92" s="667" t="s">
        <v>293</v>
      </c>
      <c r="X92" s="667" t="s">
        <v>293</v>
      </c>
      <c r="Y92" s="667" t="s">
        <v>293</v>
      </c>
      <c r="Z92" s="667" t="s">
        <v>293</v>
      </c>
    </row>
    <row r="93" spans="1:26" ht="153">
      <c r="A93" s="722" t="s">
        <v>635</v>
      </c>
      <c r="B93" s="723"/>
      <c r="C93" s="723"/>
      <c r="D93" s="723"/>
      <c r="E93" s="723"/>
      <c r="F93" s="723"/>
      <c r="G93" s="747" t="s">
        <v>690</v>
      </c>
      <c r="H93" s="723"/>
      <c r="I93" s="747"/>
      <c r="J93" s="723"/>
      <c r="K93" s="723"/>
      <c r="L93" s="723" t="s">
        <v>691</v>
      </c>
      <c r="M93" s="723" t="s">
        <v>692</v>
      </c>
      <c r="N93" s="723" t="s">
        <v>692</v>
      </c>
      <c r="O93" s="723" t="s">
        <v>692</v>
      </c>
      <c r="P93" s="723" t="s">
        <v>692</v>
      </c>
      <c r="Q93" s="723"/>
      <c r="R93" s="723"/>
      <c r="S93" s="726"/>
      <c r="T93" s="723"/>
      <c r="U93" s="748" t="s">
        <v>693</v>
      </c>
      <c r="V93" s="723"/>
      <c r="W93" s="723"/>
      <c r="X93" s="723"/>
      <c r="Y93" s="723" t="s">
        <v>694</v>
      </c>
      <c r="Z93" s="749" t="s">
        <v>695</v>
      </c>
    </row>
    <row r="94" spans="1:26" ht="49.5" customHeight="1">
      <c r="A94" s="727"/>
      <c r="B94" s="661"/>
      <c r="C94" s="663"/>
      <c r="D94" s="661"/>
      <c r="E94" s="661"/>
      <c r="F94" s="661"/>
      <c r="G94" s="750"/>
      <c r="H94" s="751"/>
      <c r="I94" s="750"/>
      <c r="J94" s="663"/>
      <c r="K94" s="661"/>
      <c r="L94" s="661"/>
      <c r="M94" s="661"/>
      <c r="N94" s="725" t="s">
        <v>696</v>
      </c>
      <c r="O94" s="661"/>
      <c r="P94" s="661"/>
      <c r="Q94" s="663"/>
      <c r="R94" s="661"/>
      <c r="S94" s="712"/>
      <c r="T94" s="661"/>
      <c r="U94" s="661"/>
      <c r="V94" s="663"/>
      <c r="W94" s="663"/>
      <c r="X94" s="663"/>
      <c r="Y94" s="663"/>
      <c r="Z94" s="663"/>
    </row>
    <row r="95" spans="1:26" ht="36" customHeight="1">
      <c r="A95" s="729"/>
      <c r="B95" s="661"/>
      <c r="C95" s="663"/>
      <c r="D95" s="661"/>
      <c r="E95" s="661"/>
      <c r="F95" s="661"/>
      <c r="G95" s="750"/>
      <c r="H95" s="752"/>
      <c r="I95" s="750"/>
      <c r="J95" s="663"/>
      <c r="K95" s="661"/>
      <c r="L95" s="661"/>
      <c r="M95" s="661"/>
      <c r="N95" s="661"/>
      <c r="O95" s="661"/>
      <c r="P95" s="661"/>
      <c r="Q95" s="663"/>
      <c r="R95" s="661"/>
      <c r="S95" s="712"/>
      <c r="T95" s="661"/>
      <c r="U95" s="661"/>
      <c r="V95" s="663"/>
      <c r="W95" s="663"/>
      <c r="X95" s="663"/>
      <c r="Y95" s="663"/>
      <c r="Z95" s="663"/>
    </row>
    <row r="96" spans="1:26" ht="53.25" customHeight="1">
      <c r="A96" s="682"/>
      <c r="B96" s="661"/>
      <c r="C96" s="663"/>
      <c r="D96" s="661"/>
      <c r="E96" s="661"/>
      <c r="F96" s="661"/>
      <c r="G96" s="750"/>
      <c r="H96" s="751"/>
      <c r="I96" s="750"/>
      <c r="J96" s="663"/>
      <c r="K96" s="661"/>
      <c r="L96" s="661"/>
      <c r="M96" s="661"/>
      <c r="N96" s="661"/>
      <c r="O96" s="661"/>
      <c r="P96" s="661"/>
      <c r="Q96" s="663"/>
      <c r="R96" s="661"/>
      <c r="S96" s="712"/>
      <c r="T96" s="661"/>
      <c r="U96" s="661"/>
      <c r="V96" s="663"/>
      <c r="W96" s="663"/>
      <c r="X96" s="663"/>
      <c r="Y96" s="663"/>
      <c r="Z96" s="663"/>
    </row>
    <row r="97" spans="1:26" ht="67.5" customHeight="1">
      <c r="A97" s="730"/>
      <c r="B97" s="661"/>
      <c r="C97" s="663"/>
      <c r="D97" s="661"/>
      <c r="E97" s="661"/>
      <c r="F97" s="661"/>
      <c r="G97" s="750"/>
      <c r="H97" s="663"/>
      <c r="I97" s="750"/>
      <c r="J97" s="663"/>
      <c r="K97" s="661"/>
      <c r="L97" s="661"/>
      <c r="M97" s="661"/>
      <c r="N97" s="661"/>
      <c r="O97" s="661"/>
      <c r="P97" s="661"/>
      <c r="Q97" s="663"/>
      <c r="R97" s="661"/>
      <c r="S97" s="712"/>
      <c r="T97" s="661"/>
      <c r="U97" s="661"/>
      <c r="V97" s="663"/>
      <c r="W97" s="663"/>
      <c r="X97" s="663"/>
      <c r="Y97" s="663"/>
      <c r="Z97" s="663"/>
    </row>
    <row r="98" spans="1:26" ht="15" customHeight="1">
      <c r="A98" s="661"/>
      <c r="B98" s="661"/>
      <c r="C98" s="663"/>
      <c r="D98" s="661"/>
      <c r="E98" s="661"/>
      <c r="F98" s="661"/>
      <c r="G98" s="750"/>
      <c r="H98" s="663"/>
      <c r="I98" s="750"/>
      <c r="J98" s="663"/>
      <c r="K98" s="661"/>
      <c r="L98" s="661"/>
      <c r="M98" s="661"/>
      <c r="N98" s="661"/>
      <c r="O98" s="661"/>
      <c r="P98" s="661"/>
      <c r="Q98" s="663"/>
      <c r="R98" s="661"/>
      <c r="S98" s="712"/>
      <c r="T98" s="661"/>
      <c r="U98" s="661"/>
      <c r="V98" s="663"/>
      <c r="W98" s="663"/>
      <c r="X98" s="663"/>
      <c r="Y98" s="663"/>
      <c r="Z98" s="663"/>
    </row>
    <row r="99" spans="1:26" ht="12.75">
      <c r="A99" s="661"/>
      <c r="B99" s="661"/>
      <c r="C99" s="663"/>
      <c r="D99" s="661"/>
      <c r="E99" s="661"/>
      <c r="F99" s="661"/>
      <c r="G99" s="750"/>
      <c r="H99" s="663"/>
      <c r="I99" s="750"/>
      <c r="J99" s="663"/>
      <c r="K99" s="661"/>
      <c r="L99" s="661"/>
      <c r="M99" s="661"/>
      <c r="N99" s="661"/>
      <c r="O99" s="661"/>
      <c r="P99" s="661"/>
      <c r="Q99" s="663"/>
      <c r="R99" s="661"/>
      <c r="S99" s="712"/>
      <c r="T99" s="661"/>
      <c r="U99" s="661"/>
      <c r="V99" s="663"/>
      <c r="W99" s="663"/>
      <c r="X99" s="663"/>
      <c r="Y99" s="663"/>
      <c r="Z99" s="663"/>
    </row>
    <row r="100" spans="1:26" ht="12.75">
      <c r="A100" s="661"/>
      <c r="B100" s="661"/>
      <c r="C100" s="663"/>
      <c r="D100" s="661"/>
      <c r="E100" s="661"/>
      <c r="F100" s="661"/>
      <c r="G100" s="750"/>
      <c r="H100" s="663"/>
      <c r="I100" s="750"/>
      <c r="J100" s="663"/>
      <c r="K100" s="661"/>
      <c r="L100" s="661"/>
      <c r="M100" s="661"/>
      <c r="N100" s="661"/>
      <c r="O100" s="661"/>
      <c r="P100" s="661"/>
      <c r="Q100" s="663"/>
      <c r="R100" s="661"/>
      <c r="S100" s="712"/>
      <c r="T100" s="661"/>
      <c r="U100" s="661"/>
      <c r="V100" s="663"/>
      <c r="W100" s="663"/>
      <c r="X100" s="663"/>
      <c r="Y100" s="663"/>
      <c r="Z100" s="663"/>
    </row>
    <row r="101" spans="1:26" ht="12.75">
      <c r="A101" s="661"/>
      <c r="B101" s="661"/>
      <c r="C101" s="663"/>
      <c r="D101" s="661"/>
      <c r="E101" s="661"/>
      <c r="F101" s="661"/>
      <c r="G101" s="750"/>
      <c r="H101" s="663"/>
      <c r="I101" s="750"/>
      <c r="J101" s="663"/>
      <c r="K101" s="661"/>
      <c r="L101" s="661"/>
      <c r="M101" s="661"/>
      <c r="N101" s="661"/>
      <c r="O101" s="661"/>
      <c r="P101" s="661"/>
      <c r="Q101" s="663"/>
      <c r="R101" s="661"/>
      <c r="S101" s="712"/>
      <c r="T101" s="661"/>
      <c r="U101" s="661"/>
      <c r="V101" s="663"/>
      <c r="W101" s="663"/>
      <c r="X101" s="663"/>
      <c r="Y101" s="663"/>
      <c r="Z101" s="663"/>
    </row>
    <row r="102" spans="1:26" ht="12.75">
      <c r="A102" s="661"/>
      <c r="B102" s="661"/>
      <c r="C102" s="663"/>
      <c r="D102" s="661"/>
      <c r="E102" s="661"/>
      <c r="F102" s="661"/>
      <c r="G102" s="750"/>
      <c r="H102" s="663"/>
      <c r="I102" s="750"/>
      <c r="J102" s="663"/>
      <c r="K102" s="661"/>
      <c r="L102" s="661"/>
      <c r="M102" s="661"/>
      <c r="N102" s="661"/>
      <c r="O102" s="661"/>
      <c r="P102" s="661"/>
      <c r="Q102" s="663"/>
      <c r="R102" s="661"/>
      <c r="S102" s="712"/>
      <c r="T102" s="661"/>
      <c r="U102" s="661"/>
      <c r="V102" s="663"/>
      <c r="W102" s="663"/>
      <c r="X102" s="663"/>
      <c r="Y102" s="663"/>
      <c r="Z102" s="663"/>
    </row>
    <row r="103" spans="1:26" ht="12.75">
      <c r="A103" s="661"/>
      <c r="B103" s="661"/>
      <c r="C103" s="663"/>
      <c r="D103" s="661"/>
      <c r="E103" s="661"/>
      <c r="F103" s="661"/>
      <c r="G103" s="750"/>
      <c r="H103" s="663"/>
      <c r="I103" s="750"/>
      <c r="J103" s="663"/>
      <c r="K103" s="661"/>
      <c r="L103" s="661"/>
      <c r="M103" s="661"/>
      <c r="N103" s="661"/>
      <c r="O103" s="661"/>
      <c r="P103" s="661"/>
      <c r="Q103" s="663"/>
      <c r="R103" s="661"/>
      <c r="S103" s="712"/>
      <c r="T103" s="661"/>
      <c r="U103" s="661"/>
      <c r="V103" s="663"/>
      <c r="W103" s="663"/>
      <c r="X103" s="663"/>
      <c r="Y103" s="663"/>
      <c r="Z103" s="663"/>
    </row>
  </sheetData>
  <conditionalFormatting sqref="A1:Z1 A3:Z7 A9:Z19 A21:Z25 A27:Z68 A70:Z103">
    <cfRule type="expression" dxfId="5" priority="1">
      <formula>ISODD(COLUMN())</formula>
    </cfRule>
    <cfRule type="expression" dxfId="4" priority="2">
      <formula>ISEVEN(COLUMN())</formula>
    </cfRule>
  </conditionalFormatting>
  <pageMargins left="0.7" right="0.7" top="0.75" bottom="0.75" header="0.3" footer="0.3"/>
  <drawing r:id="rId1"/>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80000"/>
    <outlinePr summaryBelow="0" summaryRight="0"/>
  </sheetPr>
  <dimension ref="A1:AA7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42" customWidth="1"/>
    <col min="2" max="2" width="16.140625" customWidth="1"/>
    <col min="3" max="3" width="15.42578125" customWidth="1"/>
    <col min="4" max="4" width="15.5703125" customWidth="1"/>
    <col min="5" max="5" width="15.28515625" customWidth="1"/>
    <col min="6" max="6" width="15.42578125" customWidth="1"/>
    <col min="7" max="8" width="15.7109375" customWidth="1"/>
    <col min="9" max="9" width="15.5703125" customWidth="1"/>
    <col min="10" max="10" width="16" customWidth="1"/>
    <col min="11" max="11" width="15.28515625" customWidth="1"/>
    <col min="13" max="14" width="12.85546875" customWidth="1"/>
    <col min="16" max="16" width="15.7109375" customWidth="1"/>
    <col min="17" max="17" width="14.140625" customWidth="1"/>
  </cols>
  <sheetData>
    <row r="1" spans="1:27" ht="35.25" customHeight="1">
      <c r="A1" s="651" t="s">
        <v>551</v>
      </c>
      <c r="B1" s="654" t="s">
        <v>697</v>
      </c>
      <c r="C1" s="652" t="s">
        <v>325</v>
      </c>
      <c r="D1" s="652" t="s">
        <v>326</v>
      </c>
      <c r="E1" s="654" t="s">
        <v>327</v>
      </c>
      <c r="F1" s="652" t="s">
        <v>698</v>
      </c>
      <c r="G1" s="652" t="s">
        <v>699</v>
      </c>
      <c r="H1" s="654" t="s">
        <v>700</v>
      </c>
      <c r="I1" s="654" t="s">
        <v>701</v>
      </c>
      <c r="J1" s="654" t="s">
        <v>702</v>
      </c>
      <c r="K1" s="654" t="s">
        <v>703</v>
      </c>
      <c r="L1" s="652" t="s">
        <v>332</v>
      </c>
      <c r="M1" s="652" t="s">
        <v>333</v>
      </c>
      <c r="N1" s="654" t="s">
        <v>334</v>
      </c>
      <c r="O1" s="652" t="s">
        <v>335</v>
      </c>
      <c r="P1" s="652" t="s">
        <v>336</v>
      </c>
      <c r="Q1" s="654" t="s">
        <v>337</v>
      </c>
      <c r="R1" s="652" t="s">
        <v>338</v>
      </c>
      <c r="S1" s="654" t="s">
        <v>339</v>
      </c>
      <c r="T1" s="652" t="s">
        <v>340</v>
      </c>
      <c r="U1" s="652" t="s">
        <v>341</v>
      </c>
      <c r="V1" s="652" t="s">
        <v>342</v>
      </c>
      <c r="W1" s="652" t="s">
        <v>343</v>
      </c>
      <c r="X1" s="654" t="s">
        <v>704</v>
      </c>
      <c r="Y1" s="652" t="s">
        <v>705</v>
      </c>
      <c r="Z1" s="652" t="s">
        <v>344</v>
      </c>
      <c r="AA1" s="652" t="s">
        <v>345</v>
      </c>
    </row>
    <row r="2" spans="1:27" ht="135" customHeight="1">
      <c r="A2" s="656" t="s">
        <v>562</v>
      </c>
      <c r="B2" s="657"/>
      <c r="C2" s="657"/>
      <c r="D2" s="657"/>
      <c r="E2" s="657"/>
      <c r="F2" s="657"/>
      <c r="G2" s="657"/>
      <c r="H2" s="657"/>
      <c r="I2" s="657"/>
      <c r="J2" s="657"/>
      <c r="K2" s="657"/>
      <c r="L2" s="658"/>
      <c r="M2" s="658"/>
      <c r="N2" s="658"/>
      <c r="O2" s="658"/>
      <c r="P2" s="658"/>
      <c r="Q2" s="657"/>
      <c r="R2" s="658"/>
      <c r="S2" s="658"/>
      <c r="T2" s="658"/>
      <c r="U2" s="658"/>
      <c r="V2" s="658"/>
      <c r="W2" s="658"/>
      <c r="X2" s="753"/>
      <c r="Y2" s="753"/>
      <c r="Z2" s="658"/>
      <c r="AA2" s="658"/>
    </row>
    <row r="3" spans="1:27" ht="12.75">
      <c r="A3" s="661" t="s">
        <v>563</v>
      </c>
      <c r="B3" s="663">
        <v>72.569999999999993</v>
      </c>
      <c r="C3" s="661">
        <v>77.55</v>
      </c>
      <c r="D3" s="661">
        <v>88.45</v>
      </c>
      <c r="E3" s="663">
        <v>76.430000000000007</v>
      </c>
      <c r="F3" s="661">
        <v>88.45</v>
      </c>
      <c r="G3" s="661">
        <v>88.45</v>
      </c>
      <c r="H3" s="663">
        <v>76.930000000000007</v>
      </c>
      <c r="I3" s="663">
        <v>76.930000000000007</v>
      </c>
      <c r="J3" s="663">
        <v>76.930000000000007</v>
      </c>
      <c r="K3" s="663">
        <v>76.930000000000007</v>
      </c>
      <c r="L3" s="661">
        <v>75.3</v>
      </c>
      <c r="M3" s="661">
        <v>87.7</v>
      </c>
      <c r="N3" s="663">
        <v>90.6</v>
      </c>
      <c r="O3" s="661">
        <v>43.5</v>
      </c>
      <c r="P3" s="661">
        <v>136</v>
      </c>
      <c r="Q3" s="663">
        <v>167.82919999999999</v>
      </c>
      <c r="R3" s="661">
        <v>70</v>
      </c>
      <c r="S3" s="663">
        <v>75.3</v>
      </c>
      <c r="T3" s="661">
        <v>84.5</v>
      </c>
      <c r="U3" s="661">
        <v>89</v>
      </c>
      <c r="V3" s="661">
        <v>193.5</v>
      </c>
      <c r="W3" s="661">
        <v>89</v>
      </c>
      <c r="X3" s="663">
        <v>72.569999999999993</v>
      </c>
      <c r="Y3" s="661">
        <v>76.930000000000007</v>
      </c>
      <c r="Z3" s="661">
        <v>65</v>
      </c>
      <c r="AA3" s="661">
        <v>93</v>
      </c>
    </row>
    <row r="4" spans="1:27" ht="12.75">
      <c r="A4" s="661" t="s">
        <v>564</v>
      </c>
      <c r="B4" s="663">
        <v>55.8</v>
      </c>
      <c r="C4" s="661">
        <v>60.79</v>
      </c>
      <c r="D4" s="661">
        <v>55.8</v>
      </c>
      <c r="E4" s="663">
        <v>57.5</v>
      </c>
      <c r="F4" s="661">
        <v>55.8</v>
      </c>
      <c r="G4" s="661">
        <v>55.8</v>
      </c>
      <c r="H4" s="663">
        <v>58</v>
      </c>
      <c r="I4" s="663">
        <v>58</v>
      </c>
      <c r="J4" s="666">
        <v>58</v>
      </c>
      <c r="K4" s="663">
        <v>58</v>
      </c>
      <c r="L4" s="661">
        <v>54.8</v>
      </c>
      <c r="M4" s="661">
        <v>60</v>
      </c>
      <c r="N4" s="663">
        <v>60</v>
      </c>
      <c r="O4" s="661">
        <v>33.5</v>
      </c>
      <c r="P4" s="661">
        <v>96</v>
      </c>
      <c r="Q4" s="663">
        <v>131.99539999999999</v>
      </c>
      <c r="R4" s="661">
        <v>51</v>
      </c>
      <c r="S4" s="663">
        <v>54.8</v>
      </c>
      <c r="T4" s="661">
        <v>59.7</v>
      </c>
      <c r="U4" s="661">
        <v>66</v>
      </c>
      <c r="V4" s="704">
        <v>160</v>
      </c>
      <c r="W4" s="661">
        <v>66</v>
      </c>
      <c r="X4" s="663">
        <v>55.8</v>
      </c>
      <c r="Y4" s="661">
        <v>58</v>
      </c>
      <c r="Z4" s="661">
        <v>45</v>
      </c>
      <c r="AA4" s="661">
        <v>63</v>
      </c>
    </row>
    <row r="5" spans="1:27" ht="12.75">
      <c r="A5" s="661" t="s">
        <v>565</v>
      </c>
      <c r="B5" s="669" t="s">
        <v>293</v>
      </c>
      <c r="C5" s="667" t="s">
        <v>293</v>
      </c>
      <c r="D5" s="667" t="s">
        <v>293</v>
      </c>
      <c r="E5" s="669" t="s">
        <v>293</v>
      </c>
      <c r="F5" s="669" t="s">
        <v>293</v>
      </c>
      <c r="G5" s="669" t="s">
        <v>293</v>
      </c>
      <c r="H5" s="667" t="s">
        <v>293</v>
      </c>
      <c r="I5" s="667" t="s">
        <v>293</v>
      </c>
      <c r="J5" s="669" t="s">
        <v>293</v>
      </c>
      <c r="K5" s="667" t="s">
        <v>293</v>
      </c>
      <c r="L5" s="669" t="s">
        <v>293</v>
      </c>
      <c r="M5" s="667" t="s">
        <v>293</v>
      </c>
      <c r="N5" s="667" t="s">
        <v>293</v>
      </c>
      <c r="O5" s="667" t="s">
        <v>293</v>
      </c>
      <c r="P5" s="669" t="s">
        <v>293</v>
      </c>
      <c r="Q5" s="667" t="s">
        <v>293</v>
      </c>
      <c r="R5" s="667" t="s">
        <v>293</v>
      </c>
      <c r="S5" s="669" t="s">
        <v>293</v>
      </c>
      <c r="T5" s="667" t="s">
        <v>293</v>
      </c>
      <c r="U5" s="667" t="s">
        <v>293</v>
      </c>
      <c r="V5" s="704">
        <v>148</v>
      </c>
      <c r="W5" s="669" t="s">
        <v>293</v>
      </c>
      <c r="X5" s="669" t="s">
        <v>293</v>
      </c>
      <c r="Y5" s="667" t="s">
        <v>293</v>
      </c>
      <c r="Z5" s="667" t="s">
        <v>293</v>
      </c>
      <c r="AA5" s="667" t="s">
        <v>293</v>
      </c>
    </row>
    <row r="6" spans="1:27" ht="12.75">
      <c r="A6" s="661" t="s">
        <v>566</v>
      </c>
      <c r="B6" s="663">
        <v>127</v>
      </c>
      <c r="C6" s="661">
        <v>127</v>
      </c>
      <c r="D6" s="661">
        <v>127</v>
      </c>
      <c r="E6" s="663">
        <v>127</v>
      </c>
      <c r="F6" s="661">
        <v>127</v>
      </c>
      <c r="G6" s="661">
        <v>127</v>
      </c>
      <c r="H6" s="663">
        <v>127</v>
      </c>
      <c r="I6" s="663">
        <v>127</v>
      </c>
      <c r="J6" s="663">
        <v>127</v>
      </c>
      <c r="K6" s="663">
        <v>127</v>
      </c>
      <c r="L6" s="661">
        <v>127</v>
      </c>
      <c r="M6" s="661">
        <v>127</v>
      </c>
      <c r="N6" s="663">
        <v>127</v>
      </c>
      <c r="O6" s="661">
        <v>120</v>
      </c>
      <c r="P6" s="661">
        <v>222</v>
      </c>
      <c r="Q6" s="663">
        <v>230</v>
      </c>
      <c r="R6" s="661">
        <v>165</v>
      </c>
      <c r="S6" s="663">
        <v>127</v>
      </c>
      <c r="T6" s="661">
        <v>127</v>
      </c>
      <c r="U6" s="661">
        <v>157</v>
      </c>
      <c r="V6" s="661">
        <v>263</v>
      </c>
      <c r="W6" s="661">
        <v>157</v>
      </c>
      <c r="X6" s="663">
        <v>127</v>
      </c>
      <c r="Y6" s="661">
        <v>127</v>
      </c>
      <c r="Z6" s="661">
        <v>140</v>
      </c>
      <c r="AA6" s="661">
        <v>150</v>
      </c>
    </row>
    <row r="7" spans="1:27" ht="12.75">
      <c r="A7" s="661" t="s">
        <v>567</v>
      </c>
      <c r="B7" s="663">
        <v>2.83</v>
      </c>
      <c r="C7" s="661">
        <v>2.83</v>
      </c>
      <c r="D7" s="661">
        <v>3</v>
      </c>
      <c r="E7" s="663">
        <v>3</v>
      </c>
      <c r="F7" s="661">
        <v>3</v>
      </c>
      <c r="G7" s="661">
        <v>3</v>
      </c>
      <c r="H7" s="663">
        <v>3.05</v>
      </c>
      <c r="I7" s="663">
        <v>3.05</v>
      </c>
      <c r="J7" s="663">
        <v>3.05</v>
      </c>
      <c r="K7" s="663">
        <v>3.05</v>
      </c>
      <c r="L7" s="661">
        <v>2.83</v>
      </c>
      <c r="M7" s="661">
        <v>2.83</v>
      </c>
      <c r="N7" s="663">
        <v>2.8759999999999999</v>
      </c>
      <c r="O7" s="661">
        <v>2.0950000000000002</v>
      </c>
      <c r="P7" s="661">
        <v>3.18</v>
      </c>
      <c r="Q7" s="663">
        <v>3.32</v>
      </c>
      <c r="R7" s="661">
        <v>2.75</v>
      </c>
      <c r="S7" s="663">
        <v>2.83</v>
      </c>
      <c r="T7" s="661">
        <v>2.8919999999999999</v>
      </c>
      <c r="U7" s="661">
        <v>2.7480000000000002</v>
      </c>
      <c r="V7" s="661">
        <v>3.28</v>
      </c>
      <c r="W7" s="661">
        <v>2.7480000000000002</v>
      </c>
      <c r="X7" s="663">
        <v>2.83</v>
      </c>
      <c r="Y7" s="661">
        <v>3.05</v>
      </c>
      <c r="Z7" s="661">
        <v>2.5</v>
      </c>
      <c r="AA7" s="661">
        <v>2.8</v>
      </c>
    </row>
    <row r="8" spans="1:27" ht="20.25" customHeight="1">
      <c r="A8" s="671" t="s">
        <v>568</v>
      </c>
      <c r="B8" s="672"/>
      <c r="C8" s="672"/>
      <c r="D8" s="672"/>
      <c r="E8" s="672"/>
      <c r="F8" s="672"/>
      <c r="G8" s="672"/>
      <c r="H8" s="672"/>
      <c r="I8" s="672"/>
      <c r="J8" s="672"/>
      <c r="K8" s="672"/>
      <c r="L8" s="672"/>
      <c r="M8" s="672"/>
      <c r="N8" s="672"/>
      <c r="O8" s="672"/>
      <c r="P8" s="672"/>
      <c r="Q8" s="672"/>
      <c r="R8" s="672"/>
      <c r="S8" s="672"/>
      <c r="T8" s="672"/>
      <c r="U8" s="672"/>
      <c r="V8" s="672"/>
      <c r="W8" s="672"/>
      <c r="X8" s="672"/>
      <c r="Y8" s="672"/>
      <c r="Z8" s="672"/>
      <c r="AA8" s="672"/>
    </row>
    <row r="9" spans="1:27" ht="15.75" customHeight="1">
      <c r="A9" s="661" t="s">
        <v>569</v>
      </c>
      <c r="B9" s="751">
        <v>17263</v>
      </c>
      <c r="C9" s="754">
        <v>17263</v>
      </c>
      <c r="D9" s="661">
        <v>11000</v>
      </c>
      <c r="E9" s="663">
        <v>18100</v>
      </c>
      <c r="F9" s="661">
        <v>11000</v>
      </c>
      <c r="G9" s="661">
        <v>11000</v>
      </c>
      <c r="H9" s="663">
        <v>18100</v>
      </c>
      <c r="I9" s="663">
        <v>18100</v>
      </c>
      <c r="J9" s="663">
        <v>18100</v>
      </c>
      <c r="K9" s="663">
        <v>18100</v>
      </c>
      <c r="L9" s="661">
        <v>17318</v>
      </c>
      <c r="M9" s="661">
        <v>26000</v>
      </c>
      <c r="N9" s="663">
        <v>26000</v>
      </c>
      <c r="O9" s="661">
        <v>9500</v>
      </c>
      <c r="P9" s="661">
        <v>38000</v>
      </c>
      <c r="Q9" s="663">
        <v>30500</v>
      </c>
      <c r="R9" s="661">
        <v>15300</v>
      </c>
      <c r="S9" s="663">
        <v>17318</v>
      </c>
      <c r="T9" s="661">
        <v>27900</v>
      </c>
      <c r="U9" s="661">
        <v>27000</v>
      </c>
      <c r="V9" s="661">
        <v>34500</v>
      </c>
      <c r="W9" s="661">
        <v>27000</v>
      </c>
      <c r="X9" s="751">
        <v>17263</v>
      </c>
      <c r="Y9" s="661">
        <v>18100</v>
      </c>
      <c r="Z9" s="661">
        <v>17263</v>
      </c>
      <c r="AA9" s="661">
        <v>11400</v>
      </c>
    </row>
    <row r="10" spans="1:27" ht="16.5" customHeight="1">
      <c r="A10" s="661" t="s">
        <v>570</v>
      </c>
      <c r="B10" s="663">
        <v>2.2000000000000002</v>
      </c>
      <c r="C10" s="661">
        <v>2.2000000000000002</v>
      </c>
      <c r="D10" s="661">
        <v>5</v>
      </c>
      <c r="E10" s="663">
        <v>2.2000000000000002</v>
      </c>
      <c r="F10" s="661">
        <v>5</v>
      </c>
      <c r="G10" s="661">
        <v>5</v>
      </c>
      <c r="H10" s="663">
        <v>2.2000000000000002</v>
      </c>
      <c r="I10" s="663">
        <v>2.2000000000000002</v>
      </c>
      <c r="J10" s="663">
        <v>2.2000000000000002</v>
      </c>
      <c r="K10" s="663">
        <v>2.2000000000000002</v>
      </c>
      <c r="L10" s="661">
        <v>2.2000000000000002</v>
      </c>
      <c r="M10" s="661">
        <v>2</v>
      </c>
      <c r="N10" s="663">
        <v>2</v>
      </c>
      <c r="O10" s="661">
        <v>3</v>
      </c>
      <c r="P10" s="661">
        <v>1.9</v>
      </c>
      <c r="Q10" s="663">
        <v>2.5</v>
      </c>
      <c r="R10" s="661">
        <v>3.2</v>
      </c>
      <c r="S10" s="663">
        <v>2.2000000000000002</v>
      </c>
      <c r="T10" s="661">
        <v>2</v>
      </c>
      <c r="U10" s="661">
        <v>2</v>
      </c>
      <c r="V10" s="661">
        <v>2.7</v>
      </c>
      <c r="W10" s="661">
        <v>2</v>
      </c>
      <c r="X10" s="663">
        <v>2.2000000000000002</v>
      </c>
      <c r="Y10" s="661">
        <v>2.2000000000000002</v>
      </c>
      <c r="Z10" s="661">
        <v>2.2000000000000002</v>
      </c>
      <c r="AA10" s="661">
        <v>5</v>
      </c>
    </row>
    <row r="11" spans="1:27" ht="16.5" customHeight="1">
      <c r="A11" s="661" t="str">
        <f>"Raw acceleration at ignition: [m/s"&amp;CHAR(178)&amp;"]"</f>
        <v>Raw acceleration at ignition: [m/s²]</v>
      </c>
      <c r="B11" s="678">
        <f t="shared" ref="B11:AA11" si="0">B9/B3</f>
        <v>237.88066694226268</v>
      </c>
      <c r="C11" s="675">
        <f t="shared" si="0"/>
        <v>222.60477111540942</v>
      </c>
      <c r="D11" s="675">
        <f t="shared" si="0"/>
        <v>124.36404748445449</v>
      </c>
      <c r="E11" s="678">
        <f t="shared" si="0"/>
        <v>236.81800340180556</v>
      </c>
      <c r="F11" s="675">
        <f t="shared" si="0"/>
        <v>124.36404748445449</v>
      </c>
      <c r="G11" s="675">
        <f t="shared" si="0"/>
        <v>124.36404748445449</v>
      </c>
      <c r="H11" s="678">
        <f t="shared" si="0"/>
        <v>235.27882490575846</v>
      </c>
      <c r="I11" s="678">
        <f t="shared" si="0"/>
        <v>235.27882490575846</v>
      </c>
      <c r="J11" s="677">
        <f t="shared" si="0"/>
        <v>235.27882490575846</v>
      </c>
      <c r="K11" s="678">
        <f t="shared" si="0"/>
        <v>235.27882490575846</v>
      </c>
      <c r="L11" s="677">
        <f t="shared" si="0"/>
        <v>229.98671978751662</v>
      </c>
      <c r="M11" s="677">
        <f t="shared" si="0"/>
        <v>296.46522234891677</v>
      </c>
      <c r="N11" s="677">
        <f t="shared" si="0"/>
        <v>286.97571743929359</v>
      </c>
      <c r="O11" s="677">
        <f t="shared" si="0"/>
        <v>218.39080459770116</v>
      </c>
      <c r="P11" s="677">
        <f t="shared" si="0"/>
        <v>279.41176470588238</v>
      </c>
      <c r="Q11" s="677">
        <f t="shared" si="0"/>
        <v>181.732380300925</v>
      </c>
      <c r="R11" s="677">
        <f t="shared" si="0"/>
        <v>218.57142857142858</v>
      </c>
      <c r="S11" s="677">
        <f t="shared" si="0"/>
        <v>229.98671978751662</v>
      </c>
      <c r="T11" s="677">
        <f t="shared" si="0"/>
        <v>330.17751479289939</v>
      </c>
      <c r="U11" s="677">
        <f t="shared" si="0"/>
        <v>303.37078651685391</v>
      </c>
      <c r="V11" s="677">
        <f t="shared" si="0"/>
        <v>178.29457364341084</v>
      </c>
      <c r="W11" s="677">
        <f t="shared" si="0"/>
        <v>303.37078651685391</v>
      </c>
      <c r="X11" s="677">
        <f t="shared" si="0"/>
        <v>237.88066694226268</v>
      </c>
      <c r="Y11" s="677">
        <f t="shared" si="0"/>
        <v>235.27882490575846</v>
      </c>
      <c r="Z11" s="677">
        <f t="shared" si="0"/>
        <v>265.5846153846154</v>
      </c>
      <c r="AA11" s="677">
        <f t="shared" si="0"/>
        <v>122.58064516129032</v>
      </c>
    </row>
    <row r="12" spans="1:27" ht="16.5" customHeight="1">
      <c r="A12" s="661" t="s">
        <v>571</v>
      </c>
      <c r="B12" s="675">
        <f t="shared" ref="B12:AA12" si="1">B10*B9/(9.81*(B3-B4))</f>
        <v>230.85372221280059</v>
      </c>
      <c r="C12" s="675">
        <f t="shared" si="1"/>
        <v>230.99146309717574</v>
      </c>
      <c r="D12" s="678">
        <f t="shared" si="1"/>
        <v>171.71589449151017</v>
      </c>
      <c r="E12" s="675">
        <f t="shared" si="1"/>
        <v>214.42806886038096</v>
      </c>
      <c r="F12" s="678">
        <f t="shared" si="1"/>
        <v>171.71589449151017</v>
      </c>
      <c r="G12" s="675">
        <f t="shared" si="1"/>
        <v>171.71589449151017</v>
      </c>
      <c r="H12" s="678">
        <f t="shared" si="1"/>
        <v>214.42806886038096</v>
      </c>
      <c r="I12" s="678">
        <f t="shared" si="1"/>
        <v>214.42806886038096</v>
      </c>
      <c r="J12" s="675">
        <f t="shared" si="1"/>
        <v>214.42806886038096</v>
      </c>
      <c r="K12" s="678">
        <f t="shared" si="1"/>
        <v>214.42806886038096</v>
      </c>
      <c r="L12" s="678">
        <f t="shared" si="1"/>
        <v>189.45128166878001</v>
      </c>
      <c r="M12" s="675">
        <f t="shared" si="1"/>
        <v>191.36150027416213</v>
      </c>
      <c r="N12" s="678">
        <f t="shared" si="1"/>
        <v>173.22593325471541</v>
      </c>
      <c r="O12" s="675">
        <f t="shared" si="1"/>
        <v>290.51987767584097</v>
      </c>
      <c r="P12" s="678">
        <f t="shared" si="1"/>
        <v>183.99592252803259</v>
      </c>
      <c r="Q12" s="675">
        <f t="shared" si="1"/>
        <v>216.90920130766352</v>
      </c>
      <c r="R12" s="678">
        <f t="shared" si="1"/>
        <v>262.67503621438914</v>
      </c>
      <c r="S12" s="675">
        <f t="shared" si="1"/>
        <v>189.45128166878001</v>
      </c>
      <c r="T12" s="678">
        <f t="shared" si="1"/>
        <v>229.35779816513764</v>
      </c>
      <c r="U12" s="678">
        <f t="shared" si="1"/>
        <v>239.32987634623052</v>
      </c>
      <c r="V12" s="678">
        <f t="shared" si="1"/>
        <v>283.44515952348348</v>
      </c>
      <c r="W12" s="675">
        <f t="shared" si="1"/>
        <v>239.32987634623052</v>
      </c>
      <c r="X12" s="678">
        <f t="shared" si="1"/>
        <v>230.85372221280059</v>
      </c>
      <c r="Y12" s="678">
        <f t="shared" si="1"/>
        <v>214.42806886038096</v>
      </c>
      <c r="Z12" s="675">
        <f t="shared" si="1"/>
        <v>193.57084607543325</v>
      </c>
      <c r="AA12" s="675">
        <f t="shared" si="1"/>
        <v>193.67991845056065</v>
      </c>
    </row>
    <row r="13" spans="1:27" ht="16.5" customHeight="1">
      <c r="A13" s="661" t="s">
        <v>572</v>
      </c>
      <c r="B13" s="675">
        <f t="shared" ref="B13:AA13" si="2">B12*9.81*LN(B3/B4)</f>
        <v>595.10619109040761</v>
      </c>
      <c r="C13" s="675">
        <f t="shared" si="2"/>
        <v>551.77192663320943</v>
      </c>
      <c r="D13" s="678">
        <f t="shared" si="2"/>
        <v>776.00291935739961</v>
      </c>
      <c r="E13" s="675">
        <f t="shared" si="2"/>
        <v>598.64698344417582</v>
      </c>
      <c r="F13" s="678">
        <f t="shared" si="2"/>
        <v>776.00291935739961</v>
      </c>
      <c r="G13" s="675">
        <f t="shared" si="2"/>
        <v>776.00291935739961</v>
      </c>
      <c r="H13" s="678">
        <f t="shared" si="2"/>
        <v>594.15080579664902</v>
      </c>
      <c r="I13" s="678">
        <f t="shared" si="2"/>
        <v>594.15080579664902</v>
      </c>
      <c r="J13" s="675">
        <f t="shared" si="2"/>
        <v>594.15080579664902</v>
      </c>
      <c r="K13" s="678">
        <f t="shared" si="2"/>
        <v>594.15080579664902</v>
      </c>
      <c r="L13" s="678">
        <f t="shared" si="2"/>
        <v>590.61803075513228</v>
      </c>
      <c r="M13" s="675">
        <f t="shared" si="2"/>
        <v>712.56395422793889</v>
      </c>
      <c r="N13" s="678">
        <f t="shared" si="2"/>
        <v>700.3170536926574</v>
      </c>
      <c r="O13" s="675">
        <f t="shared" si="2"/>
        <v>744.46417290131023</v>
      </c>
      <c r="P13" s="678">
        <f t="shared" si="2"/>
        <v>628.69358315412944</v>
      </c>
      <c r="Q13" s="675">
        <f t="shared" si="2"/>
        <v>511.07345045939877</v>
      </c>
      <c r="R13" s="678">
        <f t="shared" si="2"/>
        <v>816.00758276598026</v>
      </c>
      <c r="S13" s="675">
        <f t="shared" si="2"/>
        <v>590.61803075513228</v>
      </c>
      <c r="T13" s="678">
        <f t="shared" si="2"/>
        <v>781.69390642028634</v>
      </c>
      <c r="U13" s="678">
        <f t="shared" si="2"/>
        <v>701.95686504819855</v>
      </c>
      <c r="V13" s="675">
        <f t="shared" si="2"/>
        <v>528.60177306072535</v>
      </c>
      <c r="W13" s="678">
        <f t="shared" si="2"/>
        <v>701.95686504819855</v>
      </c>
      <c r="X13" s="675">
        <f t="shared" si="2"/>
        <v>595.10619109040761</v>
      </c>
      <c r="Y13" s="678">
        <f t="shared" si="2"/>
        <v>594.15080579664902</v>
      </c>
      <c r="Z13" s="675">
        <f t="shared" si="2"/>
        <v>698.28361672336894</v>
      </c>
      <c r="AA13" s="678">
        <f t="shared" si="2"/>
        <v>739.98305684727427</v>
      </c>
    </row>
    <row r="14" spans="1:27" ht="16.5" customHeight="1">
      <c r="A14" s="681" t="s">
        <v>573</v>
      </c>
      <c r="B14" s="663">
        <v>0</v>
      </c>
      <c r="C14" s="663">
        <v>0</v>
      </c>
      <c r="D14" s="663">
        <v>0</v>
      </c>
      <c r="E14" s="663">
        <v>0</v>
      </c>
      <c r="F14" s="663">
        <v>0</v>
      </c>
      <c r="G14" s="663">
        <v>0</v>
      </c>
      <c r="H14" s="663">
        <v>0</v>
      </c>
      <c r="I14" s="663">
        <v>0</v>
      </c>
      <c r="J14" s="663">
        <v>0</v>
      </c>
      <c r="K14" s="663">
        <v>0</v>
      </c>
      <c r="L14" s="663">
        <v>0</v>
      </c>
      <c r="M14" s="663">
        <v>0</v>
      </c>
      <c r="N14" s="663">
        <v>0</v>
      </c>
      <c r="O14" s="663">
        <v>0</v>
      </c>
      <c r="P14" s="663">
        <v>0</v>
      </c>
      <c r="Q14" s="663">
        <v>0</v>
      </c>
      <c r="R14" s="663">
        <v>0</v>
      </c>
      <c r="S14" s="663">
        <v>0</v>
      </c>
      <c r="T14" s="663">
        <v>0</v>
      </c>
      <c r="U14" s="663">
        <v>0</v>
      </c>
      <c r="V14" s="663">
        <v>0</v>
      </c>
      <c r="W14" s="663">
        <v>0</v>
      </c>
      <c r="X14" s="663">
        <v>0</v>
      </c>
      <c r="Y14" s="663">
        <v>0</v>
      </c>
      <c r="Z14" s="663">
        <v>0</v>
      </c>
      <c r="AA14" s="663">
        <v>0</v>
      </c>
    </row>
    <row r="15" spans="1:27" ht="16.5" customHeight="1">
      <c r="A15" s="682" t="s">
        <v>574</v>
      </c>
      <c r="B15" s="685" t="s">
        <v>293</v>
      </c>
      <c r="C15" s="683" t="s">
        <v>293</v>
      </c>
      <c r="D15" s="683" t="s">
        <v>293</v>
      </c>
      <c r="E15" s="685" t="s">
        <v>293</v>
      </c>
      <c r="F15" s="683" t="s">
        <v>293</v>
      </c>
      <c r="G15" s="683" t="s">
        <v>293</v>
      </c>
      <c r="H15" s="685" t="s">
        <v>293</v>
      </c>
      <c r="I15" s="685" t="s">
        <v>293</v>
      </c>
      <c r="J15" s="685" t="s">
        <v>293</v>
      </c>
      <c r="K15" s="685" t="s">
        <v>293</v>
      </c>
      <c r="L15" s="683" t="s">
        <v>293</v>
      </c>
      <c r="M15" s="683" t="s">
        <v>293</v>
      </c>
      <c r="N15" s="685" t="s">
        <v>293</v>
      </c>
      <c r="O15" s="683" t="s">
        <v>293</v>
      </c>
      <c r="P15" s="683" t="s">
        <v>293</v>
      </c>
      <c r="Q15" s="685" t="s">
        <v>293</v>
      </c>
      <c r="R15" s="683" t="s">
        <v>293</v>
      </c>
      <c r="S15" s="685" t="s">
        <v>293</v>
      </c>
      <c r="T15" s="683" t="s">
        <v>293</v>
      </c>
      <c r="U15" s="683" t="s">
        <v>293</v>
      </c>
      <c r="V15" s="661">
        <v>4000</v>
      </c>
      <c r="W15" s="683" t="s">
        <v>293</v>
      </c>
      <c r="X15" s="685" t="s">
        <v>293</v>
      </c>
      <c r="Y15" s="683" t="s">
        <v>293</v>
      </c>
      <c r="Z15" s="683" t="s">
        <v>293</v>
      </c>
      <c r="AA15" s="683" t="s">
        <v>293</v>
      </c>
    </row>
    <row r="16" spans="1:27" ht="16.5" customHeight="1">
      <c r="A16" s="682" t="s">
        <v>575</v>
      </c>
      <c r="B16" s="685" t="s">
        <v>293</v>
      </c>
      <c r="C16" s="683" t="s">
        <v>293</v>
      </c>
      <c r="D16" s="683" t="s">
        <v>293</v>
      </c>
      <c r="E16" s="685" t="s">
        <v>293</v>
      </c>
      <c r="F16" s="683" t="s">
        <v>293</v>
      </c>
      <c r="G16" s="683" t="s">
        <v>293</v>
      </c>
      <c r="H16" s="685" t="s">
        <v>293</v>
      </c>
      <c r="I16" s="685" t="s">
        <v>293</v>
      </c>
      <c r="J16" s="685" t="s">
        <v>293</v>
      </c>
      <c r="K16" s="685" t="s">
        <v>293</v>
      </c>
      <c r="L16" s="683" t="s">
        <v>293</v>
      </c>
      <c r="M16" s="683" t="s">
        <v>293</v>
      </c>
      <c r="N16" s="685" t="s">
        <v>293</v>
      </c>
      <c r="O16" s="683" t="s">
        <v>293</v>
      </c>
      <c r="P16" s="683" t="s">
        <v>293</v>
      </c>
      <c r="Q16" s="685" t="s">
        <v>293</v>
      </c>
      <c r="R16" s="683" t="s">
        <v>293</v>
      </c>
      <c r="S16" s="685" t="s">
        <v>293</v>
      </c>
      <c r="T16" s="683" t="s">
        <v>293</v>
      </c>
      <c r="U16" s="683" t="s">
        <v>293</v>
      </c>
      <c r="V16" s="661">
        <v>6.5</v>
      </c>
      <c r="W16" s="683" t="s">
        <v>293</v>
      </c>
      <c r="X16" s="685" t="s">
        <v>293</v>
      </c>
      <c r="Y16" s="683" t="s">
        <v>293</v>
      </c>
      <c r="Z16" s="683" t="s">
        <v>293</v>
      </c>
      <c r="AA16" s="683" t="s">
        <v>293</v>
      </c>
    </row>
    <row r="17" spans="1:27" ht="16.5" customHeight="1">
      <c r="A17" s="681" t="s">
        <v>576</v>
      </c>
      <c r="B17" s="685" t="s">
        <v>293</v>
      </c>
      <c r="C17" s="683" t="s">
        <v>293</v>
      </c>
      <c r="D17" s="683" t="s">
        <v>293</v>
      </c>
      <c r="E17" s="685" t="s">
        <v>293</v>
      </c>
      <c r="F17" s="683" t="s">
        <v>293</v>
      </c>
      <c r="G17" s="683" t="s">
        <v>293</v>
      </c>
      <c r="H17" s="685" t="s">
        <v>293</v>
      </c>
      <c r="I17" s="685" t="s">
        <v>293</v>
      </c>
      <c r="J17" s="685" t="s">
        <v>293</v>
      </c>
      <c r="K17" s="685" t="s">
        <v>293</v>
      </c>
      <c r="L17" s="683" t="s">
        <v>293</v>
      </c>
      <c r="M17" s="683" t="s">
        <v>293</v>
      </c>
      <c r="N17" s="685" t="s">
        <v>293</v>
      </c>
      <c r="O17" s="683" t="s">
        <v>293</v>
      </c>
      <c r="P17" s="683" t="s">
        <v>293</v>
      </c>
      <c r="Q17" s="685" t="s">
        <v>293</v>
      </c>
      <c r="R17" s="683" t="s">
        <v>293</v>
      </c>
      <c r="S17" s="685" t="s">
        <v>293</v>
      </c>
      <c r="T17" s="683" t="s">
        <v>293</v>
      </c>
      <c r="U17" s="683" t="s">
        <v>293</v>
      </c>
      <c r="V17" s="693">
        <f>V16*V15/(9.81*(V4-V5))</f>
        <v>220.86306489976215</v>
      </c>
      <c r="W17" s="683" t="s">
        <v>293</v>
      </c>
      <c r="X17" s="685" t="s">
        <v>293</v>
      </c>
      <c r="Y17" s="683" t="s">
        <v>293</v>
      </c>
      <c r="Z17" s="683" t="s">
        <v>293</v>
      </c>
      <c r="AA17" s="683" t="s">
        <v>293</v>
      </c>
    </row>
    <row r="18" spans="1:27" ht="16.5" customHeight="1">
      <c r="A18" s="681" t="s">
        <v>577</v>
      </c>
      <c r="B18" s="685" t="s">
        <v>293</v>
      </c>
      <c r="C18" s="683" t="s">
        <v>293</v>
      </c>
      <c r="D18" s="683" t="s">
        <v>293</v>
      </c>
      <c r="E18" s="685" t="s">
        <v>293</v>
      </c>
      <c r="F18" s="683" t="s">
        <v>293</v>
      </c>
      <c r="G18" s="683" t="s">
        <v>293</v>
      </c>
      <c r="H18" s="685" t="s">
        <v>293</v>
      </c>
      <c r="I18" s="685" t="s">
        <v>293</v>
      </c>
      <c r="J18" s="685" t="s">
        <v>293</v>
      </c>
      <c r="K18" s="685" t="s">
        <v>293</v>
      </c>
      <c r="L18" s="683" t="s">
        <v>293</v>
      </c>
      <c r="M18" s="683" t="s">
        <v>293</v>
      </c>
      <c r="N18" s="685" t="s">
        <v>293</v>
      </c>
      <c r="O18" s="683" t="s">
        <v>293</v>
      </c>
      <c r="P18" s="683" t="s">
        <v>293</v>
      </c>
      <c r="Q18" s="685" t="s">
        <v>293</v>
      </c>
      <c r="R18" s="683" t="s">
        <v>293</v>
      </c>
      <c r="S18" s="685" t="s">
        <v>293</v>
      </c>
      <c r="T18" s="683" t="s">
        <v>293</v>
      </c>
      <c r="U18" s="683" t="s">
        <v>293</v>
      </c>
      <c r="V18" s="693">
        <f>V17*9.81*LN(V4/V5)</f>
        <v>168.91667318437584</v>
      </c>
      <c r="W18" s="683" t="s">
        <v>293</v>
      </c>
      <c r="X18" s="685" t="s">
        <v>293</v>
      </c>
      <c r="Y18" s="683" t="s">
        <v>293</v>
      </c>
      <c r="Z18" s="683" t="s">
        <v>293</v>
      </c>
      <c r="AA18" s="683" t="s">
        <v>293</v>
      </c>
    </row>
    <row r="19" spans="1:27" ht="16.5" customHeight="1">
      <c r="A19" s="681" t="s">
        <v>578</v>
      </c>
      <c r="B19" s="692">
        <f t="shared" ref="B19:AA19" si="3">IF(ISNUMBER(B18),B13+B18,B13)</f>
        <v>595.10619109040761</v>
      </c>
      <c r="C19" s="692">
        <f t="shared" si="3"/>
        <v>551.77192663320943</v>
      </c>
      <c r="D19" s="692">
        <f t="shared" si="3"/>
        <v>776.00291935739961</v>
      </c>
      <c r="E19" s="692">
        <f t="shared" si="3"/>
        <v>598.64698344417582</v>
      </c>
      <c r="F19" s="692">
        <f t="shared" si="3"/>
        <v>776.00291935739961</v>
      </c>
      <c r="G19" s="692">
        <f t="shared" si="3"/>
        <v>776.00291935739961</v>
      </c>
      <c r="H19" s="692">
        <f t="shared" si="3"/>
        <v>594.15080579664902</v>
      </c>
      <c r="I19" s="692">
        <f t="shared" si="3"/>
        <v>594.15080579664902</v>
      </c>
      <c r="J19" s="692">
        <f t="shared" si="3"/>
        <v>594.15080579664902</v>
      </c>
      <c r="K19" s="692">
        <f t="shared" si="3"/>
        <v>594.15080579664902</v>
      </c>
      <c r="L19" s="692">
        <f t="shared" si="3"/>
        <v>590.61803075513228</v>
      </c>
      <c r="M19" s="692">
        <f t="shared" si="3"/>
        <v>712.56395422793889</v>
      </c>
      <c r="N19" s="692">
        <f t="shared" si="3"/>
        <v>700.3170536926574</v>
      </c>
      <c r="O19" s="692">
        <f t="shared" si="3"/>
        <v>744.46417290131023</v>
      </c>
      <c r="P19" s="692">
        <f t="shared" si="3"/>
        <v>628.69358315412944</v>
      </c>
      <c r="Q19" s="692">
        <f t="shared" si="3"/>
        <v>511.07345045939877</v>
      </c>
      <c r="R19" s="692">
        <f t="shared" si="3"/>
        <v>816.00758276598026</v>
      </c>
      <c r="S19" s="692">
        <f t="shared" si="3"/>
        <v>590.61803075513228</v>
      </c>
      <c r="T19" s="692">
        <f t="shared" si="3"/>
        <v>781.69390642028634</v>
      </c>
      <c r="U19" s="692">
        <f t="shared" si="3"/>
        <v>701.95686504819855</v>
      </c>
      <c r="V19" s="692">
        <f t="shared" si="3"/>
        <v>697.51844624510113</v>
      </c>
      <c r="W19" s="692">
        <f t="shared" si="3"/>
        <v>701.95686504819855</v>
      </c>
      <c r="X19" s="692">
        <f t="shared" si="3"/>
        <v>595.10619109040761</v>
      </c>
      <c r="Y19" s="692">
        <f t="shared" si="3"/>
        <v>594.15080579664902</v>
      </c>
      <c r="Z19" s="692">
        <f t="shared" si="3"/>
        <v>698.28361672336894</v>
      </c>
      <c r="AA19" s="692">
        <f t="shared" si="3"/>
        <v>739.98305684727427</v>
      </c>
    </row>
    <row r="20" spans="1:27" ht="18">
      <c r="A20" s="695" t="s">
        <v>579</v>
      </c>
      <c r="B20" s="696"/>
      <c r="C20" s="696"/>
      <c r="D20" s="696"/>
      <c r="E20" s="696"/>
      <c r="F20" s="696"/>
      <c r="G20" s="696"/>
      <c r="H20" s="696"/>
      <c r="I20" s="696"/>
      <c r="J20" s="696"/>
      <c r="K20" s="696"/>
      <c r="L20" s="696"/>
      <c r="M20" s="696"/>
      <c r="N20" s="696"/>
      <c r="O20" s="696"/>
      <c r="P20" s="696"/>
      <c r="Q20" s="696"/>
      <c r="R20" s="696"/>
      <c r="S20" s="696"/>
      <c r="T20" s="696"/>
      <c r="U20" s="696"/>
      <c r="V20" s="696"/>
      <c r="W20" s="696"/>
      <c r="X20" s="696"/>
      <c r="Y20" s="696"/>
      <c r="Z20" s="696"/>
      <c r="AA20" s="696"/>
    </row>
    <row r="21" spans="1:27" ht="15.75" customHeight="1">
      <c r="A21" s="661" t="s">
        <v>580</v>
      </c>
      <c r="B21" s="663">
        <f t="shared" ref="B21:C21" si="4">1.6*4.76</f>
        <v>7.6159999999999997</v>
      </c>
      <c r="C21" s="663">
        <f t="shared" si="4"/>
        <v>7.6159999999999997</v>
      </c>
      <c r="D21" s="661">
        <f>1.656*2.95</f>
        <v>4.8852000000000002</v>
      </c>
      <c r="E21" s="663">
        <f>1.6*4.76</f>
        <v>7.6159999999999997</v>
      </c>
      <c r="F21" s="663">
        <f t="shared" ref="F21:G21" si="5">1.28*2.76</f>
        <v>3.5327999999999999</v>
      </c>
      <c r="G21" s="663">
        <f t="shared" si="5"/>
        <v>3.5327999999999999</v>
      </c>
      <c r="H21" s="663">
        <f t="shared" ref="H21:K21" si="6">1.6*4.76</f>
        <v>7.6159999999999997</v>
      </c>
      <c r="I21" s="663">
        <f t="shared" si="6"/>
        <v>7.6159999999999997</v>
      </c>
      <c r="J21" s="663">
        <f t="shared" si="6"/>
        <v>7.6159999999999997</v>
      </c>
      <c r="K21" s="663">
        <f t="shared" si="6"/>
        <v>7.6159999999999997</v>
      </c>
      <c r="L21" s="661">
        <f>1.6*5.5</f>
        <v>8.8000000000000007</v>
      </c>
      <c r="M21" s="661">
        <f t="shared" ref="M21:N21" si="7">1*5.5</f>
        <v>5.5</v>
      </c>
      <c r="N21" s="661">
        <f t="shared" si="7"/>
        <v>5.5</v>
      </c>
      <c r="O21" s="661">
        <f>1*1.15</f>
        <v>1.1499999999999999</v>
      </c>
      <c r="P21" s="661">
        <f>1.28*8.75</f>
        <v>11.200000000000001</v>
      </c>
      <c r="Q21" s="663">
        <f>1.28*18.14369</f>
        <v>23.223923199999998</v>
      </c>
      <c r="R21" s="661">
        <f>1*4</f>
        <v>4</v>
      </c>
      <c r="S21" s="661">
        <f>1.6*5.5</f>
        <v>8.8000000000000007</v>
      </c>
      <c r="T21" s="663">
        <f>1.6*4.76</f>
        <v>7.6159999999999997</v>
      </c>
      <c r="U21" s="663">
        <f>1.6*5</f>
        <v>8</v>
      </c>
      <c r="V21" s="661">
        <f>1.28*8.1</f>
        <v>10.368</v>
      </c>
      <c r="W21" s="661">
        <f>1.6*6</f>
        <v>9.6000000000000014</v>
      </c>
      <c r="X21" s="661">
        <f t="shared" ref="X21:AA21" si="8">1.6*4.76</f>
        <v>7.6159999999999997</v>
      </c>
      <c r="Y21" s="661">
        <f t="shared" si="8"/>
        <v>7.6159999999999997</v>
      </c>
      <c r="Z21" s="661">
        <f t="shared" si="8"/>
        <v>7.6159999999999997</v>
      </c>
      <c r="AA21" s="661">
        <f t="shared" si="8"/>
        <v>7.6159999999999997</v>
      </c>
    </row>
    <row r="22" spans="1:27" ht="15.75" customHeight="1">
      <c r="A22" s="661" t="s">
        <v>581</v>
      </c>
      <c r="B22" s="669" t="s">
        <v>328</v>
      </c>
      <c r="C22" s="667" t="s">
        <v>328</v>
      </c>
      <c r="D22" s="667" t="s">
        <v>328</v>
      </c>
      <c r="E22" s="669" t="s">
        <v>328</v>
      </c>
      <c r="F22" s="667" t="s">
        <v>328</v>
      </c>
      <c r="G22" s="667" t="s">
        <v>328</v>
      </c>
      <c r="H22" s="669" t="s">
        <v>328</v>
      </c>
      <c r="I22" s="669" t="s">
        <v>328</v>
      </c>
      <c r="J22" s="669" t="s">
        <v>328</v>
      </c>
      <c r="K22" s="669" t="s">
        <v>328</v>
      </c>
      <c r="L22" s="667" t="s">
        <v>328</v>
      </c>
      <c r="M22" s="667" t="s">
        <v>328</v>
      </c>
      <c r="N22" s="669" t="s">
        <v>328</v>
      </c>
      <c r="O22" s="667" t="s">
        <v>328</v>
      </c>
      <c r="P22" s="667" t="s">
        <v>328</v>
      </c>
      <c r="Q22" s="669" t="s">
        <v>328</v>
      </c>
      <c r="R22" s="667" t="s">
        <v>328</v>
      </c>
      <c r="S22" s="669" t="s">
        <v>328</v>
      </c>
      <c r="T22" s="667" t="s">
        <v>328</v>
      </c>
      <c r="U22" s="667" t="s">
        <v>328</v>
      </c>
      <c r="V22" s="667" t="s">
        <v>328</v>
      </c>
      <c r="W22" s="667" t="s">
        <v>328</v>
      </c>
      <c r="X22" s="669" t="s">
        <v>328</v>
      </c>
      <c r="Y22" s="667" t="s">
        <v>328</v>
      </c>
      <c r="Z22" s="667" t="s">
        <v>328</v>
      </c>
      <c r="AA22" s="667" t="s">
        <v>328</v>
      </c>
    </row>
    <row r="23" spans="1:27" ht="15.75" customHeight="1">
      <c r="A23" s="661" t="s">
        <v>582</v>
      </c>
      <c r="B23" s="666">
        <v>9.1440000000000001</v>
      </c>
      <c r="C23" s="666">
        <v>9.1440000000000001</v>
      </c>
      <c r="D23" s="661">
        <v>5</v>
      </c>
      <c r="E23" s="663">
        <v>5</v>
      </c>
      <c r="F23" s="661">
        <v>5</v>
      </c>
      <c r="G23" s="661">
        <v>5</v>
      </c>
      <c r="H23" s="663">
        <v>5</v>
      </c>
      <c r="I23" s="663">
        <v>5</v>
      </c>
      <c r="J23" s="666">
        <v>5</v>
      </c>
      <c r="K23" s="663">
        <v>5</v>
      </c>
      <c r="L23" s="666">
        <v>9</v>
      </c>
      <c r="M23" s="661">
        <v>5</v>
      </c>
      <c r="N23" s="663">
        <v>5</v>
      </c>
      <c r="O23" s="661">
        <v>3</v>
      </c>
      <c r="P23" s="661">
        <v>10</v>
      </c>
      <c r="Q23" s="663">
        <v>12</v>
      </c>
      <c r="R23" s="661">
        <v>5</v>
      </c>
      <c r="S23" s="663">
        <v>5</v>
      </c>
      <c r="T23" s="661">
        <v>9</v>
      </c>
      <c r="U23" s="661">
        <v>9</v>
      </c>
      <c r="V23" s="661">
        <v>8</v>
      </c>
      <c r="W23" s="661">
        <v>5</v>
      </c>
      <c r="X23" s="666">
        <v>9.1440000000000001</v>
      </c>
      <c r="Y23" s="661">
        <v>5</v>
      </c>
      <c r="Z23" s="661">
        <v>5</v>
      </c>
      <c r="AA23" s="661">
        <v>5</v>
      </c>
    </row>
    <row r="24" spans="1:27" ht="15.75" customHeight="1">
      <c r="A24" s="699" t="s">
        <v>583</v>
      </c>
      <c r="B24" s="669" t="s">
        <v>328</v>
      </c>
      <c r="C24" s="669" t="s">
        <v>328</v>
      </c>
      <c r="D24" s="669" t="s">
        <v>328</v>
      </c>
      <c r="E24" s="669" t="s">
        <v>328</v>
      </c>
      <c r="F24" s="669" t="s">
        <v>328</v>
      </c>
      <c r="G24" s="669" t="s">
        <v>328</v>
      </c>
      <c r="H24" s="669" t="s">
        <v>328</v>
      </c>
      <c r="I24" s="669" t="s">
        <v>328</v>
      </c>
      <c r="J24" s="669" t="s">
        <v>328</v>
      </c>
      <c r="K24" s="669" t="s">
        <v>328</v>
      </c>
      <c r="L24" s="669" t="s">
        <v>328</v>
      </c>
      <c r="M24" s="669" t="s">
        <v>328</v>
      </c>
      <c r="N24" s="669" t="s">
        <v>328</v>
      </c>
      <c r="O24" s="669" t="s">
        <v>328</v>
      </c>
      <c r="P24" s="669" t="s">
        <v>328</v>
      </c>
      <c r="Q24" s="669" t="s">
        <v>328</v>
      </c>
      <c r="R24" s="669" t="s">
        <v>328</v>
      </c>
      <c r="S24" s="669" t="s">
        <v>328</v>
      </c>
      <c r="T24" s="669" t="s">
        <v>328</v>
      </c>
      <c r="U24" s="669" t="s">
        <v>328</v>
      </c>
      <c r="V24" s="669" t="s">
        <v>328</v>
      </c>
      <c r="W24" s="669" t="s">
        <v>328</v>
      </c>
      <c r="X24" s="669" t="s">
        <v>328</v>
      </c>
      <c r="Y24" s="669" t="s">
        <v>328</v>
      </c>
      <c r="Z24" s="669" t="s">
        <v>328</v>
      </c>
      <c r="AA24" s="669" t="s">
        <v>328</v>
      </c>
    </row>
    <row r="25" spans="1:27" ht="15.75" customHeight="1">
      <c r="A25" s="661" t="s">
        <v>584</v>
      </c>
      <c r="B25" s="666">
        <v>2.2000000000000002</v>
      </c>
      <c r="C25" s="666">
        <v>2.2000000000000002</v>
      </c>
      <c r="D25" s="666">
        <v>1.8</v>
      </c>
      <c r="E25" s="666">
        <v>0.5</v>
      </c>
      <c r="F25" s="666">
        <v>1.8</v>
      </c>
      <c r="G25" s="666">
        <v>1.8</v>
      </c>
      <c r="H25" s="666">
        <v>0.5</v>
      </c>
      <c r="I25" s="666">
        <v>0.5</v>
      </c>
      <c r="J25" s="666">
        <v>0.5</v>
      </c>
      <c r="K25" s="666">
        <v>0.5</v>
      </c>
      <c r="L25" s="666">
        <v>0.5</v>
      </c>
      <c r="M25" s="666">
        <v>0.5</v>
      </c>
      <c r="N25" s="666">
        <v>0.5</v>
      </c>
      <c r="O25" s="666">
        <v>0.5</v>
      </c>
      <c r="P25" s="666">
        <v>2.4900000000000002</v>
      </c>
      <c r="Q25" s="663">
        <v>1.3</v>
      </c>
      <c r="R25" s="666">
        <v>0.5</v>
      </c>
      <c r="S25" s="666">
        <v>0.5</v>
      </c>
      <c r="T25" s="666">
        <v>0.5</v>
      </c>
      <c r="U25" s="666">
        <v>0.5</v>
      </c>
      <c r="V25" s="666">
        <v>1.5</v>
      </c>
      <c r="W25" s="661">
        <v>1.8</v>
      </c>
      <c r="X25" s="666">
        <v>2.2000000000000002</v>
      </c>
      <c r="Y25" s="666">
        <v>0.5</v>
      </c>
      <c r="Z25" s="666">
        <v>0.5</v>
      </c>
      <c r="AA25" s="666">
        <v>0.5</v>
      </c>
    </row>
    <row r="26" spans="1:27" ht="18">
      <c r="A26" s="700" t="s">
        <v>585</v>
      </c>
      <c r="B26" s="755"/>
      <c r="C26" s="755"/>
      <c r="D26" s="701"/>
      <c r="E26" s="701"/>
      <c r="F26" s="701"/>
      <c r="G26" s="701"/>
      <c r="H26" s="701"/>
      <c r="I26" s="701"/>
      <c r="J26" s="701"/>
      <c r="K26" s="701"/>
      <c r="L26" s="701"/>
      <c r="M26" s="701"/>
      <c r="N26" s="701"/>
      <c r="O26" s="701"/>
      <c r="P26" s="701"/>
      <c r="Q26" s="701"/>
      <c r="R26" s="701"/>
      <c r="S26" s="701"/>
      <c r="T26" s="701"/>
      <c r="U26" s="701"/>
      <c r="V26" s="701"/>
      <c r="W26" s="701"/>
      <c r="X26" s="755"/>
      <c r="Y26" s="701"/>
      <c r="Z26" s="701"/>
      <c r="AA26" s="701"/>
    </row>
    <row r="27" spans="1:27" ht="12.75">
      <c r="A27" s="661" t="s">
        <v>586</v>
      </c>
      <c r="B27" s="669" t="s">
        <v>323</v>
      </c>
      <c r="C27" s="667" t="s">
        <v>323</v>
      </c>
      <c r="D27" s="667" t="s">
        <v>323</v>
      </c>
      <c r="E27" s="669" t="s">
        <v>323</v>
      </c>
      <c r="F27" s="667" t="s">
        <v>323</v>
      </c>
      <c r="G27" s="667" t="s">
        <v>323</v>
      </c>
      <c r="H27" s="669" t="s">
        <v>323</v>
      </c>
      <c r="I27" s="669" t="s">
        <v>323</v>
      </c>
      <c r="J27" s="669" t="s">
        <v>323</v>
      </c>
      <c r="K27" s="669" t="s">
        <v>323</v>
      </c>
      <c r="L27" s="667" t="s">
        <v>323</v>
      </c>
      <c r="M27" s="667" t="s">
        <v>323</v>
      </c>
      <c r="N27" s="669" t="s">
        <v>323</v>
      </c>
      <c r="O27" s="667" t="s">
        <v>323</v>
      </c>
      <c r="P27" s="667" t="s">
        <v>323</v>
      </c>
      <c r="Q27" s="669" t="s">
        <v>323</v>
      </c>
      <c r="R27" s="667" t="s">
        <v>323</v>
      </c>
      <c r="S27" s="669" t="s">
        <v>323</v>
      </c>
      <c r="T27" s="667" t="s">
        <v>323</v>
      </c>
      <c r="U27" s="667" t="s">
        <v>323</v>
      </c>
      <c r="V27" s="667" t="s">
        <v>323</v>
      </c>
      <c r="W27" s="667" t="s">
        <v>323</v>
      </c>
      <c r="X27" s="669" t="s">
        <v>323</v>
      </c>
      <c r="Y27" s="667" t="s">
        <v>323</v>
      </c>
      <c r="Z27" s="667" t="s">
        <v>323</v>
      </c>
      <c r="AA27" s="667" t="s">
        <v>323</v>
      </c>
    </row>
    <row r="28" spans="1:27" ht="12.75">
      <c r="A28" s="661" t="s">
        <v>587</v>
      </c>
      <c r="B28" s="666">
        <v>0.5</v>
      </c>
      <c r="C28" s="704">
        <v>0.5</v>
      </c>
      <c r="D28" s="704">
        <v>0.4</v>
      </c>
      <c r="E28" s="704">
        <v>0.5</v>
      </c>
      <c r="F28" s="704">
        <v>0.4</v>
      </c>
      <c r="G28" s="704">
        <v>0.4</v>
      </c>
      <c r="H28" s="704">
        <v>0.5</v>
      </c>
      <c r="I28" s="704">
        <v>0.5</v>
      </c>
      <c r="J28" s="704">
        <v>0.5</v>
      </c>
      <c r="K28" s="704">
        <v>0.5</v>
      </c>
      <c r="L28" s="704">
        <v>0.5</v>
      </c>
      <c r="M28" s="704">
        <v>0.5</v>
      </c>
      <c r="N28" s="704">
        <v>0.5</v>
      </c>
      <c r="O28" s="704">
        <v>0.35</v>
      </c>
      <c r="P28" s="704">
        <v>0.34</v>
      </c>
      <c r="Q28" s="704">
        <v>0.3</v>
      </c>
      <c r="R28" s="683" t="s">
        <v>293</v>
      </c>
      <c r="S28" s="704">
        <v>0.5</v>
      </c>
      <c r="T28" s="704">
        <v>0.5</v>
      </c>
      <c r="U28" s="704">
        <v>0.25</v>
      </c>
      <c r="V28" s="704">
        <v>0.5</v>
      </c>
      <c r="W28" s="704">
        <v>0.25</v>
      </c>
      <c r="X28" s="704">
        <v>0.5</v>
      </c>
      <c r="Y28" s="704">
        <v>0.5</v>
      </c>
      <c r="Z28" s="704">
        <v>0.5</v>
      </c>
      <c r="AA28" s="704">
        <v>0.5</v>
      </c>
    </row>
    <row r="29" spans="1:27" ht="12.75">
      <c r="A29" s="661" t="s">
        <v>588</v>
      </c>
      <c r="B29" s="666">
        <v>20</v>
      </c>
      <c r="C29" s="704">
        <v>20</v>
      </c>
      <c r="D29" s="704">
        <v>60</v>
      </c>
      <c r="E29" s="663">
        <v>20</v>
      </c>
      <c r="F29" s="661">
        <v>60</v>
      </c>
      <c r="G29" s="661">
        <v>60</v>
      </c>
      <c r="H29" s="663">
        <v>40</v>
      </c>
      <c r="I29" s="663">
        <v>40</v>
      </c>
      <c r="J29" s="663">
        <v>40</v>
      </c>
      <c r="K29" s="663">
        <v>40</v>
      </c>
      <c r="L29" s="661">
        <v>21</v>
      </c>
      <c r="M29" s="661">
        <v>60</v>
      </c>
      <c r="N29" s="663">
        <v>60</v>
      </c>
      <c r="O29" s="661">
        <v>25</v>
      </c>
      <c r="P29" s="661">
        <v>13</v>
      </c>
      <c r="Q29" s="663">
        <v>30</v>
      </c>
      <c r="R29" s="661">
        <v>3.7</v>
      </c>
      <c r="S29" s="663">
        <v>21</v>
      </c>
      <c r="T29" s="661">
        <v>23</v>
      </c>
      <c r="U29" s="661">
        <v>25</v>
      </c>
      <c r="V29" s="661">
        <v>100</v>
      </c>
      <c r="W29" s="661">
        <v>25</v>
      </c>
      <c r="X29" s="666">
        <v>20</v>
      </c>
      <c r="Y29" s="661">
        <v>40</v>
      </c>
      <c r="Z29" s="661">
        <v>20</v>
      </c>
      <c r="AA29" s="661">
        <v>30</v>
      </c>
    </row>
    <row r="30" spans="1:27" ht="12.75">
      <c r="A30" s="661" t="s">
        <v>589</v>
      </c>
      <c r="B30" s="666">
        <v>1</v>
      </c>
      <c r="C30" s="704">
        <v>1</v>
      </c>
      <c r="D30" s="704">
        <v>1</v>
      </c>
      <c r="E30" s="663">
        <v>1</v>
      </c>
      <c r="F30" s="661">
        <v>1</v>
      </c>
      <c r="G30" s="661">
        <v>1</v>
      </c>
      <c r="H30" s="663">
        <v>1</v>
      </c>
      <c r="I30" s="663">
        <v>1</v>
      </c>
      <c r="J30" s="663">
        <v>1</v>
      </c>
      <c r="K30" s="663">
        <v>1</v>
      </c>
      <c r="L30" s="661">
        <v>1</v>
      </c>
      <c r="M30" s="661">
        <v>1</v>
      </c>
      <c r="N30" s="663">
        <v>1</v>
      </c>
      <c r="O30" s="661">
        <v>1</v>
      </c>
      <c r="P30" s="661">
        <v>1</v>
      </c>
      <c r="Q30" s="663">
        <v>1</v>
      </c>
      <c r="R30" s="661">
        <v>1</v>
      </c>
      <c r="S30" s="663">
        <v>1</v>
      </c>
      <c r="T30" s="661">
        <v>1</v>
      </c>
      <c r="U30" s="661">
        <v>1</v>
      </c>
      <c r="V30" s="661">
        <v>1</v>
      </c>
      <c r="W30" s="661">
        <v>1</v>
      </c>
      <c r="X30" s="666">
        <v>1</v>
      </c>
      <c r="Y30" s="661">
        <v>1</v>
      </c>
      <c r="Z30" s="661">
        <v>1</v>
      </c>
      <c r="AA30" s="661">
        <v>1</v>
      </c>
    </row>
    <row r="31" spans="1:27" ht="12.75">
      <c r="A31" s="661" t="s">
        <v>590</v>
      </c>
      <c r="B31" s="666">
        <v>20</v>
      </c>
      <c r="C31" s="704">
        <v>20</v>
      </c>
      <c r="D31" s="704">
        <v>20</v>
      </c>
      <c r="E31" s="663">
        <v>20</v>
      </c>
      <c r="F31" s="661">
        <v>20</v>
      </c>
      <c r="G31" s="661">
        <v>20</v>
      </c>
      <c r="H31" s="663">
        <v>20</v>
      </c>
      <c r="I31" s="663">
        <v>20</v>
      </c>
      <c r="J31" s="663">
        <v>20</v>
      </c>
      <c r="K31" s="663">
        <v>20</v>
      </c>
      <c r="L31" s="661">
        <v>20</v>
      </c>
      <c r="M31" s="661">
        <v>20</v>
      </c>
      <c r="N31" s="663">
        <v>20</v>
      </c>
      <c r="O31" s="661">
        <v>20</v>
      </c>
      <c r="P31" s="661">
        <v>20</v>
      </c>
      <c r="Q31" s="663">
        <v>20</v>
      </c>
      <c r="R31" s="661">
        <v>20</v>
      </c>
      <c r="S31" s="663">
        <v>20</v>
      </c>
      <c r="T31" s="661">
        <v>20</v>
      </c>
      <c r="U31" s="661">
        <v>20</v>
      </c>
      <c r="V31" s="661">
        <v>20</v>
      </c>
      <c r="W31" s="661">
        <v>20</v>
      </c>
      <c r="X31" s="666">
        <v>20</v>
      </c>
      <c r="Y31" s="661">
        <v>20</v>
      </c>
      <c r="Z31" s="661">
        <v>20</v>
      </c>
      <c r="AA31" s="661">
        <v>20</v>
      </c>
    </row>
    <row r="32" spans="1:27" ht="12.75">
      <c r="A32" s="661" t="s">
        <v>591</v>
      </c>
      <c r="B32" s="663">
        <v>4</v>
      </c>
      <c r="C32" s="661">
        <v>4</v>
      </c>
      <c r="D32" s="661">
        <v>2.5</v>
      </c>
      <c r="E32" s="663">
        <v>2.5</v>
      </c>
      <c r="F32" s="661">
        <v>2.5</v>
      </c>
      <c r="G32" s="661">
        <v>2.5</v>
      </c>
      <c r="H32" s="663">
        <v>2.5</v>
      </c>
      <c r="I32" s="663">
        <v>2.5</v>
      </c>
      <c r="J32" s="666">
        <v>2.5</v>
      </c>
      <c r="K32" s="663">
        <v>2.5</v>
      </c>
      <c r="L32" s="661">
        <v>3.5</v>
      </c>
      <c r="M32" s="661">
        <v>3</v>
      </c>
      <c r="N32" s="663">
        <v>2.5</v>
      </c>
      <c r="O32" s="661">
        <v>5</v>
      </c>
      <c r="P32" s="661">
        <v>5</v>
      </c>
      <c r="Q32" s="663">
        <v>2</v>
      </c>
      <c r="R32" s="661">
        <v>5</v>
      </c>
      <c r="S32" s="663">
        <v>4</v>
      </c>
      <c r="T32" s="661">
        <v>2.4</v>
      </c>
      <c r="U32" s="661">
        <v>2.5</v>
      </c>
      <c r="V32" s="661">
        <v>2.5</v>
      </c>
      <c r="W32" s="661">
        <v>2.5</v>
      </c>
      <c r="X32" s="663">
        <v>4</v>
      </c>
      <c r="Y32" s="661">
        <v>2.5</v>
      </c>
      <c r="Z32" s="661">
        <v>4</v>
      </c>
      <c r="AA32" s="661">
        <v>4</v>
      </c>
    </row>
    <row r="33" spans="1:27" ht="12.75">
      <c r="A33" s="661" t="s">
        <v>592</v>
      </c>
      <c r="B33" s="663">
        <v>25</v>
      </c>
      <c r="C33" s="661">
        <v>25</v>
      </c>
      <c r="D33" s="661">
        <v>40</v>
      </c>
      <c r="E33" s="663">
        <v>40</v>
      </c>
      <c r="F33" s="661">
        <v>40</v>
      </c>
      <c r="G33" s="661">
        <v>40</v>
      </c>
      <c r="H33" s="663">
        <v>40</v>
      </c>
      <c r="I33" s="663">
        <v>40</v>
      </c>
      <c r="J33" s="663">
        <v>40</v>
      </c>
      <c r="K33" s="663">
        <v>40</v>
      </c>
      <c r="L33" s="661">
        <v>28</v>
      </c>
      <c r="M33" s="661">
        <v>40</v>
      </c>
      <c r="N33" s="663">
        <v>40</v>
      </c>
      <c r="O33" s="661">
        <v>45</v>
      </c>
      <c r="P33" s="661">
        <v>30</v>
      </c>
      <c r="Q33" s="663">
        <v>60</v>
      </c>
      <c r="R33" s="661">
        <v>50</v>
      </c>
      <c r="S33" s="663">
        <v>28</v>
      </c>
      <c r="T33" s="661">
        <v>40</v>
      </c>
      <c r="U33" s="661">
        <v>30</v>
      </c>
      <c r="V33" s="661">
        <v>45</v>
      </c>
      <c r="W33" s="661">
        <v>30</v>
      </c>
      <c r="X33" s="663">
        <v>25</v>
      </c>
      <c r="Y33" s="661">
        <v>40</v>
      </c>
      <c r="Z33" s="661">
        <v>25</v>
      </c>
      <c r="AA33" s="661">
        <v>30</v>
      </c>
    </row>
    <row r="34" spans="1:27" ht="12.75">
      <c r="A34" s="661" t="s">
        <v>593</v>
      </c>
      <c r="B34" s="663">
        <v>11</v>
      </c>
      <c r="C34" s="661">
        <v>11</v>
      </c>
      <c r="D34" s="661">
        <v>12</v>
      </c>
      <c r="E34" s="663">
        <v>12</v>
      </c>
      <c r="F34" s="661">
        <v>12</v>
      </c>
      <c r="G34" s="661">
        <v>20</v>
      </c>
      <c r="H34" s="663">
        <v>16.5</v>
      </c>
      <c r="I34" s="663">
        <v>16.5</v>
      </c>
      <c r="J34" s="663">
        <v>16.5</v>
      </c>
      <c r="K34" s="663">
        <v>16.5</v>
      </c>
      <c r="L34" s="661">
        <v>6</v>
      </c>
      <c r="M34" s="661">
        <v>12</v>
      </c>
      <c r="N34" s="663">
        <v>16.5</v>
      </c>
      <c r="O34" s="661">
        <v>30</v>
      </c>
      <c r="P34" s="661">
        <v>12</v>
      </c>
      <c r="Q34" s="663">
        <v>12</v>
      </c>
      <c r="R34" s="661">
        <v>100</v>
      </c>
      <c r="S34" s="663">
        <v>11</v>
      </c>
      <c r="T34" s="661">
        <v>20</v>
      </c>
      <c r="U34" s="661">
        <v>35</v>
      </c>
      <c r="V34" s="661">
        <v>10</v>
      </c>
      <c r="W34" s="661">
        <v>35</v>
      </c>
      <c r="X34" s="663">
        <v>11</v>
      </c>
      <c r="Y34" s="661">
        <v>16.5</v>
      </c>
      <c r="Z34" s="661">
        <v>11</v>
      </c>
      <c r="AA34" s="661">
        <v>18</v>
      </c>
    </row>
    <row r="35" spans="1:27" ht="17.25" customHeight="1">
      <c r="A35" s="661" t="s">
        <v>594</v>
      </c>
      <c r="B35" s="669" t="s">
        <v>324</v>
      </c>
      <c r="C35" s="667" t="s">
        <v>324</v>
      </c>
      <c r="D35" s="667" t="s">
        <v>324</v>
      </c>
      <c r="E35" s="669" t="s">
        <v>328</v>
      </c>
      <c r="F35" s="667" t="s">
        <v>328</v>
      </c>
      <c r="G35" s="667" t="s">
        <v>328</v>
      </c>
      <c r="H35" s="669" t="s">
        <v>328</v>
      </c>
      <c r="I35" s="669" t="s">
        <v>328</v>
      </c>
      <c r="J35" s="669" t="s">
        <v>328</v>
      </c>
      <c r="K35" s="669" t="s">
        <v>328</v>
      </c>
      <c r="L35" s="667" t="s">
        <v>324</v>
      </c>
      <c r="M35" s="667" t="s">
        <v>328</v>
      </c>
      <c r="N35" s="669" t="s">
        <v>328</v>
      </c>
      <c r="O35" s="667" t="s">
        <v>328</v>
      </c>
      <c r="P35" s="667" t="s">
        <v>328</v>
      </c>
      <c r="Q35" s="669" t="s">
        <v>328</v>
      </c>
      <c r="R35" s="667" t="s">
        <v>328</v>
      </c>
      <c r="S35" s="669" t="s">
        <v>324</v>
      </c>
      <c r="T35" s="667" t="s">
        <v>328</v>
      </c>
      <c r="U35" s="667" t="s">
        <v>328</v>
      </c>
      <c r="V35" s="667" t="s">
        <v>328</v>
      </c>
      <c r="W35" s="667" t="s">
        <v>328</v>
      </c>
      <c r="X35" s="669" t="s">
        <v>324</v>
      </c>
      <c r="Y35" s="667" t="s">
        <v>328</v>
      </c>
      <c r="Z35" s="667" t="s">
        <v>324</v>
      </c>
      <c r="AA35" s="667" t="s">
        <v>328</v>
      </c>
    </row>
    <row r="36" spans="1:27" ht="17.25" customHeight="1">
      <c r="A36" s="661" t="s">
        <v>595</v>
      </c>
      <c r="B36" s="669" t="s">
        <v>293</v>
      </c>
      <c r="C36" s="667" t="s">
        <v>293</v>
      </c>
      <c r="D36" s="667" t="s">
        <v>293</v>
      </c>
      <c r="E36" s="663">
        <v>10</v>
      </c>
      <c r="F36" s="661">
        <v>40</v>
      </c>
      <c r="G36" s="661">
        <v>40</v>
      </c>
      <c r="H36" s="663">
        <v>40</v>
      </c>
      <c r="I36" s="663">
        <v>40</v>
      </c>
      <c r="J36" s="666">
        <v>40</v>
      </c>
      <c r="K36" s="663">
        <v>40</v>
      </c>
      <c r="L36" s="667" t="s">
        <v>293</v>
      </c>
      <c r="M36" s="661">
        <v>10</v>
      </c>
      <c r="N36" s="663">
        <v>10</v>
      </c>
      <c r="O36" s="661">
        <v>12</v>
      </c>
      <c r="P36" s="661">
        <v>20</v>
      </c>
      <c r="Q36" s="663">
        <v>30</v>
      </c>
      <c r="R36" s="661">
        <v>40</v>
      </c>
      <c r="S36" s="669" t="s">
        <v>293</v>
      </c>
      <c r="T36" s="704">
        <v>25</v>
      </c>
      <c r="U36" s="704">
        <v>30</v>
      </c>
      <c r="V36" s="661">
        <v>20</v>
      </c>
      <c r="W36" s="661">
        <v>30</v>
      </c>
      <c r="X36" s="669" t="s">
        <v>293</v>
      </c>
      <c r="Y36" s="661">
        <v>40</v>
      </c>
      <c r="Z36" s="667" t="s">
        <v>293</v>
      </c>
      <c r="AA36" s="661">
        <v>30</v>
      </c>
    </row>
    <row r="37" spans="1:27" ht="31.5" customHeight="1">
      <c r="A37" s="682" t="s">
        <v>596</v>
      </c>
      <c r="B37" s="663">
        <v>20</v>
      </c>
      <c r="C37" s="661">
        <v>5</v>
      </c>
      <c r="D37" s="661">
        <v>10</v>
      </c>
      <c r="E37" s="663">
        <v>10</v>
      </c>
      <c r="F37" s="661">
        <v>10</v>
      </c>
      <c r="G37" s="661">
        <v>10</v>
      </c>
      <c r="H37" s="663">
        <v>10</v>
      </c>
      <c r="I37" s="663">
        <v>10</v>
      </c>
      <c r="J37" s="666">
        <v>10</v>
      </c>
      <c r="K37" s="663">
        <v>10</v>
      </c>
      <c r="L37" s="661">
        <v>20</v>
      </c>
      <c r="M37" s="661">
        <v>10</v>
      </c>
      <c r="N37" s="663">
        <v>10</v>
      </c>
      <c r="O37" s="661">
        <v>15</v>
      </c>
      <c r="P37" s="661">
        <v>3</v>
      </c>
      <c r="Q37" s="663">
        <v>5</v>
      </c>
      <c r="R37" s="661">
        <v>10</v>
      </c>
      <c r="S37" s="663">
        <v>20</v>
      </c>
      <c r="T37" s="661">
        <v>17</v>
      </c>
      <c r="U37" s="661">
        <v>10</v>
      </c>
      <c r="V37" s="661">
        <v>5</v>
      </c>
      <c r="W37" s="661">
        <v>10</v>
      </c>
      <c r="X37" s="663">
        <v>20</v>
      </c>
      <c r="Y37" s="661">
        <v>10</v>
      </c>
      <c r="Z37" s="661">
        <v>20</v>
      </c>
      <c r="AA37" s="661">
        <v>20</v>
      </c>
    </row>
    <row r="38" spans="1:27" ht="12.75">
      <c r="A38" s="661" t="s">
        <v>597</v>
      </c>
      <c r="B38" s="663">
        <v>4</v>
      </c>
      <c r="C38" s="661">
        <v>5.5</v>
      </c>
      <c r="D38" s="661">
        <v>5.5</v>
      </c>
      <c r="E38" s="663">
        <v>5.5</v>
      </c>
      <c r="F38" s="661">
        <v>5.5</v>
      </c>
      <c r="G38" s="661">
        <v>5.5</v>
      </c>
      <c r="H38" s="663">
        <v>5.5</v>
      </c>
      <c r="I38" s="663">
        <v>5.5</v>
      </c>
      <c r="J38" s="666">
        <v>5.5</v>
      </c>
      <c r="K38" s="663">
        <v>5.5</v>
      </c>
      <c r="L38" s="661">
        <v>3.5</v>
      </c>
      <c r="M38" s="661">
        <v>5.5</v>
      </c>
      <c r="N38" s="663">
        <v>5.5</v>
      </c>
      <c r="O38" s="661">
        <v>5</v>
      </c>
      <c r="P38" s="661">
        <v>4</v>
      </c>
      <c r="Q38" s="663">
        <v>6</v>
      </c>
      <c r="R38" s="661">
        <v>4</v>
      </c>
      <c r="S38" s="663">
        <v>3.5</v>
      </c>
      <c r="T38" s="661">
        <v>5.5</v>
      </c>
      <c r="U38" s="661">
        <v>5.5</v>
      </c>
      <c r="V38" s="661">
        <v>5.5</v>
      </c>
      <c r="W38" s="661">
        <v>5.5</v>
      </c>
      <c r="X38" s="663">
        <v>4</v>
      </c>
      <c r="Y38" s="661">
        <v>5.5</v>
      </c>
      <c r="Z38" s="661">
        <v>4</v>
      </c>
      <c r="AA38" s="661">
        <v>4</v>
      </c>
    </row>
    <row r="39" spans="1:27" ht="12.75">
      <c r="A39" s="661" t="s">
        <v>706</v>
      </c>
      <c r="B39" s="663">
        <v>10</v>
      </c>
      <c r="C39" s="661">
        <v>8</v>
      </c>
      <c r="D39" s="661">
        <v>8</v>
      </c>
      <c r="E39" s="663">
        <v>8</v>
      </c>
      <c r="F39" s="661">
        <v>8</v>
      </c>
      <c r="G39" s="661">
        <v>8</v>
      </c>
      <c r="H39" s="663">
        <v>8</v>
      </c>
      <c r="I39" s="663">
        <v>8</v>
      </c>
      <c r="J39" s="663">
        <v>8</v>
      </c>
      <c r="K39" s="663">
        <v>8</v>
      </c>
      <c r="L39" s="661">
        <v>8.6999999999999993</v>
      </c>
      <c r="M39" s="661">
        <v>8</v>
      </c>
      <c r="N39" s="663">
        <v>8</v>
      </c>
      <c r="O39" s="661">
        <v>7.5</v>
      </c>
      <c r="P39" s="661">
        <v>8</v>
      </c>
      <c r="Q39" s="663">
        <v>7</v>
      </c>
      <c r="R39" s="661">
        <v>6</v>
      </c>
      <c r="S39" s="663">
        <v>8.6999999999999993</v>
      </c>
      <c r="T39" s="661">
        <v>8</v>
      </c>
      <c r="U39" s="661">
        <v>8</v>
      </c>
      <c r="V39" s="661">
        <v>8</v>
      </c>
      <c r="W39" s="661">
        <v>8</v>
      </c>
      <c r="X39" s="663">
        <v>10</v>
      </c>
      <c r="Y39" s="661">
        <v>8</v>
      </c>
      <c r="Z39" s="661">
        <v>10</v>
      </c>
      <c r="AA39" s="661">
        <v>10</v>
      </c>
    </row>
    <row r="40" spans="1:27" ht="12.75">
      <c r="A40" s="661" t="s">
        <v>286</v>
      </c>
      <c r="B40" s="669" t="s">
        <v>293</v>
      </c>
      <c r="C40" s="667" t="s">
        <v>293</v>
      </c>
      <c r="D40" s="667" t="s">
        <v>293</v>
      </c>
      <c r="E40" s="669" t="s">
        <v>293</v>
      </c>
      <c r="F40" s="667" t="s">
        <v>293</v>
      </c>
      <c r="G40" s="667" t="s">
        <v>293</v>
      </c>
      <c r="H40" s="669" t="s">
        <v>293</v>
      </c>
      <c r="I40" s="669" t="s">
        <v>293</v>
      </c>
      <c r="J40" s="669" t="s">
        <v>293</v>
      </c>
      <c r="K40" s="669" t="s">
        <v>293</v>
      </c>
      <c r="L40" s="667" t="s">
        <v>293</v>
      </c>
      <c r="M40" s="667" t="s">
        <v>293</v>
      </c>
      <c r="N40" s="669" t="s">
        <v>293</v>
      </c>
      <c r="O40" s="667" t="s">
        <v>293</v>
      </c>
      <c r="P40" s="667" t="s">
        <v>293</v>
      </c>
      <c r="Q40" s="669" t="s">
        <v>293</v>
      </c>
      <c r="R40" s="667" t="s">
        <v>293</v>
      </c>
      <c r="S40" s="669" t="s">
        <v>293</v>
      </c>
      <c r="T40" s="667" t="s">
        <v>293</v>
      </c>
      <c r="U40" s="667" t="s">
        <v>293</v>
      </c>
      <c r="V40" s="667" t="s">
        <v>293</v>
      </c>
      <c r="W40" s="667" t="s">
        <v>293</v>
      </c>
      <c r="X40" s="669" t="s">
        <v>293</v>
      </c>
      <c r="Y40" s="667" t="s">
        <v>293</v>
      </c>
      <c r="Z40" s="667" t="s">
        <v>293</v>
      </c>
      <c r="AA40" s="667" t="s">
        <v>293</v>
      </c>
    </row>
    <row r="41" spans="1:27" ht="12.75">
      <c r="A41" s="705" t="s">
        <v>287</v>
      </c>
      <c r="B41" s="666">
        <v>0.5</v>
      </c>
      <c r="C41" s="704">
        <v>0.5</v>
      </c>
      <c r="D41" s="704">
        <v>1</v>
      </c>
      <c r="E41" s="666">
        <v>1</v>
      </c>
      <c r="F41" s="704">
        <v>1</v>
      </c>
      <c r="G41" s="704">
        <v>1</v>
      </c>
      <c r="H41" s="666">
        <v>1</v>
      </c>
      <c r="I41" s="666">
        <v>1</v>
      </c>
      <c r="J41" s="666">
        <v>1</v>
      </c>
      <c r="K41" s="666">
        <v>1</v>
      </c>
      <c r="L41" s="704">
        <v>0.5</v>
      </c>
      <c r="M41" s="704">
        <v>1</v>
      </c>
      <c r="N41" s="666">
        <v>1</v>
      </c>
      <c r="O41" s="704">
        <v>0.5</v>
      </c>
      <c r="P41" s="704">
        <v>1</v>
      </c>
      <c r="Q41" s="666">
        <v>2.5</v>
      </c>
      <c r="R41" s="704">
        <v>0.5</v>
      </c>
      <c r="S41" s="666">
        <v>0.5</v>
      </c>
      <c r="T41" s="704">
        <v>1</v>
      </c>
      <c r="U41" s="704">
        <v>1</v>
      </c>
      <c r="V41" s="704">
        <v>0.5</v>
      </c>
      <c r="W41" s="704">
        <v>1</v>
      </c>
      <c r="X41" s="666">
        <v>0.5</v>
      </c>
      <c r="Y41" s="704">
        <v>1</v>
      </c>
      <c r="Z41" s="704">
        <v>0.5</v>
      </c>
      <c r="AA41" s="704">
        <v>1</v>
      </c>
    </row>
    <row r="42" spans="1:27" ht="12.75">
      <c r="A42" s="661" t="s">
        <v>606</v>
      </c>
      <c r="B42" s="666">
        <v>3</v>
      </c>
      <c r="C42" s="704">
        <v>3</v>
      </c>
      <c r="D42" s="704">
        <v>3</v>
      </c>
      <c r="E42" s="666">
        <v>3</v>
      </c>
      <c r="F42" s="704">
        <v>3</v>
      </c>
      <c r="G42" s="704">
        <v>3</v>
      </c>
      <c r="H42" s="666">
        <v>3</v>
      </c>
      <c r="I42" s="666">
        <v>3</v>
      </c>
      <c r="J42" s="666">
        <v>3</v>
      </c>
      <c r="K42" s="666">
        <v>3</v>
      </c>
      <c r="L42" s="704">
        <v>3</v>
      </c>
      <c r="M42" s="704">
        <v>3</v>
      </c>
      <c r="N42" s="666">
        <v>3</v>
      </c>
      <c r="O42" s="704">
        <v>3</v>
      </c>
      <c r="P42" s="704">
        <v>3</v>
      </c>
      <c r="Q42" s="666">
        <v>3</v>
      </c>
      <c r="R42" s="704">
        <v>1</v>
      </c>
      <c r="S42" s="666">
        <v>3</v>
      </c>
      <c r="T42" s="704">
        <v>3</v>
      </c>
      <c r="U42" s="704">
        <v>3</v>
      </c>
      <c r="V42" s="704">
        <v>3</v>
      </c>
      <c r="W42" s="704">
        <v>3</v>
      </c>
      <c r="X42" s="666">
        <v>3</v>
      </c>
      <c r="Y42" s="704">
        <v>3</v>
      </c>
      <c r="Z42" s="704">
        <v>3</v>
      </c>
      <c r="AA42" s="704">
        <v>3</v>
      </c>
    </row>
    <row r="43" spans="1:27" ht="12.75">
      <c r="A43" s="661" t="s">
        <v>289</v>
      </c>
      <c r="B43" s="669" t="s">
        <v>324</v>
      </c>
      <c r="C43" s="667" t="s">
        <v>324</v>
      </c>
      <c r="D43" s="667" t="s">
        <v>324</v>
      </c>
      <c r="E43" s="669" t="s">
        <v>324</v>
      </c>
      <c r="F43" s="667" t="s">
        <v>328</v>
      </c>
      <c r="G43" s="667" t="s">
        <v>328</v>
      </c>
      <c r="H43" s="669" t="s">
        <v>324</v>
      </c>
      <c r="I43" s="669" t="s">
        <v>324</v>
      </c>
      <c r="J43" s="669" t="s">
        <v>328</v>
      </c>
      <c r="K43" s="669" t="s">
        <v>324</v>
      </c>
      <c r="L43" s="667" t="s">
        <v>324</v>
      </c>
      <c r="M43" s="667" t="s">
        <v>324</v>
      </c>
      <c r="N43" s="669" t="s">
        <v>328</v>
      </c>
      <c r="O43" s="667" t="s">
        <v>328</v>
      </c>
      <c r="P43" s="667" t="s">
        <v>328</v>
      </c>
      <c r="Q43" s="669" t="s">
        <v>328</v>
      </c>
      <c r="R43" s="667" t="s">
        <v>324</v>
      </c>
      <c r="S43" s="669" t="s">
        <v>324</v>
      </c>
      <c r="T43" s="667" t="s">
        <v>328</v>
      </c>
      <c r="U43" s="667" t="s">
        <v>328</v>
      </c>
      <c r="V43" s="667" t="s">
        <v>328</v>
      </c>
      <c r="W43" s="667" t="s">
        <v>328</v>
      </c>
      <c r="X43" s="669" t="s">
        <v>324</v>
      </c>
      <c r="Y43" s="667" t="s">
        <v>328</v>
      </c>
      <c r="Z43" s="667" t="s">
        <v>324</v>
      </c>
      <c r="AA43" s="667" t="s">
        <v>324</v>
      </c>
    </row>
    <row r="44" spans="1:27" ht="25.5">
      <c r="A44" s="682" t="s">
        <v>607</v>
      </c>
      <c r="B44" s="666">
        <v>4</v>
      </c>
      <c r="C44" s="666">
        <v>4</v>
      </c>
      <c r="D44" s="666">
        <v>4</v>
      </c>
      <c r="E44" s="666">
        <v>4</v>
      </c>
      <c r="F44" s="666">
        <v>4</v>
      </c>
      <c r="G44" s="666">
        <v>4</v>
      </c>
      <c r="H44" s="666">
        <v>4</v>
      </c>
      <c r="I44" s="666">
        <v>4</v>
      </c>
      <c r="J44" s="666">
        <v>4</v>
      </c>
      <c r="K44" s="666">
        <v>4</v>
      </c>
      <c r="L44" s="666">
        <v>4</v>
      </c>
      <c r="M44" s="666">
        <v>4</v>
      </c>
      <c r="N44" s="666">
        <v>4</v>
      </c>
      <c r="O44" s="666">
        <v>4</v>
      </c>
      <c r="P44" s="704">
        <v>4</v>
      </c>
      <c r="Q44" s="704">
        <v>4</v>
      </c>
      <c r="R44" s="666">
        <v>12</v>
      </c>
      <c r="S44" s="666">
        <v>4</v>
      </c>
      <c r="T44" s="666">
        <v>4</v>
      </c>
      <c r="U44" s="666">
        <v>4</v>
      </c>
      <c r="V44" s="704">
        <v>4</v>
      </c>
      <c r="W44" s="666">
        <v>4</v>
      </c>
      <c r="X44" s="666">
        <v>4</v>
      </c>
      <c r="Y44" s="666">
        <v>4</v>
      </c>
      <c r="Z44" s="666">
        <v>4</v>
      </c>
      <c r="AA44" s="666">
        <v>4</v>
      </c>
    </row>
    <row r="45" spans="1:27" ht="12.75">
      <c r="A45" s="682" t="s">
        <v>608</v>
      </c>
      <c r="B45" s="666">
        <v>1800</v>
      </c>
      <c r="C45" s="666">
        <v>1800</v>
      </c>
      <c r="D45" s="666">
        <v>1800</v>
      </c>
      <c r="E45" s="666">
        <v>1800</v>
      </c>
      <c r="F45" s="666">
        <v>1800</v>
      </c>
      <c r="G45" s="666">
        <v>1800</v>
      </c>
      <c r="H45" s="666">
        <v>1800</v>
      </c>
      <c r="I45" s="666">
        <v>1800</v>
      </c>
      <c r="J45" s="666">
        <v>1800</v>
      </c>
      <c r="K45" s="666">
        <v>1800</v>
      </c>
      <c r="L45" s="666">
        <v>1800</v>
      </c>
      <c r="M45" s="666">
        <v>1800</v>
      </c>
      <c r="N45" s="666">
        <v>1800</v>
      </c>
      <c r="O45" s="666">
        <v>1800</v>
      </c>
      <c r="P45" s="666">
        <v>1800</v>
      </c>
      <c r="Q45" s="666">
        <v>1800</v>
      </c>
      <c r="R45" s="666">
        <v>2600</v>
      </c>
      <c r="S45" s="666">
        <v>1800</v>
      </c>
      <c r="T45" s="666">
        <v>1800</v>
      </c>
      <c r="U45" s="666">
        <v>1800</v>
      </c>
      <c r="V45" s="666">
        <v>1800</v>
      </c>
      <c r="W45" s="666">
        <v>1800</v>
      </c>
      <c r="X45" s="666">
        <v>1800</v>
      </c>
      <c r="Y45" s="666">
        <v>1800</v>
      </c>
      <c r="Z45" s="666">
        <v>1800</v>
      </c>
      <c r="AA45" s="666">
        <v>1800</v>
      </c>
    </row>
    <row r="46" spans="1:27" ht="12.75">
      <c r="A46" s="661" t="s">
        <v>609</v>
      </c>
      <c r="B46" s="666">
        <v>5.0000000000000001E-4</v>
      </c>
      <c r="C46" s="666">
        <v>5.0000000000000001E-4</v>
      </c>
      <c r="D46" s="666">
        <v>5.4999999999999997E-3</v>
      </c>
      <c r="E46" s="666">
        <v>3.5000000000000001E-3</v>
      </c>
      <c r="F46" s="666">
        <v>5.4999999999999997E-3</v>
      </c>
      <c r="G46" s="666">
        <v>5.4999999999999997E-3</v>
      </c>
      <c r="H46" s="666">
        <v>2.5000000000000001E-3</v>
      </c>
      <c r="I46" s="666">
        <v>2.5000000000000001E-3</v>
      </c>
      <c r="J46" s="666">
        <v>2.5000000000000001E-3</v>
      </c>
      <c r="K46" s="666">
        <v>2.5000000000000001E-3</v>
      </c>
      <c r="L46" s="666">
        <v>2.5000000000000001E-3</v>
      </c>
      <c r="M46" s="666">
        <v>0.01</v>
      </c>
      <c r="N46" s="666">
        <v>1.5E-3</v>
      </c>
      <c r="O46" s="666">
        <v>1.5E-3</v>
      </c>
      <c r="P46" s="704">
        <v>4.0000000000000001E-3</v>
      </c>
      <c r="Q46" s="666">
        <v>4.1000000000000003E-3</v>
      </c>
      <c r="R46" s="666">
        <v>4.0000000000000002E-4</v>
      </c>
      <c r="S46" s="666">
        <v>5.0000000000000001E-4</v>
      </c>
      <c r="T46" s="666">
        <v>4.4999999999999997E-3</v>
      </c>
      <c r="U46" s="666">
        <v>1.6000000000000001E-3</v>
      </c>
      <c r="V46" s="704">
        <v>7.0000000000000001E-3</v>
      </c>
      <c r="W46" s="666">
        <v>1.6000000000000001E-3</v>
      </c>
      <c r="X46" s="666">
        <v>5.0000000000000001E-4</v>
      </c>
      <c r="Y46" s="666">
        <v>2.5000000000000001E-3</v>
      </c>
      <c r="Z46" s="666">
        <v>1.5E-3</v>
      </c>
      <c r="AA46" s="666">
        <v>4.4999999999999997E-3</v>
      </c>
    </row>
    <row r="47" spans="1:27" ht="12.75">
      <c r="A47" s="661" t="s">
        <v>611</v>
      </c>
      <c r="B47" s="666">
        <v>5.3100000000000001E-2</v>
      </c>
      <c r="C47" s="666">
        <v>5.3100000000000001E-2</v>
      </c>
      <c r="D47" s="666">
        <v>6.3100000000000003E-2</v>
      </c>
      <c r="E47" s="666">
        <v>6.5100000000000005E-2</v>
      </c>
      <c r="F47" s="666">
        <v>6.3100000000000003E-2</v>
      </c>
      <c r="G47" s="666">
        <v>6.3100000000000003E-2</v>
      </c>
      <c r="H47" s="666">
        <v>4.0599999999999997E-2</v>
      </c>
      <c r="I47" s="666">
        <v>4.0599999999999997E-2</v>
      </c>
      <c r="J47" s="666">
        <v>4.0599999999999997E-2</v>
      </c>
      <c r="K47" s="666">
        <v>4.0599999999999997E-2</v>
      </c>
      <c r="L47" s="666">
        <v>4.9099999999999998E-2</v>
      </c>
      <c r="M47" s="666">
        <v>5.0000000000000001E-3</v>
      </c>
      <c r="N47" s="666">
        <v>3.1600000000000003E-2</v>
      </c>
      <c r="O47" s="666">
        <v>4.9599999999999998E-2</v>
      </c>
      <c r="P47" s="666">
        <v>4.8599999999999997E-2</v>
      </c>
      <c r="Q47" s="666">
        <v>3.8600000000000002E-2</v>
      </c>
      <c r="R47" s="666">
        <v>2E-3</v>
      </c>
      <c r="S47" s="666">
        <v>5.3100000000000001E-2</v>
      </c>
      <c r="T47" s="666">
        <v>4.6600000000000003E-2</v>
      </c>
      <c r="U47" s="666">
        <v>3.9600000000000003E-2</v>
      </c>
      <c r="V47" s="704">
        <v>4.5100000000000001E-2</v>
      </c>
      <c r="W47" s="666">
        <v>3.9600000000000003E-2</v>
      </c>
      <c r="X47" s="666">
        <v>5.3100000000000001E-2</v>
      </c>
      <c r="Y47" s="666">
        <v>4.0599999999999997E-2</v>
      </c>
      <c r="Z47" s="666">
        <v>5.7099999999999998E-2</v>
      </c>
      <c r="AA47" s="666">
        <v>3.8100000000000002E-2</v>
      </c>
    </row>
    <row r="48" spans="1:27" ht="12.75">
      <c r="A48" s="661" t="s">
        <v>613</v>
      </c>
      <c r="B48" s="666">
        <v>1</v>
      </c>
      <c r="C48" s="666">
        <v>1</v>
      </c>
      <c r="D48" s="666">
        <v>1</v>
      </c>
      <c r="E48" s="666">
        <v>1</v>
      </c>
      <c r="F48" s="666">
        <v>1</v>
      </c>
      <c r="G48" s="666">
        <v>1</v>
      </c>
      <c r="H48" s="666">
        <v>1</v>
      </c>
      <c r="I48" s="666">
        <v>1</v>
      </c>
      <c r="J48" s="666">
        <v>1</v>
      </c>
      <c r="K48" s="666">
        <v>1</v>
      </c>
      <c r="L48" s="666">
        <v>1</v>
      </c>
      <c r="M48" s="666">
        <v>0.5</v>
      </c>
      <c r="N48" s="666">
        <v>1</v>
      </c>
      <c r="O48" s="666">
        <v>1</v>
      </c>
      <c r="P48" s="704">
        <v>1</v>
      </c>
      <c r="Q48" s="704">
        <v>1</v>
      </c>
      <c r="R48" s="666">
        <v>0.7</v>
      </c>
      <c r="S48" s="666">
        <v>1</v>
      </c>
      <c r="T48" s="666">
        <v>1</v>
      </c>
      <c r="U48" s="666">
        <v>1</v>
      </c>
      <c r="V48" s="704">
        <v>1</v>
      </c>
      <c r="W48" s="666">
        <v>1</v>
      </c>
      <c r="X48" s="666">
        <v>1</v>
      </c>
      <c r="Y48" s="666">
        <v>1</v>
      </c>
      <c r="Z48" s="666">
        <v>1</v>
      </c>
      <c r="AA48" s="666">
        <v>1</v>
      </c>
    </row>
    <row r="49" spans="1:27" ht="12.75">
      <c r="A49" s="661" t="s">
        <v>615</v>
      </c>
      <c r="B49" s="666">
        <v>6.9999999999999999E-4</v>
      </c>
      <c r="C49" s="666">
        <v>6.9999999999999999E-4</v>
      </c>
      <c r="D49" s="666">
        <v>1.1999999999999999E-3</v>
      </c>
      <c r="E49" s="666">
        <v>1E-3</v>
      </c>
      <c r="F49" s="666">
        <v>1.1999999999999999E-3</v>
      </c>
      <c r="G49" s="666">
        <v>1.1999999999999999E-3</v>
      </c>
      <c r="H49" s="666">
        <v>5.9999999999999995E-4</v>
      </c>
      <c r="I49" s="666">
        <v>5.9999999999999995E-4</v>
      </c>
      <c r="J49" s="666">
        <v>5.9999999999999995E-4</v>
      </c>
      <c r="K49" s="666">
        <v>5.9999999999999995E-4</v>
      </c>
      <c r="L49" s="666">
        <v>5.9999999999999995E-4</v>
      </c>
      <c r="M49" s="666">
        <v>2E-3</v>
      </c>
      <c r="N49" s="666">
        <v>5.0000000000000001E-4</v>
      </c>
      <c r="O49" s="666">
        <v>5.0000000000000001E-4</v>
      </c>
      <c r="P49" s="666">
        <v>6.9999999999999999E-4</v>
      </c>
      <c r="Q49" s="666">
        <v>6.9999999999999999E-4</v>
      </c>
      <c r="R49" s="666">
        <v>5.9999999999999995E-4</v>
      </c>
      <c r="S49" s="666">
        <v>6.9999999999999999E-4</v>
      </c>
      <c r="T49" s="666">
        <v>8.9999999999999998E-4</v>
      </c>
      <c r="U49" s="666">
        <v>5.0000000000000001E-4</v>
      </c>
      <c r="V49" s="704">
        <v>1.0999999999999999E-2</v>
      </c>
      <c r="W49" s="666">
        <v>5.0000000000000001E-4</v>
      </c>
      <c r="X49" s="666">
        <v>6.9999999999999999E-4</v>
      </c>
      <c r="Y49" s="666">
        <v>5.9999999999999995E-4</v>
      </c>
      <c r="Z49" s="666">
        <v>4.0000000000000002E-4</v>
      </c>
      <c r="AA49" s="666">
        <v>6.9999999999999999E-4</v>
      </c>
    </row>
    <row r="50" spans="1:27" ht="24" customHeight="1">
      <c r="A50" s="707" t="s">
        <v>617</v>
      </c>
      <c r="B50" s="756"/>
      <c r="C50" s="756"/>
      <c r="D50" s="708"/>
      <c r="E50" s="708"/>
      <c r="F50" s="708"/>
      <c r="G50" s="708"/>
      <c r="H50" s="708"/>
      <c r="I50" s="708"/>
      <c r="J50" s="708"/>
      <c r="K50" s="708"/>
      <c r="L50" s="708"/>
      <c r="M50" s="708"/>
      <c r="N50" s="708"/>
      <c r="O50" s="708"/>
      <c r="P50" s="708"/>
      <c r="Q50" s="708"/>
      <c r="R50" s="708"/>
      <c r="S50" s="708"/>
      <c r="T50" s="708"/>
      <c r="U50" s="708"/>
      <c r="V50" s="708"/>
      <c r="W50" s="708"/>
      <c r="X50" s="756"/>
      <c r="Y50" s="708"/>
      <c r="Z50" s="708"/>
      <c r="AA50" s="708"/>
    </row>
    <row r="51" spans="1:27" ht="15.75" customHeight="1">
      <c r="A51" s="661" t="s">
        <v>618</v>
      </c>
      <c r="B51" s="704">
        <f t="shared" ref="B51:C51" si="9">90*0.11</f>
        <v>9.9</v>
      </c>
      <c r="C51" s="704">
        <f t="shared" si="9"/>
        <v>9.9</v>
      </c>
      <c r="D51" s="666">
        <f>90*0.17</f>
        <v>15.3</v>
      </c>
      <c r="E51" s="666">
        <f>90*0.11</f>
        <v>9.9</v>
      </c>
      <c r="F51" s="704">
        <f t="shared" ref="F51:G51" si="10">90*0.17</f>
        <v>15.3</v>
      </c>
      <c r="G51" s="704">
        <f t="shared" si="10"/>
        <v>15.3</v>
      </c>
      <c r="H51" s="704">
        <f t="shared" ref="H51:K51" si="11">90*0.18</f>
        <v>16.2</v>
      </c>
      <c r="I51" s="704">
        <f t="shared" si="11"/>
        <v>16.2</v>
      </c>
      <c r="J51" s="666">
        <f t="shared" si="11"/>
        <v>16.2</v>
      </c>
      <c r="K51" s="704">
        <f t="shared" si="11"/>
        <v>16.2</v>
      </c>
      <c r="L51" s="704">
        <f>90*0.11</f>
        <v>9.9</v>
      </c>
      <c r="M51" s="704">
        <f>90*0.16</f>
        <v>14.4</v>
      </c>
      <c r="N51" s="666">
        <f>90*0.22</f>
        <v>19.8</v>
      </c>
      <c r="O51" s="704">
        <f>90*0.18</f>
        <v>16.2</v>
      </c>
      <c r="P51" s="704">
        <f>90*0.12</f>
        <v>10.799999999999999</v>
      </c>
      <c r="Q51" s="666">
        <f>90*0.142232</f>
        <v>12.800879999999999</v>
      </c>
      <c r="R51" s="667" t="s">
        <v>293</v>
      </c>
      <c r="S51" s="666">
        <f>90*0.11</f>
        <v>9.9</v>
      </c>
      <c r="T51" s="704">
        <f>90*0.17</f>
        <v>15.3</v>
      </c>
      <c r="U51" s="704">
        <f>90*0.356</f>
        <v>32.04</v>
      </c>
      <c r="V51" s="704">
        <f>90*0.18</f>
        <v>16.2</v>
      </c>
      <c r="W51" s="704">
        <f>90*0.356</f>
        <v>32.04</v>
      </c>
      <c r="X51" s="666">
        <f>90*0.11</f>
        <v>9.9</v>
      </c>
      <c r="Y51" s="704">
        <f>90*0.18</f>
        <v>16.2</v>
      </c>
      <c r="Z51" s="704">
        <f>90*0.09</f>
        <v>8.1</v>
      </c>
      <c r="AA51" s="704">
        <f>90*0.18</f>
        <v>16.2</v>
      </c>
    </row>
    <row r="52" spans="1:27" ht="15.75" customHeight="1">
      <c r="A52" s="661" t="s">
        <v>707</v>
      </c>
      <c r="B52" s="704">
        <v>10.4</v>
      </c>
      <c r="C52" s="704">
        <v>10.4</v>
      </c>
      <c r="D52" s="666">
        <v>19.8</v>
      </c>
      <c r="E52" s="666">
        <v>10.6</v>
      </c>
      <c r="F52" s="704">
        <v>19.8</v>
      </c>
      <c r="G52" s="704">
        <v>19.8</v>
      </c>
      <c r="H52" s="704">
        <v>17.600000000000001</v>
      </c>
      <c r="I52" s="704">
        <v>17.600000000000001</v>
      </c>
      <c r="J52" s="666">
        <v>17.600000000000001</v>
      </c>
      <c r="K52" s="704">
        <v>17.600000000000001</v>
      </c>
      <c r="L52" s="704">
        <v>10.7</v>
      </c>
      <c r="M52" s="704"/>
      <c r="N52" s="666">
        <v>18.7</v>
      </c>
      <c r="O52" s="704">
        <v>21.9</v>
      </c>
      <c r="P52" s="704">
        <v>10.9</v>
      </c>
      <c r="Q52" s="666">
        <v>10.278700000000001</v>
      </c>
      <c r="R52" s="667"/>
      <c r="S52" s="666">
        <v>10.4</v>
      </c>
      <c r="T52" s="704">
        <v>31</v>
      </c>
      <c r="U52" s="704">
        <v>27.354299999999999</v>
      </c>
      <c r="V52" s="704">
        <v>15.5</v>
      </c>
      <c r="W52" s="704">
        <v>27.354299999999999</v>
      </c>
      <c r="X52" s="666">
        <v>10.4</v>
      </c>
      <c r="Y52" s="704">
        <v>17.600000000000001</v>
      </c>
      <c r="Z52" s="704">
        <v>11</v>
      </c>
      <c r="AA52" s="704">
        <v>18.5</v>
      </c>
    </row>
    <row r="53" spans="1:27" ht="15.75" customHeight="1">
      <c r="A53" s="661" t="s">
        <v>621</v>
      </c>
      <c r="B53" s="704">
        <v>1.4</v>
      </c>
      <c r="C53" s="704">
        <v>1.4</v>
      </c>
      <c r="D53" s="666">
        <v>1.4</v>
      </c>
      <c r="E53" s="666">
        <v>1.4</v>
      </c>
      <c r="F53" s="704">
        <v>1.4</v>
      </c>
      <c r="G53" s="704">
        <v>1.4</v>
      </c>
      <c r="H53" s="704">
        <v>1.4</v>
      </c>
      <c r="I53" s="704">
        <v>1.4</v>
      </c>
      <c r="J53" s="666">
        <v>1.4</v>
      </c>
      <c r="K53" s="704">
        <v>1.4</v>
      </c>
      <c r="L53" s="704">
        <v>1.4</v>
      </c>
      <c r="M53" s="704">
        <v>1.4</v>
      </c>
      <c r="N53" s="666">
        <v>1.4</v>
      </c>
      <c r="O53" s="704">
        <v>1.25</v>
      </c>
      <c r="P53" s="704">
        <v>1.3</v>
      </c>
      <c r="Q53" s="666">
        <v>1.3</v>
      </c>
      <c r="R53" s="667" t="s">
        <v>293</v>
      </c>
      <c r="S53" s="666">
        <v>1.4</v>
      </c>
      <c r="T53" s="704">
        <v>1.4</v>
      </c>
      <c r="U53" s="704">
        <v>1.45</v>
      </c>
      <c r="V53" s="704">
        <v>1.4</v>
      </c>
      <c r="W53" s="704">
        <v>1.45</v>
      </c>
      <c r="X53" s="666">
        <v>1.4</v>
      </c>
      <c r="Y53" s="704">
        <v>1.4</v>
      </c>
      <c r="Z53" s="704">
        <v>1.4</v>
      </c>
      <c r="AA53" s="704">
        <v>1.4</v>
      </c>
    </row>
    <row r="54" spans="1:27" ht="15.75" customHeight="1">
      <c r="A54" s="661" t="s">
        <v>622</v>
      </c>
      <c r="B54" s="669" t="s">
        <v>293</v>
      </c>
      <c r="C54" s="669" t="s">
        <v>293</v>
      </c>
      <c r="D54" s="669" t="s">
        <v>293</v>
      </c>
      <c r="E54" s="669" t="s">
        <v>293</v>
      </c>
      <c r="F54" s="669" t="s">
        <v>293</v>
      </c>
      <c r="G54" s="669" t="s">
        <v>293</v>
      </c>
      <c r="H54" s="669" t="s">
        <v>293</v>
      </c>
      <c r="I54" s="669" t="s">
        <v>293</v>
      </c>
      <c r="J54" s="669" t="s">
        <v>293</v>
      </c>
      <c r="K54" s="669" t="s">
        <v>293</v>
      </c>
      <c r="L54" s="669" t="s">
        <v>293</v>
      </c>
      <c r="M54" s="669" t="s">
        <v>293</v>
      </c>
      <c r="N54" s="669" t="s">
        <v>293</v>
      </c>
      <c r="O54" s="669" t="s">
        <v>293</v>
      </c>
      <c r="P54" s="669" t="s">
        <v>293</v>
      </c>
      <c r="Q54" s="669" t="s">
        <v>293</v>
      </c>
      <c r="R54" s="669" t="s">
        <v>293</v>
      </c>
      <c r="S54" s="669" t="s">
        <v>293</v>
      </c>
      <c r="T54" s="669" t="s">
        <v>293</v>
      </c>
      <c r="U54" s="669" t="s">
        <v>293</v>
      </c>
      <c r="V54" s="669" t="s">
        <v>293</v>
      </c>
      <c r="W54" s="669" t="s">
        <v>293</v>
      </c>
      <c r="X54" s="669" t="s">
        <v>293</v>
      </c>
      <c r="Y54" s="669" t="s">
        <v>293</v>
      </c>
      <c r="Z54" s="669" t="s">
        <v>293</v>
      </c>
      <c r="AA54" s="669" t="s">
        <v>293</v>
      </c>
    </row>
    <row r="55" spans="1:27" ht="15.75" customHeight="1">
      <c r="A55" s="661" t="s">
        <v>623</v>
      </c>
      <c r="B55" s="661">
        <v>1000</v>
      </c>
      <c r="C55" s="661">
        <v>1000</v>
      </c>
      <c r="D55" s="663">
        <v>1000</v>
      </c>
      <c r="E55" s="663">
        <v>1000</v>
      </c>
      <c r="F55" s="661">
        <v>1000</v>
      </c>
      <c r="G55" s="661">
        <v>1000</v>
      </c>
      <c r="H55" s="661">
        <v>1000</v>
      </c>
      <c r="I55" s="661">
        <v>1000</v>
      </c>
      <c r="J55" s="663">
        <v>1000</v>
      </c>
      <c r="K55" s="661">
        <v>1000</v>
      </c>
      <c r="L55" s="661">
        <v>1000</v>
      </c>
      <c r="M55" s="661">
        <v>1000</v>
      </c>
      <c r="N55" s="663">
        <v>1000</v>
      </c>
      <c r="O55" s="667" t="s">
        <v>293</v>
      </c>
      <c r="P55" s="661">
        <v>1000</v>
      </c>
      <c r="Q55" s="669" t="s">
        <v>293</v>
      </c>
      <c r="R55" s="661">
        <v>1000</v>
      </c>
      <c r="S55" s="663">
        <v>800</v>
      </c>
      <c r="T55" s="661">
        <v>1000</v>
      </c>
      <c r="U55" s="669" t="s">
        <v>293</v>
      </c>
      <c r="V55" s="667" t="s">
        <v>293</v>
      </c>
      <c r="W55" s="667" t="s">
        <v>293</v>
      </c>
      <c r="X55" s="663">
        <v>1000</v>
      </c>
      <c r="Y55" s="661">
        <v>1000</v>
      </c>
      <c r="Z55" s="661">
        <v>1000</v>
      </c>
      <c r="AA55" s="661">
        <v>1000</v>
      </c>
    </row>
    <row r="56" spans="1:27" ht="15.75" customHeight="1">
      <c r="A56" s="661" t="s">
        <v>624</v>
      </c>
      <c r="B56" s="663">
        <v>1.7</v>
      </c>
      <c r="C56" s="661">
        <v>1.7</v>
      </c>
      <c r="D56" s="661">
        <v>2.5</v>
      </c>
      <c r="E56" s="663">
        <v>2.5</v>
      </c>
      <c r="F56" s="661">
        <v>2.5</v>
      </c>
      <c r="G56" s="661">
        <v>2.5</v>
      </c>
      <c r="H56" s="663">
        <v>2.5</v>
      </c>
      <c r="I56" s="663">
        <v>2.5</v>
      </c>
      <c r="J56" s="663">
        <v>2.5</v>
      </c>
      <c r="K56" s="663">
        <v>2.5</v>
      </c>
      <c r="L56" s="661">
        <v>1.7</v>
      </c>
      <c r="M56" s="661">
        <v>2.4</v>
      </c>
      <c r="N56" s="663">
        <v>2.4</v>
      </c>
      <c r="O56" s="661">
        <v>2.5</v>
      </c>
      <c r="P56" s="661">
        <v>3.4</v>
      </c>
      <c r="Q56" s="663">
        <v>3.4</v>
      </c>
      <c r="R56" s="661">
        <v>2.4</v>
      </c>
      <c r="S56" s="663">
        <v>1.7</v>
      </c>
      <c r="T56" s="661">
        <v>2.5</v>
      </c>
      <c r="U56" s="661">
        <v>3</v>
      </c>
      <c r="V56" s="661">
        <v>2.7</v>
      </c>
      <c r="W56" s="661">
        <v>3</v>
      </c>
      <c r="X56" s="663">
        <v>1.7</v>
      </c>
      <c r="Y56" s="661">
        <v>2.5</v>
      </c>
      <c r="Z56" s="661">
        <v>1.7</v>
      </c>
      <c r="AA56" s="661">
        <v>2.1</v>
      </c>
    </row>
    <row r="57" spans="1:27" ht="15.75" customHeight="1">
      <c r="A57" s="661" t="s">
        <v>625</v>
      </c>
      <c r="B57" s="663">
        <v>10</v>
      </c>
      <c r="C57" s="661">
        <v>10</v>
      </c>
      <c r="D57" s="661">
        <v>18</v>
      </c>
      <c r="E57" s="663">
        <v>18</v>
      </c>
      <c r="F57" s="661">
        <v>18</v>
      </c>
      <c r="G57" s="661">
        <v>18</v>
      </c>
      <c r="H57" s="663">
        <v>18</v>
      </c>
      <c r="I57" s="663">
        <v>18</v>
      </c>
      <c r="J57" s="663">
        <v>18</v>
      </c>
      <c r="K57" s="663">
        <v>18</v>
      </c>
      <c r="L57" s="661">
        <v>9</v>
      </c>
      <c r="M57" s="661">
        <v>16</v>
      </c>
      <c r="N57" s="663">
        <v>16</v>
      </c>
      <c r="O57" s="661">
        <v>10</v>
      </c>
      <c r="P57" s="661">
        <v>7</v>
      </c>
      <c r="Q57" s="663">
        <v>20</v>
      </c>
      <c r="R57" s="661">
        <v>2</v>
      </c>
      <c r="S57" s="663">
        <v>9</v>
      </c>
      <c r="T57" s="661">
        <v>10</v>
      </c>
      <c r="U57" s="661">
        <v>16</v>
      </c>
      <c r="V57" s="661">
        <v>18</v>
      </c>
      <c r="W57" s="661">
        <v>10</v>
      </c>
      <c r="X57" s="663">
        <v>10</v>
      </c>
      <c r="Y57" s="661">
        <v>18</v>
      </c>
      <c r="Z57" s="661">
        <v>10</v>
      </c>
      <c r="AA57" s="661">
        <v>20</v>
      </c>
    </row>
    <row r="58" spans="1:27" ht="15.75" customHeight="1">
      <c r="A58" s="661" t="s">
        <v>626</v>
      </c>
      <c r="B58" s="667" t="s">
        <v>293</v>
      </c>
      <c r="C58" s="667" t="s">
        <v>293</v>
      </c>
      <c r="D58" s="667" t="s">
        <v>293</v>
      </c>
      <c r="E58" s="667" t="s">
        <v>293</v>
      </c>
      <c r="F58" s="667" t="s">
        <v>293</v>
      </c>
      <c r="G58" s="667" t="s">
        <v>293</v>
      </c>
      <c r="H58" s="667" t="s">
        <v>293</v>
      </c>
      <c r="I58" s="667" t="s">
        <v>293</v>
      </c>
      <c r="J58" s="667" t="s">
        <v>293</v>
      </c>
      <c r="K58" s="667" t="s">
        <v>293</v>
      </c>
      <c r="L58" s="667" t="s">
        <v>293</v>
      </c>
      <c r="M58" s="667" t="s">
        <v>293</v>
      </c>
      <c r="N58" s="667" t="s">
        <v>293</v>
      </c>
      <c r="O58" s="667" t="s">
        <v>293</v>
      </c>
      <c r="P58" s="667" t="s">
        <v>293</v>
      </c>
      <c r="Q58" s="667" t="s">
        <v>293</v>
      </c>
      <c r="R58" s="667" t="s">
        <v>293</v>
      </c>
      <c r="S58" s="667" t="s">
        <v>293</v>
      </c>
      <c r="T58" s="667" t="s">
        <v>293</v>
      </c>
      <c r="U58" s="667" t="s">
        <v>293</v>
      </c>
      <c r="V58" s="661">
        <v>0.5</v>
      </c>
      <c r="W58" s="667" t="s">
        <v>293</v>
      </c>
      <c r="X58" s="667" t="s">
        <v>293</v>
      </c>
      <c r="Y58" s="667" t="s">
        <v>293</v>
      </c>
      <c r="Z58" s="667" t="s">
        <v>293</v>
      </c>
      <c r="AA58" s="667" t="s">
        <v>293</v>
      </c>
    </row>
    <row r="59" spans="1:27" ht="15.75" customHeight="1">
      <c r="A59" s="661" t="s">
        <v>627</v>
      </c>
      <c r="B59" s="667" t="s">
        <v>293</v>
      </c>
      <c r="C59" s="667" t="s">
        <v>293</v>
      </c>
      <c r="D59" s="667" t="s">
        <v>293</v>
      </c>
      <c r="E59" s="667" t="s">
        <v>293</v>
      </c>
      <c r="F59" s="667" t="s">
        <v>293</v>
      </c>
      <c r="G59" s="667" t="s">
        <v>293</v>
      </c>
      <c r="H59" s="667" t="s">
        <v>293</v>
      </c>
      <c r="I59" s="667" t="s">
        <v>293</v>
      </c>
      <c r="J59" s="667" t="s">
        <v>293</v>
      </c>
      <c r="K59" s="667" t="s">
        <v>293</v>
      </c>
      <c r="L59" s="667" t="s">
        <v>293</v>
      </c>
      <c r="M59" s="667" t="s">
        <v>293</v>
      </c>
      <c r="N59" s="667" t="s">
        <v>293</v>
      </c>
      <c r="O59" s="667" t="s">
        <v>293</v>
      </c>
      <c r="P59" s="667" t="s">
        <v>293</v>
      </c>
      <c r="Q59" s="667" t="s">
        <v>293</v>
      </c>
      <c r="R59" s="667" t="s">
        <v>293</v>
      </c>
      <c r="S59" s="667" t="s">
        <v>293</v>
      </c>
      <c r="T59" s="667" t="s">
        <v>293</v>
      </c>
      <c r="U59" s="667" t="s">
        <v>293</v>
      </c>
      <c r="V59" s="667" t="s">
        <v>293</v>
      </c>
      <c r="W59" s="667" t="s">
        <v>293</v>
      </c>
      <c r="X59" s="667" t="s">
        <v>293</v>
      </c>
      <c r="Y59" s="667" t="s">
        <v>293</v>
      </c>
      <c r="Z59" s="667" t="s">
        <v>293</v>
      </c>
      <c r="AA59" s="667" t="s">
        <v>293</v>
      </c>
    </row>
    <row r="60" spans="1:27" ht="15.75" customHeight="1">
      <c r="A60" s="661" t="s">
        <v>628</v>
      </c>
      <c r="B60" s="667" t="s">
        <v>293</v>
      </c>
      <c r="C60" s="667" t="s">
        <v>293</v>
      </c>
      <c r="D60" s="667" t="s">
        <v>293</v>
      </c>
      <c r="E60" s="667" t="s">
        <v>293</v>
      </c>
      <c r="F60" s="667" t="s">
        <v>293</v>
      </c>
      <c r="G60" s="667" t="s">
        <v>293</v>
      </c>
      <c r="H60" s="667" t="s">
        <v>293</v>
      </c>
      <c r="I60" s="667" t="s">
        <v>293</v>
      </c>
      <c r="J60" s="667" t="s">
        <v>293</v>
      </c>
      <c r="K60" s="667" t="s">
        <v>293</v>
      </c>
      <c r="L60" s="667" t="s">
        <v>293</v>
      </c>
      <c r="M60" s="667" t="s">
        <v>293</v>
      </c>
      <c r="N60" s="667" t="s">
        <v>293</v>
      </c>
      <c r="O60" s="667" t="s">
        <v>293</v>
      </c>
      <c r="P60" s="667" t="s">
        <v>293</v>
      </c>
      <c r="Q60" s="667" t="s">
        <v>293</v>
      </c>
      <c r="R60" s="667" t="s">
        <v>293</v>
      </c>
      <c r="S60" s="667" t="s">
        <v>293</v>
      </c>
      <c r="T60" s="667" t="s">
        <v>293</v>
      </c>
      <c r="U60" s="667" t="s">
        <v>293</v>
      </c>
      <c r="V60" s="661">
        <v>2.5</v>
      </c>
      <c r="W60" s="667" t="s">
        <v>293</v>
      </c>
      <c r="X60" s="667" t="s">
        <v>293</v>
      </c>
      <c r="Y60" s="667" t="s">
        <v>293</v>
      </c>
      <c r="Z60" s="667" t="s">
        <v>293</v>
      </c>
      <c r="AA60" s="667" t="s">
        <v>293</v>
      </c>
    </row>
    <row r="61" spans="1:27" ht="15.75" customHeight="1">
      <c r="A61" s="661" t="s">
        <v>629</v>
      </c>
      <c r="B61" s="661">
        <v>30</v>
      </c>
      <c r="C61" s="661">
        <v>30</v>
      </c>
      <c r="D61" s="661">
        <v>30</v>
      </c>
      <c r="E61" s="661">
        <v>30</v>
      </c>
      <c r="F61" s="661">
        <v>30</v>
      </c>
      <c r="G61" s="661">
        <v>30</v>
      </c>
      <c r="H61" s="661">
        <v>30</v>
      </c>
      <c r="I61" s="661">
        <v>30</v>
      </c>
      <c r="J61" s="661">
        <v>30</v>
      </c>
      <c r="K61" s="661">
        <v>30</v>
      </c>
      <c r="L61" s="661">
        <v>30</v>
      </c>
      <c r="M61" s="661">
        <v>30</v>
      </c>
      <c r="N61" s="661">
        <v>30</v>
      </c>
      <c r="O61" s="661">
        <v>30</v>
      </c>
      <c r="P61" s="661">
        <v>30</v>
      </c>
      <c r="Q61" s="661">
        <v>30</v>
      </c>
      <c r="R61" s="661">
        <v>30</v>
      </c>
      <c r="S61" s="661">
        <v>30</v>
      </c>
      <c r="T61" s="661">
        <v>30</v>
      </c>
      <c r="U61" s="661">
        <v>30</v>
      </c>
      <c r="V61" s="661">
        <v>30</v>
      </c>
      <c r="W61" s="661">
        <v>30</v>
      </c>
      <c r="X61" s="661">
        <v>30</v>
      </c>
      <c r="Y61" s="661">
        <v>30</v>
      </c>
      <c r="Z61" s="661">
        <v>30</v>
      </c>
      <c r="AA61" s="661">
        <v>30</v>
      </c>
    </row>
    <row r="62" spans="1:27" ht="15.75" customHeight="1">
      <c r="A62" s="661" t="s">
        <v>630</v>
      </c>
      <c r="B62" s="663">
        <v>12</v>
      </c>
      <c r="C62" s="661">
        <v>12</v>
      </c>
      <c r="D62" s="661">
        <v>18</v>
      </c>
      <c r="E62" s="663">
        <v>18</v>
      </c>
      <c r="F62" s="661">
        <v>18</v>
      </c>
      <c r="G62" s="661">
        <v>18</v>
      </c>
      <c r="H62" s="663">
        <v>18</v>
      </c>
      <c r="I62" s="663">
        <v>18</v>
      </c>
      <c r="J62" s="663">
        <v>18</v>
      </c>
      <c r="K62" s="663">
        <v>18</v>
      </c>
      <c r="L62" s="661">
        <v>11</v>
      </c>
      <c r="M62" s="661">
        <v>15</v>
      </c>
      <c r="N62" s="663">
        <v>15</v>
      </c>
      <c r="O62" s="661">
        <v>15</v>
      </c>
      <c r="P62" s="661">
        <v>8</v>
      </c>
      <c r="Q62" s="663">
        <v>20</v>
      </c>
      <c r="R62" s="661">
        <v>3</v>
      </c>
      <c r="S62" s="663">
        <v>11</v>
      </c>
      <c r="T62" s="661">
        <v>18</v>
      </c>
      <c r="U62" s="661">
        <v>18</v>
      </c>
      <c r="V62" s="661">
        <v>18</v>
      </c>
      <c r="W62" s="661">
        <v>18</v>
      </c>
      <c r="X62" s="663">
        <v>12</v>
      </c>
      <c r="Y62" s="661">
        <v>18</v>
      </c>
      <c r="Z62" s="661">
        <v>12</v>
      </c>
      <c r="AA62" s="661">
        <v>12</v>
      </c>
    </row>
    <row r="63" spans="1:27" ht="15.75" customHeight="1">
      <c r="A63" s="661" t="s">
        <v>631</v>
      </c>
      <c r="B63" s="663">
        <v>11</v>
      </c>
      <c r="C63" s="661">
        <v>11</v>
      </c>
      <c r="D63" s="661">
        <v>18</v>
      </c>
      <c r="E63" s="663">
        <v>11</v>
      </c>
      <c r="F63" s="661">
        <v>18</v>
      </c>
      <c r="G63" s="661">
        <v>18</v>
      </c>
      <c r="H63" s="663">
        <v>20</v>
      </c>
      <c r="I63" s="663">
        <v>20</v>
      </c>
      <c r="J63" s="663">
        <v>20</v>
      </c>
      <c r="K63" s="663">
        <v>20</v>
      </c>
      <c r="L63" s="661">
        <v>11</v>
      </c>
      <c r="M63" s="661">
        <v>15</v>
      </c>
      <c r="N63" s="663">
        <v>20</v>
      </c>
      <c r="O63" s="661">
        <v>30</v>
      </c>
      <c r="P63" s="661">
        <v>15</v>
      </c>
      <c r="Q63" s="663">
        <v>12</v>
      </c>
      <c r="R63" s="667" t="s">
        <v>293</v>
      </c>
      <c r="S63" s="663">
        <v>11</v>
      </c>
      <c r="T63" s="661">
        <v>30</v>
      </c>
      <c r="U63" s="661">
        <v>35</v>
      </c>
      <c r="V63" s="661">
        <v>15</v>
      </c>
      <c r="W63" s="661">
        <v>35</v>
      </c>
      <c r="X63" s="663">
        <v>11</v>
      </c>
      <c r="Y63" s="661">
        <v>20</v>
      </c>
      <c r="Z63" s="661">
        <v>11</v>
      </c>
      <c r="AA63" s="661">
        <v>18</v>
      </c>
    </row>
    <row r="64" spans="1:27" ht="15.75" customHeight="1">
      <c r="A64" s="661" t="s">
        <v>632</v>
      </c>
      <c r="B64" s="663">
        <v>10</v>
      </c>
      <c r="C64" s="661">
        <v>10</v>
      </c>
      <c r="D64" s="661">
        <v>18</v>
      </c>
      <c r="E64" s="663">
        <v>10</v>
      </c>
      <c r="F64" s="661">
        <v>18</v>
      </c>
      <c r="G64" s="661">
        <v>18</v>
      </c>
      <c r="H64" s="663">
        <v>20</v>
      </c>
      <c r="I64" s="663">
        <v>20</v>
      </c>
      <c r="J64" s="663">
        <v>20</v>
      </c>
      <c r="K64" s="663">
        <v>20</v>
      </c>
      <c r="L64" s="661">
        <v>10</v>
      </c>
      <c r="M64" s="661">
        <v>15</v>
      </c>
      <c r="N64" s="663">
        <v>20</v>
      </c>
      <c r="O64" s="661">
        <v>30</v>
      </c>
      <c r="P64" s="661">
        <v>15</v>
      </c>
      <c r="Q64" s="663">
        <v>12</v>
      </c>
      <c r="R64" s="661">
        <v>20</v>
      </c>
      <c r="S64" s="663">
        <v>10</v>
      </c>
      <c r="T64" s="661">
        <v>30</v>
      </c>
      <c r="U64" s="661">
        <v>35</v>
      </c>
      <c r="V64" s="661">
        <v>15</v>
      </c>
      <c r="W64" s="661">
        <v>35</v>
      </c>
      <c r="X64" s="663">
        <v>10</v>
      </c>
      <c r="Y64" s="661">
        <v>20</v>
      </c>
      <c r="Z64" s="661">
        <v>11</v>
      </c>
      <c r="AA64" s="661">
        <v>18</v>
      </c>
    </row>
    <row r="65" spans="1:27" ht="15.75" customHeight="1">
      <c r="A65" s="661" t="s">
        <v>633</v>
      </c>
      <c r="B65" s="669" t="s">
        <v>324</v>
      </c>
      <c r="C65" s="667" t="s">
        <v>324</v>
      </c>
      <c r="D65" s="667" t="s">
        <v>324</v>
      </c>
      <c r="E65" s="669" t="s">
        <v>324</v>
      </c>
      <c r="F65" s="667" t="s">
        <v>324</v>
      </c>
      <c r="G65" s="667" t="s">
        <v>324</v>
      </c>
      <c r="H65" s="669" t="s">
        <v>324</v>
      </c>
      <c r="I65" s="669" t="s">
        <v>324</v>
      </c>
      <c r="J65" s="669" t="s">
        <v>324</v>
      </c>
      <c r="K65" s="669" t="s">
        <v>324</v>
      </c>
      <c r="L65" s="667" t="s">
        <v>324</v>
      </c>
      <c r="M65" s="667" t="s">
        <v>324</v>
      </c>
      <c r="N65" s="669" t="s">
        <v>324</v>
      </c>
      <c r="O65" s="667" t="s">
        <v>324</v>
      </c>
      <c r="P65" s="667" t="s">
        <v>324</v>
      </c>
      <c r="Q65" s="669" t="s">
        <v>324</v>
      </c>
      <c r="R65" s="667" t="s">
        <v>328</v>
      </c>
      <c r="S65" s="669" t="s">
        <v>324</v>
      </c>
      <c r="T65" s="667" t="s">
        <v>324</v>
      </c>
      <c r="U65" s="667" t="s">
        <v>324</v>
      </c>
      <c r="V65" s="667" t="s">
        <v>324</v>
      </c>
      <c r="W65" s="667" t="s">
        <v>324</v>
      </c>
      <c r="X65" s="669" t="s">
        <v>324</v>
      </c>
      <c r="Y65" s="667" t="s">
        <v>324</v>
      </c>
      <c r="Z65" s="667" t="s">
        <v>324</v>
      </c>
      <c r="AA65" s="667" t="s">
        <v>324</v>
      </c>
    </row>
    <row r="66" spans="1:27" ht="15.75" customHeight="1">
      <c r="A66" s="661" t="s">
        <v>634</v>
      </c>
      <c r="B66" s="669" t="s">
        <v>293</v>
      </c>
      <c r="C66" s="721" t="s">
        <v>293</v>
      </c>
      <c r="D66" s="667" t="s">
        <v>293</v>
      </c>
      <c r="E66" s="669" t="s">
        <v>293</v>
      </c>
      <c r="F66" s="667" t="s">
        <v>293</v>
      </c>
      <c r="G66" s="667" t="s">
        <v>293</v>
      </c>
      <c r="H66" s="669" t="s">
        <v>293</v>
      </c>
      <c r="I66" s="669" t="s">
        <v>293</v>
      </c>
      <c r="J66" s="669" t="s">
        <v>293</v>
      </c>
      <c r="K66" s="669" t="s">
        <v>293</v>
      </c>
      <c r="L66" s="721" t="s">
        <v>293</v>
      </c>
      <c r="M66" s="721" t="s">
        <v>293</v>
      </c>
      <c r="N66" s="717" t="s">
        <v>293</v>
      </c>
      <c r="O66" s="721" t="s">
        <v>293</v>
      </c>
      <c r="P66" s="721" t="s">
        <v>293</v>
      </c>
      <c r="Q66" s="717" t="s">
        <v>293</v>
      </c>
      <c r="R66" s="661">
        <f>0.05*90</f>
        <v>4.5</v>
      </c>
      <c r="S66" s="717" t="s">
        <v>293</v>
      </c>
      <c r="T66" s="721" t="s">
        <v>293</v>
      </c>
      <c r="U66" s="721" t="s">
        <v>293</v>
      </c>
      <c r="V66" s="721" t="s">
        <v>293</v>
      </c>
      <c r="W66" s="721" t="s">
        <v>293</v>
      </c>
      <c r="X66" s="669" t="s">
        <v>293</v>
      </c>
      <c r="Y66" s="667" t="s">
        <v>293</v>
      </c>
      <c r="Z66" s="721" t="s">
        <v>293</v>
      </c>
      <c r="AA66" s="721" t="s">
        <v>293</v>
      </c>
    </row>
    <row r="67" spans="1:27" ht="83.25" customHeight="1">
      <c r="A67" s="722" t="s">
        <v>635</v>
      </c>
      <c r="B67" s="723"/>
      <c r="C67" s="723"/>
      <c r="D67" s="723"/>
      <c r="E67" s="723"/>
      <c r="F67" s="723"/>
      <c r="G67" s="723"/>
      <c r="H67" s="723"/>
      <c r="I67" s="723" t="s">
        <v>708</v>
      </c>
      <c r="J67" s="723" t="s">
        <v>709</v>
      </c>
      <c r="K67" s="723" t="s">
        <v>710</v>
      </c>
      <c r="L67" s="723"/>
      <c r="M67" s="723"/>
      <c r="N67" s="723"/>
      <c r="O67" s="723"/>
      <c r="P67" s="723"/>
      <c r="Q67" s="723"/>
      <c r="R67" s="723"/>
      <c r="S67" s="723"/>
      <c r="T67" s="723"/>
      <c r="U67" s="723" t="s">
        <v>711</v>
      </c>
      <c r="V67" s="723"/>
      <c r="W67" s="723"/>
      <c r="X67" s="749" t="s">
        <v>712</v>
      </c>
      <c r="Y67" s="757" t="s">
        <v>713</v>
      </c>
      <c r="Z67" s="723"/>
      <c r="AA67" s="723"/>
    </row>
    <row r="68" spans="1:27">
      <c r="A68" s="727"/>
      <c r="B68" s="751"/>
      <c r="C68" s="661"/>
      <c r="D68" s="754"/>
      <c r="E68" s="751"/>
      <c r="F68" s="754"/>
      <c r="G68" s="754"/>
      <c r="H68" s="751"/>
      <c r="I68" s="751"/>
      <c r="J68" s="663"/>
      <c r="K68" s="751"/>
      <c r="L68" s="661"/>
      <c r="M68" s="661"/>
      <c r="N68" s="663"/>
      <c r="O68" s="661"/>
      <c r="P68" s="661"/>
      <c r="Q68" s="663"/>
      <c r="R68" s="661"/>
      <c r="S68" s="663"/>
      <c r="T68" s="661"/>
      <c r="U68" s="661"/>
      <c r="V68" s="661"/>
      <c r="W68" s="661"/>
      <c r="X68" s="663"/>
      <c r="Y68" s="661"/>
      <c r="Z68" s="661"/>
      <c r="AA68" s="661"/>
    </row>
    <row r="69" spans="1:27" ht="36" customHeight="1">
      <c r="A69" s="729"/>
      <c r="B69" s="752"/>
      <c r="C69" s="661"/>
      <c r="D69" s="758"/>
      <c r="E69" s="752"/>
      <c r="F69" s="758"/>
      <c r="G69" s="758"/>
      <c r="H69" s="752"/>
      <c r="I69" s="752"/>
      <c r="J69" s="663"/>
      <c r="K69" s="752"/>
      <c r="L69" s="661"/>
      <c r="M69" s="661"/>
      <c r="N69" s="663"/>
      <c r="O69" s="661"/>
      <c r="P69" s="661"/>
      <c r="Q69" s="663"/>
      <c r="R69" s="661"/>
      <c r="S69" s="663"/>
      <c r="T69" s="661"/>
      <c r="U69" s="661"/>
      <c r="V69" s="661"/>
      <c r="W69" s="661"/>
      <c r="X69" s="663"/>
      <c r="Y69" s="661"/>
      <c r="Z69" s="661"/>
      <c r="AA69" s="661"/>
    </row>
    <row r="70" spans="1:27" ht="53.25" customHeight="1">
      <c r="A70" s="682"/>
      <c r="B70" s="751"/>
      <c r="C70" s="661"/>
      <c r="D70" s="754"/>
      <c r="E70" s="751"/>
      <c r="F70" s="754"/>
      <c r="G70" s="754"/>
      <c r="H70" s="751"/>
      <c r="I70" s="751"/>
      <c r="J70" s="663"/>
      <c r="K70" s="751"/>
      <c r="L70" s="661"/>
      <c r="M70" s="661"/>
      <c r="N70" s="663"/>
      <c r="O70" s="661"/>
      <c r="P70" s="661"/>
      <c r="Q70" s="663"/>
      <c r="R70" s="661"/>
      <c r="S70" s="663"/>
      <c r="T70" s="661"/>
      <c r="U70" s="661"/>
      <c r="V70" s="661"/>
      <c r="W70" s="661"/>
      <c r="X70" s="663"/>
      <c r="Y70" s="661"/>
      <c r="Z70" s="661"/>
      <c r="AA70" s="661"/>
    </row>
    <row r="71" spans="1:27" ht="67.5" customHeight="1">
      <c r="A71" s="730"/>
      <c r="B71" s="663"/>
      <c r="C71" s="661"/>
      <c r="D71" s="661"/>
      <c r="E71" s="663"/>
      <c r="F71" s="661"/>
      <c r="G71" s="661"/>
      <c r="H71" s="663"/>
      <c r="I71" s="663"/>
      <c r="J71" s="663"/>
      <c r="K71" s="663"/>
      <c r="L71" s="661"/>
      <c r="M71" s="661"/>
      <c r="N71" s="663"/>
      <c r="O71" s="661"/>
      <c r="P71" s="661"/>
      <c r="Q71" s="663"/>
      <c r="R71" s="661"/>
      <c r="S71" s="663"/>
      <c r="T71" s="661"/>
      <c r="U71" s="661"/>
      <c r="V71" s="661"/>
      <c r="W71" s="661"/>
      <c r="X71" s="663"/>
      <c r="Y71" s="661"/>
      <c r="Z71" s="661"/>
      <c r="AA71" s="661"/>
    </row>
    <row r="72" spans="1:27" ht="82.5" customHeight="1">
      <c r="A72" s="759"/>
      <c r="B72" s="663"/>
      <c r="C72" s="661"/>
      <c r="D72" s="661"/>
      <c r="E72" s="663"/>
      <c r="F72" s="661"/>
      <c r="G72" s="661"/>
      <c r="H72" s="663"/>
      <c r="I72" s="663"/>
      <c r="J72" s="663"/>
      <c r="K72" s="663"/>
      <c r="L72" s="661"/>
      <c r="M72" s="661"/>
      <c r="N72" s="663"/>
      <c r="O72" s="661"/>
      <c r="P72" s="661"/>
      <c r="Q72" s="663"/>
      <c r="R72" s="661"/>
      <c r="S72" s="663"/>
      <c r="T72" s="661"/>
      <c r="U72" s="661"/>
      <c r="V72" s="661"/>
      <c r="W72" s="661"/>
      <c r="X72" s="663"/>
      <c r="Y72" s="661"/>
      <c r="Z72" s="661"/>
      <c r="AA72" s="661"/>
    </row>
    <row r="73" spans="1:27" ht="12.75">
      <c r="A73" s="661"/>
      <c r="B73" s="663"/>
      <c r="C73" s="661"/>
      <c r="D73" s="661"/>
      <c r="E73" s="663"/>
      <c r="F73" s="661"/>
      <c r="G73" s="661"/>
      <c r="H73" s="663"/>
      <c r="I73" s="663"/>
      <c r="J73" s="663"/>
      <c r="K73" s="663"/>
      <c r="L73" s="661"/>
      <c r="M73" s="661"/>
      <c r="N73" s="663"/>
      <c r="O73" s="661"/>
      <c r="P73" s="661"/>
      <c r="Q73" s="663"/>
      <c r="R73" s="661"/>
      <c r="S73" s="663"/>
      <c r="T73" s="661"/>
      <c r="U73" s="661"/>
      <c r="V73" s="661"/>
      <c r="W73" s="661"/>
      <c r="X73" s="663"/>
      <c r="Y73" s="661"/>
      <c r="Z73" s="661"/>
      <c r="AA73" s="661"/>
    </row>
    <row r="74" spans="1:27" ht="12.75">
      <c r="A74" s="661"/>
      <c r="B74" s="663"/>
      <c r="C74" s="661"/>
      <c r="D74" s="661"/>
      <c r="E74" s="663"/>
      <c r="F74" s="661"/>
      <c r="G74" s="661"/>
      <c r="H74" s="663"/>
      <c r="I74" s="663"/>
      <c r="J74" s="663"/>
      <c r="K74" s="663"/>
      <c r="L74" s="661"/>
      <c r="M74" s="661"/>
      <c r="N74" s="663"/>
      <c r="O74" s="661"/>
      <c r="P74" s="661"/>
      <c r="Q74" s="663"/>
      <c r="R74" s="661"/>
      <c r="S74" s="663"/>
      <c r="T74" s="661"/>
      <c r="U74" s="661"/>
      <c r="V74" s="661"/>
      <c r="W74" s="661"/>
      <c r="X74" s="663"/>
      <c r="Y74" s="661"/>
      <c r="Z74" s="661"/>
      <c r="AA74" s="661"/>
    </row>
    <row r="75" spans="1:27" ht="12.75">
      <c r="A75" s="661"/>
      <c r="B75" s="663"/>
      <c r="C75" s="661"/>
      <c r="D75" s="661"/>
      <c r="E75" s="663"/>
      <c r="F75" s="661"/>
      <c r="G75" s="661"/>
      <c r="H75" s="663"/>
      <c r="I75" s="663"/>
      <c r="J75" s="663"/>
      <c r="K75" s="663"/>
      <c r="L75" s="661"/>
      <c r="M75" s="661"/>
      <c r="N75" s="663"/>
      <c r="O75" s="661"/>
      <c r="P75" s="661"/>
      <c r="Q75" s="663"/>
      <c r="R75" s="661"/>
      <c r="S75" s="663"/>
      <c r="T75" s="661"/>
      <c r="U75" s="661"/>
      <c r="V75" s="661"/>
      <c r="W75" s="661"/>
      <c r="X75" s="663"/>
      <c r="Y75" s="661"/>
      <c r="Z75" s="661"/>
      <c r="AA75" s="661"/>
    </row>
    <row r="76" spans="1:27" ht="12.75">
      <c r="A76" s="661"/>
      <c r="B76" s="663"/>
      <c r="C76" s="661"/>
      <c r="D76" s="661"/>
      <c r="E76" s="663"/>
      <c r="F76" s="661"/>
      <c r="G76" s="661"/>
      <c r="H76" s="663"/>
      <c r="I76" s="663"/>
      <c r="J76" s="663"/>
      <c r="K76" s="663"/>
      <c r="L76" s="661"/>
      <c r="M76" s="661"/>
      <c r="N76" s="663"/>
      <c r="O76" s="661"/>
      <c r="P76" s="661"/>
      <c r="Q76" s="663"/>
      <c r="R76" s="661"/>
      <c r="S76" s="663"/>
      <c r="T76" s="661"/>
      <c r="U76" s="661"/>
      <c r="V76" s="661"/>
      <c r="W76" s="661"/>
      <c r="X76" s="663"/>
      <c r="Y76" s="661"/>
      <c r="Z76" s="661"/>
      <c r="AA76" s="661"/>
    </row>
    <row r="77" spans="1:27" ht="12.75">
      <c r="A77" s="661"/>
      <c r="B77" s="663"/>
      <c r="C77" s="661"/>
      <c r="D77" s="661"/>
      <c r="E77" s="663"/>
      <c r="F77" s="661"/>
      <c r="G77" s="661"/>
      <c r="H77" s="663"/>
      <c r="I77" s="663"/>
      <c r="J77" s="663"/>
      <c r="K77" s="663"/>
      <c r="L77" s="661"/>
      <c r="M77" s="661"/>
      <c r="N77" s="663"/>
      <c r="O77" s="661"/>
      <c r="P77" s="661"/>
      <c r="Q77" s="663"/>
      <c r="R77" s="661"/>
      <c r="S77" s="663"/>
      <c r="T77" s="661"/>
      <c r="U77" s="661"/>
      <c r="V77" s="661"/>
      <c r="W77" s="661"/>
      <c r="X77" s="663"/>
      <c r="Y77" s="661"/>
      <c r="Z77" s="661"/>
      <c r="AA77" s="661"/>
    </row>
  </sheetData>
  <conditionalFormatting sqref="A1:AA1 A3:AA7 A9:AA19 A21:AA25 A27:AA49 A51:A71 B51:AA77 A73:A77">
    <cfRule type="expression" dxfId="3" priority="1">
      <formula>ISODD(COLUMN())</formula>
    </cfRule>
    <cfRule type="expression" dxfId="2" priority="2">
      <formula>ISEVEN(COLUMN())</formula>
    </cfRule>
  </conditionalFormatting>
  <pageMargins left="0.7" right="0.7" top="0.75" bottom="0.75" header="0.3" footer="0.3"/>
  <drawing r:id="rId1"/>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80000"/>
    <outlinePr summaryBelow="0" summaryRight="0"/>
  </sheetPr>
  <dimension ref="A1:R10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75" customHeight="1"/>
  <cols>
    <col min="1" max="1" width="40.42578125" customWidth="1"/>
    <col min="2" max="2" width="16.5703125" customWidth="1"/>
    <col min="3" max="3" width="17.140625" customWidth="1"/>
    <col min="4" max="5" width="19.28515625" customWidth="1"/>
    <col min="6" max="7" width="13.42578125" customWidth="1"/>
    <col min="8" max="8" width="13.5703125" customWidth="1"/>
    <col min="9" max="10" width="17.42578125" customWidth="1"/>
    <col min="11" max="14" width="13.42578125" customWidth="1"/>
    <col min="15" max="15" width="15.42578125" customWidth="1"/>
    <col min="16" max="16" width="16.7109375" customWidth="1"/>
    <col min="17" max="18" width="13.42578125" customWidth="1"/>
  </cols>
  <sheetData>
    <row r="1" spans="1:18" ht="35.25" customHeight="1">
      <c r="A1" s="651" t="s">
        <v>551</v>
      </c>
      <c r="B1" s="652" t="s">
        <v>714</v>
      </c>
      <c r="C1" s="652" t="s">
        <v>715</v>
      </c>
      <c r="D1" s="653" t="s">
        <v>374</v>
      </c>
      <c r="E1" s="653" t="s">
        <v>375</v>
      </c>
      <c r="F1" s="653" t="s">
        <v>716</v>
      </c>
      <c r="G1" s="653" t="s">
        <v>717</v>
      </c>
      <c r="H1" s="653" t="s">
        <v>377</v>
      </c>
      <c r="I1" s="653" t="s">
        <v>718</v>
      </c>
      <c r="J1" s="653" t="s">
        <v>379</v>
      </c>
      <c r="K1" s="653" t="s">
        <v>719</v>
      </c>
      <c r="L1" s="653" t="s">
        <v>720</v>
      </c>
      <c r="M1" s="653" t="s">
        <v>721</v>
      </c>
      <c r="N1" s="653" t="s">
        <v>381</v>
      </c>
      <c r="O1" s="653" t="s">
        <v>382</v>
      </c>
      <c r="P1" s="653" t="s">
        <v>383</v>
      </c>
      <c r="Q1" s="653" t="s">
        <v>384</v>
      </c>
      <c r="R1" s="653" t="s">
        <v>722</v>
      </c>
    </row>
    <row r="2" spans="1:18" ht="151.5" customHeight="1">
      <c r="A2" s="656" t="s">
        <v>562</v>
      </c>
      <c r="B2" s="657"/>
      <c r="C2" s="657"/>
      <c r="D2" s="657"/>
      <c r="E2" s="657"/>
      <c r="F2" s="732"/>
      <c r="G2" s="732"/>
      <c r="H2" s="732"/>
      <c r="I2" s="732"/>
      <c r="J2" s="732"/>
      <c r="K2" s="760"/>
      <c r="L2" s="659"/>
      <c r="M2" s="760"/>
      <c r="N2" s="760"/>
      <c r="O2" s="732"/>
      <c r="P2" s="659"/>
      <c r="Q2" s="760"/>
      <c r="R2" s="732"/>
    </row>
    <row r="3" spans="1:18" ht="12.75">
      <c r="A3" s="661" t="s">
        <v>563</v>
      </c>
      <c r="B3" s="661">
        <v>443.613</v>
      </c>
      <c r="C3" s="661">
        <v>443.613</v>
      </c>
      <c r="D3" s="733">
        <v>463</v>
      </c>
      <c r="E3" s="733">
        <v>637.29729999999995</v>
      </c>
      <c r="F3" s="733">
        <v>147.87</v>
      </c>
      <c r="G3" s="733">
        <v>147.87</v>
      </c>
      <c r="H3" s="733">
        <v>157</v>
      </c>
      <c r="I3" s="733">
        <v>177</v>
      </c>
      <c r="J3" s="733">
        <v>190</v>
      </c>
      <c r="K3" s="733">
        <v>177</v>
      </c>
      <c r="L3" s="733">
        <v>198</v>
      </c>
      <c r="M3" s="733">
        <v>198</v>
      </c>
      <c r="N3" s="733">
        <v>112</v>
      </c>
      <c r="O3" s="733">
        <v>120</v>
      </c>
      <c r="P3" s="733">
        <v>118</v>
      </c>
      <c r="Q3" s="733">
        <v>222</v>
      </c>
      <c r="R3" s="733">
        <v>147.87</v>
      </c>
    </row>
    <row r="4" spans="1:18" ht="12.75">
      <c r="A4" s="661" t="s">
        <v>564</v>
      </c>
      <c r="B4" s="704">
        <v>273.06299999999999</v>
      </c>
      <c r="C4" s="704">
        <v>273.06299999999999</v>
      </c>
      <c r="D4" s="733">
        <v>293</v>
      </c>
      <c r="E4" s="733">
        <v>455.29730000000001</v>
      </c>
      <c r="F4" s="733">
        <v>131.75</v>
      </c>
      <c r="G4" s="733">
        <v>131.75</v>
      </c>
      <c r="H4" s="733">
        <v>105.7441</v>
      </c>
      <c r="I4" s="733">
        <v>117</v>
      </c>
      <c r="J4" s="733">
        <v>160</v>
      </c>
      <c r="K4" s="733">
        <v>117</v>
      </c>
      <c r="L4" s="733">
        <v>160</v>
      </c>
      <c r="M4" s="733">
        <v>160</v>
      </c>
      <c r="N4" s="733">
        <v>88.3</v>
      </c>
      <c r="O4" s="733">
        <v>94.94</v>
      </c>
      <c r="P4" s="733">
        <v>92.94</v>
      </c>
      <c r="Q4" s="733">
        <v>175</v>
      </c>
      <c r="R4" s="733">
        <v>131.75</v>
      </c>
    </row>
    <row r="5" spans="1:18" ht="12.75">
      <c r="A5" s="661" t="s">
        <v>565</v>
      </c>
      <c r="B5" s="667" t="s">
        <v>293</v>
      </c>
      <c r="C5" s="667" t="s">
        <v>293</v>
      </c>
      <c r="D5" s="741" t="s">
        <v>293</v>
      </c>
      <c r="E5" s="733">
        <v>342.29730000000001</v>
      </c>
      <c r="F5" s="733">
        <v>101.33</v>
      </c>
      <c r="G5" s="733">
        <v>101.33</v>
      </c>
      <c r="H5" s="741" t="s">
        <v>293</v>
      </c>
      <c r="I5" s="741" t="s">
        <v>293</v>
      </c>
      <c r="J5" s="733">
        <v>120</v>
      </c>
      <c r="K5" s="741" t="s">
        <v>293</v>
      </c>
      <c r="L5" s="733">
        <v>132</v>
      </c>
      <c r="M5" s="733">
        <v>132</v>
      </c>
      <c r="N5" s="733">
        <v>70.099999999999994</v>
      </c>
      <c r="O5" s="733">
        <v>76.75</v>
      </c>
      <c r="P5" s="733">
        <v>74.75</v>
      </c>
      <c r="Q5" s="733">
        <v>155</v>
      </c>
      <c r="R5" s="733">
        <v>101.33</v>
      </c>
    </row>
    <row r="6" spans="1:18" ht="12.75">
      <c r="A6" s="661" t="s">
        <v>566</v>
      </c>
      <c r="B6" s="661">
        <v>380</v>
      </c>
      <c r="C6" s="661">
        <v>380</v>
      </c>
      <c r="D6" s="733">
        <v>380</v>
      </c>
      <c r="E6" s="733">
        <v>370</v>
      </c>
      <c r="F6" s="733">
        <v>177.8</v>
      </c>
      <c r="G6" s="733">
        <v>177.8</v>
      </c>
      <c r="H6" s="733">
        <v>177.8</v>
      </c>
      <c r="I6" s="733">
        <v>200</v>
      </c>
      <c r="J6" s="733">
        <v>200</v>
      </c>
      <c r="K6" s="733">
        <v>200</v>
      </c>
      <c r="L6" s="733">
        <v>203</v>
      </c>
      <c r="M6" s="733">
        <v>203</v>
      </c>
      <c r="N6" s="733">
        <v>165</v>
      </c>
      <c r="O6" s="733">
        <v>160</v>
      </c>
      <c r="P6" s="733">
        <v>160</v>
      </c>
      <c r="Q6" s="733">
        <v>203</v>
      </c>
      <c r="R6" s="733">
        <v>177.8</v>
      </c>
    </row>
    <row r="7" spans="1:18" ht="12.75">
      <c r="A7" s="661" t="s">
        <v>567</v>
      </c>
      <c r="B7" s="661">
        <v>3.96</v>
      </c>
      <c r="C7" s="661">
        <v>3.96</v>
      </c>
      <c r="D7" s="733">
        <v>3.96</v>
      </c>
      <c r="E7" s="733">
        <v>4.25</v>
      </c>
      <c r="F7" s="733">
        <v>3.66</v>
      </c>
      <c r="G7" s="733">
        <v>3.66</v>
      </c>
      <c r="H7" s="733">
        <v>3.66</v>
      </c>
      <c r="I7" s="733">
        <v>3.6</v>
      </c>
      <c r="J7" s="733">
        <v>3.71</v>
      </c>
      <c r="K7" s="733">
        <v>3.6</v>
      </c>
      <c r="L7" s="733">
        <v>3.93</v>
      </c>
      <c r="M7" s="733">
        <v>3.93</v>
      </c>
      <c r="N7" s="733">
        <v>3.1</v>
      </c>
      <c r="O7" s="733">
        <v>3.62</v>
      </c>
      <c r="P7" s="733">
        <v>3.62</v>
      </c>
      <c r="Q7" s="733">
        <v>3.6669999999999998</v>
      </c>
      <c r="R7" s="733">
        <v>3.66</v>
      </c>
    </row>
    <row r="8" spans="1:18" ht="20.25" customHeight="1">
      <c r="A8" s="671" t="s">
        <v>568</v>
      </c>
      <c r="B8" s="672"/>
      <c r="C8" s="672"/>
      <c r="D8" s="674"/>
      <c r="E8" s="674"/>
      <c r="F8" s="674"/>
      <c r="G8" s="674"/>
      <c r="H8" s="674"/>
      <c r="I8" s="674"/>
      <c r="J8" s="674"/>
      <c r="K8" s="674"/>
      <c r="L8" s="674"/>
      <c r="M8" s="674"/>
      <c r="N8" s="674"/>
      <c r="O8" s="674"/>
      <c r="P8" s="674"/>
      <c r="Q8" s="674"/>
      <c r="R8" s="674"/>
    </row>
    <row r="9" spans="1:18" ht="12.75">
      <c r="A9" s="661" t="s">
        <v>569</v>
      </c>
      <c r="B9" s="661">
        <v>14350</v>
      </c>
      <c r="C9" s="661">
        <v>14350</v>
      </c>
      <c r="D9" s="733">
        <v>14350</v>
      </c>
      <c r="E9" s="733">
        <v>83900</v>
      </c>
      <c r="F9" s="733">
        <v>22300</v>
      </c>
      <c r="G9" s="733">
        <v>22300</v>
      </c>
      <c r="H9" s="733">
        <v>15542</v>
      </c>
      <c r="I9" s="733">
        <v>23000</v>
      </c>
      <c r="J9" s="733">
        <v>34500</v>
      </c>
      <c r="K9" s="733">
        <v>23000</v>
      </c>
      <c r="L9" s="733">
        <v>34960</v>
      </c>
      <c r="M9" s="733">
        <v>34960</v>
      </c>
      <c r="N9" s="733">
        <v>20250</v>
      </c>
      <c r="O9" s="733">
        <v>21500</v>
      </c>
      <c r="P9" s="733">
        <v>21500</v>
      </c>
      <c r="Q9" s="733">
        <v>36800</v>
      </c>
      <c r="R9" s="733">
        <v>22300</v>
      </c>
    </row>
    <row r="10" spans="1:18" ht="16.5" customHeight="1">
      <c r="A10" s="661" t="s">
        <v>570</v>
      </c>
      <c r="B10" s="661">
        <v>30</v>
      </c>
      <c r="C10" s="661">
        <v>30</v>
      </c>
      <c r="D10" s="733">
        <v>30</v>
      </c>
      <c r="E10" s="733">
        <v>5</v>
      </c>
      <c r="F10" s="733">
        <v>1.7</v>
      </c>
      <c r="G10" s="733">
        <v>1.7</v>
      </c>
      <c r="H10" s="733">
        <v>7.75</v>
      </c>
      <c r="I10" s="733">
        <v>6</v>
      </c>
      <c r="J10" s="733">
        <v>2</v>
      </c>
      <c r="K10" s="733">
        <v>6</v>
      </c>
      <c r="L10" s="733">
        <v>2.5</v>
      </c>
      <c r="M10" s="733">
        <v>2.5</v>
      </c>
      <c r="N10" s="733">
        <v>2.75</v>
      </c>
      <c r="O10" s="733">
        <v>2.74</v>
      </c>
      <c r="P10" s="733">
        <v>2.74</v>
      </c>
      <c r="Q10" s="733">
        <v>3</v>
      </c>
      <c r="R10" s="733">
        <v>1.7</v>
      </c>
    </row>
    <row r="11" spans="1:18" ht="12.75">
      <c r="A11" s="661" t="str">
        <f>"Raw acceleration at ignition: [m/s"&amp;CHAR(178)&amp;"]"</f>
        <v>Raw acceleration at ignition: [m/s²]</v>
      </c>
      <c r="B11" s="675">
        <f t="shared" ref="B11:R11" si="0">B9/B3</f>
        <v>32.348015049153204</v>
      </c>
      <c r="C11" s="675">
        <f t="shared" si="0"/>
        <v>32.348015049153204</v>
      </c>
      <c r="D11" s="735">
        <f t="shared" si="0"/>
        <v>30.99352051835853</v>
      </c>
      <c r="E11" s="735">
        <f t="shared" si="0"/>
        <v>131.6497025799419</v>
      </c>
      <c r="F11" s="735">
        <f t="shared" si="0"/>
        <v>150.80814228714411</v>
      </c>
      <c r="G11" s="735">
        <f t="shared" si="0"/>
        <v>150.80814228714411</v>
      </c>
      <c r="H11" s="735">
        <f t="shared" si="0"/>
        <v>98.99363057324841</v>
      </c>
      <c r="I11" s="735">
        <f t="shared" si="0"/>
        <v>129.94350282485877</v>
      </c>
      <c r="J11" s="735">
        <f t="shared" si="0"/>
        <v>181.57894736842104</v>
      </c>
      <c r="K11" s="735">
        <f t="shared" si="0"/>
        <v>129.94350282485877</v>
      </c>
      <c r="L11" s="735">
        <f t="shared" si="0"/>
        <v>176.56565656565655</v>
      </c>
      <c r="M11" s="735">
        <f t="shared" si="0"/>
        <v>176.56565656565655</v>
      </c>
      <c r="N11" s="735">
        <f t="shared" si="0"/>
        <v>180.80357142857142</v>
      </c>
      <c r="O11" s="735">
        <f t="shared" si="0"/>
        <v>179.16666666666666</v>
      </c>
      <c r="P11" s="735">
        <f t="shared" si="0"/>
        <v>182.20338983050848</v>
      </c>
      <c r="Q11" s="735">
        <f t="shared" si="0"/>
        <v>165.76576576576576</v>
      </c>
      <c r="R11" s="735">
        <f t="shared" si="0"/>
        <v>150.80814228714411</v>
      </c>
    </row>
    <row r="12" spans="1:18" ht="12.75">
      <c r="A12" s="661" t="s">
        <v>571</v>
      </c>
      <c r="B12" s="678">
        <f t="shared" ref="B12:R12" si="1">B10*B9/(9.81*(B3-B4))</f>
        <v>257.30748782720411</v>
      </c>
      <c r="C12" s="678">
        <f t="shared" si="1"/>
        <v>257.30748782720411</v>
      </c>
      <c r="D12" s="735">
        <f t="shared" si="1"/>
        <v>258.13995322899802</v>
      </c>
      <c r="E12" s="735">
        <f t="shared" si="1"/>
        <v>234.95872119725337</v>
      </c>
      <c r="F12" s="735">
        <f t="shared" si="1"/>
        <v>239.72853952137754</v>
      </c>
      <c r="G12" s="735">
        <f t="shared" si="1"/>
        <v>239.72853952137754</v>
      </c>
      <c r="H12" s="735">
        <f t="shared" si="1"/>
        <v>239.54975778736286</v>
      </c>
      <c r="I12" s="735">
        <f t="shared" si="1"/>
        <v>234.45463812436287</v>
      </c>
      <c r="J12" s="735">
        <f t="shared" si="1"/>
        <v>234.45463812436287</v>
      </c>
      <c r="K12" s="735">
        <f t="shared" si="1"/>
        <v>234.45463812436287</v>
      </c>
      <c r="L12" s="735">
        <f t="shared" si="1"/>
        <v>234.45463812436287</v>
      </c>
      <c r="M12" s="735">
        <f t="shared" si="1"/>
        <v>234.45463812436287</v>
      </c>
      <c r="N12" s="735">
        <f t="shared" si="1"/>
        <v>239.51921960283354</v>
      </c>
      <c r="O12" s="735">
        <f t="shared" si="1"/>
        <v>239.62876456341681</v>
      </c>
      <c r="P12" s="735">
        <f t="shared" si="1"/>
        <v>239.62876456341681</v>
      </c>
      <c r="Q12" s="735">
        <f t="shared" si="1"/>
        <v>239.44303468020038</v>
      </c>
      <c r="R12" s="735">
        <f t="shared" si="1"/>
        <v>239.72853952137754</v>
      </c>
    </row>
    <row r="13" spans="1:18" ht="12.75">
      <c r="A13" s="661" t="s">
        <v>572</v>
      </c>
      <c r="B13" s="678">
        <f t="shared" ref="B13:R13" si="2">B12*9.81*LN(B3/B4)</f>
        <v>1224.8615354647673</v>
      </c>
      <c r="C13" s="678">
        <f t="shared" si="2"/>
        <v>1224.8615354647673</v>
      </c>
      <c r="D13" s="735">
        <f t="shared" si="2"/>
        <v>1158.6893447192724</v>
      </c>
      <c r="E13" s="735">
        <f t="shared" si="2"/>
        <v>775.11995413175191</v>
      </c>
      <c r="F13" s="735">
        <f t="shared" si="2"/>
        <v>271.45470072285178</v>
      </c>
      <c r="G13" s="735">
        <f t="shared" si="2"/>
        <v>271.45470072285178</v>
      </c>
      <c r="H13" s="735">
        <f t="shared" si="2"/>
        <v>928.76921537182454</v>
      </c>
      <c r="I13" s="735">
        <f t="shared" si="2"/>
        <v>952.14433488496798</v>
      </c>
      <c r="J13" s="735">
        <f t="shared" si="2"/>
        <v>395.25559093131625</v>
      </c>
      <c r="K13" s="735">
        <f t="shared" si="2"/>
        <v>952.14433488496798</v>
      </c>
      <c r="L13" s="735">
        <f t="shared" si="2"/>
        <v>490.11439555962926</v>
      </c>
      <c r="M13" s="735">
        <f t="shared" si="2"/>
        <v>490.11439555962926</v>
      </c>
      <c r="N13" s="735">
        <f t="shared" si="2"/>
        <v>558.65785454508318</v>
      </c>
      <c r="O13" s="735">
        <f t="shared" si="2"/>
        <v>550.65718089402515</v>
      </c>
      <c r="P13" s="735">
        <f t="shared" si="2"/>
        <v>561.19767767950236</v>
      </c>
      <c r="Q13" s="735">
        <f t="shared" si="2"/>
        <v>558.79173271369552</v>
      </c>
      <c r="R13" s="735">
        <f t="shared" si="2"/>
        <v>271.45470072285178</v>
      </c>
    </row>
    <row r="14" spans="1:18" ht="18" customHeight="1">
      <c r="A14" s="681" t="s">
        <v>573</v>
      </c>
      <c r="B14" s="741" t="s">
        <v>293</v>
      </c>
      <c r="C14" s="741" t="s">
        <v>293</v>
      </c>
      <c r="D14" s="741" t="s">
        <v>293</v>
      </c>
      <c r="E14" s="733">
        <v>0</v>
      </c>
      <c r="F14" s="733">
        <v>0</v>
      </c>
      <c r="G14" s="733">
        <v>0</v>
      </c>
      <c r="H14" s="733">
        <v>0</v>
      </c>
      <c r="I14" s="741" t="s">
        <v>293</v>
      </c>
      <c r="J14" s="733">
        <v>0</v>
      </c>
      <c r="K14" s="741" t="s">
        <v>293</v>
      </c>
      <c r="L14" s="733">
        <v>0</v>
      </c>
      <c r="M14" s="733">
        <v>0</v>
      </c>
      <c r="N14" s="733">
        <v>0</v>
      </c>
      <c r="O14" s="733">
        <v>0</v>
      </c>
      <c r="P14" s="733">
        <v>0</v>
      </c>
      <c r="Q14" s="733">
        <v>0</v>
      </c>
      <c r="R14" s="733">
        <v>0</v>
      </c>
    </row>
    <row r="15" spans="1:18" ht="16.5" customHeight="1">
      <c r="A15" s="682" t="s">
        <v>574</v>
      </c>
      <c r="B15" s="683" t="s">
        <v>293</v>
      </c>
      <c r="C15" s="683" t="s">
        <v>293</v>
      </c>
      <c r="D15" s="761" t="s">
        <v>293</v>
      </c>
      <c r="E15" s="735">
        <v>12400</v>
      </c>
      <c r="F15" s="735">
        <v>13485</v>
      </c>
      <c r="G15" s="735">
        <v>13485</v>
      </c>
      <c r="H15" s="741" t="s">
        <v>293</v>
      </c>
      <c r="I15" s="745" t="s">
        <v>293</v>
      </c>
      <c r="J15" s="736">
        <v>18400</v>
      </c>
      <c r="K15" s="745" t="s">
        <v>293</v>
      </c>
      <c r="L15" s="736">
        <v>12880</v>
      </c>
      <c r="M15" s="736">
        <v>12880</v>
      </c>
      <c r="N15" s="736">
        <v>10720</v>
      </c>
      <c r="O15" s="736">
        <v>11280</v>
      </c>
      <c r="P15" s="736">
        <v>11280</v>
      </c>
      <c r="Q15" s="736">
        <v>10400</v>
      </c>
      <c r="R15" s="735">
        <v>13485</v>
      </c>
    </row>
    <row r="16" spans="1:18" ht="18" customHeight="1">
      <c r="A16" s="682" t="s">
        <v>575</v>
      </c>
      <c r="B16" s="683" t="s">
        <v>293</v>
      </c>
      <c r="C16" s="683" t="s">
        <v>293</v>
      </c>
      <c r="D16" s="761" t="s">
        <v>293</v>
      </c>
      <c r="E16" s="738">
        <v>21</v>
      </c>
      <c r="F16" s="738">
        <v>5.3</v>
      </c>
      <c r="G16" s="738">
        <v>5.3</v>
      </c>
      <c r="H16" s="741" t="s">
        <v>293</v>
      </c>
      <c r="I16" s="741" t="s">
        <v>293</v>
      </c>
      <c r="J16" s="733">
        <v>5</v>
      </c>
      <c r="K16" s="745" t="s">
        <v>293</v>
      </c>
      <c r="L16" s="736">
        <v>5</v>
      </c>
      <c r="M16" s="736">
        <v>5</v>
      </c>
      <c r="N16" s="736">
        <v>4</v>
      </c>
      <c r="O16" s="735">
        <v>3.79</v>
      </c>
      <c r="P16" s="735">
        <v>3.79</v>
      </c>
      <c r="Q16" s="738">
        <v>4.5</v>
      </c>
      <c r="R16" s="738">
        <v>5.3</v>
      </c>
    </row>
    <row r="17" spans="1:18" ht="18" customHeight="1">
      <c r="A17" s="681" t="s">
        <v>576</v>
      </c>
      <c r="B17" s="683" t="s">
        <v>293</v>
      </c>
      <c r="C17" s="683" t="s">
        <v>293</v>
      </c>
      <c r="D17" s="761" t="s">
        <v>293</v>
      </c>
      <c r="E17" s="735">
        <f t="shared" ref="E17:G17" si="3">E16*E15/(9.81*(E4-E5))</f>
        <v>234.90568590836514</v>
      </c>
      <c r="F17" s="735">
        <f t="shared" si="3"/>
        <v>239.4961869203224</v>
      </c>
      <c r="G17" s="735">
        <f t="shared" si="3"/>
        <v>239.4961869203224</v>
      </c>
      <c r="H17" s="741" t="s">
        <v>293</v>
      </c>
      <c r="I17" s="741" t="s">
        <v>293</v>
      </c>
      <c r="J17" s="733">
        <f>J16*J15/(9.81*(J4-J5))</f>
        <v>234.45463812436287</v>
      </c>
      <c r="K17" s="761" t="s">
        <v>293</v>
      </c>
      <c r="L17" s="735">
        <f t="shared" ref="L17:R17" si="4">L16*L15/(9.81*(L4-L5))</f>
        <v>234.4546381243629</v>
      </c>
      <c r="M17" s="735">
        <f t="shared" si="4"/>
        <v>234.4546381243629</v>
      </c>
      <c r="N17" s="735">
        <f t="shared" si="4"/>
        <v>240.16757961712085</v>
      </c>
      <c r="O17" s="735">
        <f t="shared" si="4"/>
        <v>239.57781689371282</v>
      </c>
      <c r="P17" s="735">
        <f t="shared" si="4"/>
        <v>239.57781689371282</v>
      </c>
      <c r="Q17" s="735">
        <f t="shared" si="4"/>
        <v>238.53211009174311</v>
      </c>
      <c r="R17" s="735">
        <f t="shared" si="4"/>
        <v>239.4961869203224</v>
      </c>
    </row>
    <row r="18" spans="1:18" ht="18" customHeight="1">
      <c r="A18" s="681" t="s">
        <v>577</v>
      </c>
      <c r="B18" s="683" t="s">
        <v>293</v>
      </c>
      <c r="C18" s="683" t="s">
        <v>293</v>
      </c>
      <c r="D18" s="761" t="s">
        <v>293</v>
      </c>
      <c r="E18" s="735">
        <f t="shared" ref="E18:G18" si="5">E17*9.81*LN(E4/E5)</f>
        <v>657.38545616426597</v>
      </c>
      <c r="F18" s="735">
        <f t="shared" si="5"/>
        <v>616.78822991338575</v>
      </c>
      <c r="G18" s="735">
        <f t="shared" si="5"/>
        <v>616.78822991338575</v>
      </c>
      <c r="H18" s="741" t="s">
        <v>293</v>
      </c>
      <c r="I18" s="741" t="s">
        <v>293</v>
      </c>
      <c r="J18" s="733">
        <f>J17*9.81*LN(J4/J5)</f>
        <v>661.66876663909591</v>
      </c>
      <c r="K18" s="761" t="s">
        <v>293</v>
      </c>
      <c r="L18" s="735">
        <f t="shared" ref="L18:R18" si="6">L17*9.81*LN(L4/L5)</f>
        <v>442.45535308914901</v>
      </c>
      <c r="M18" s="735">
        <f t="shared" si="6"/>
        <v>442.45535308914901</v>
      </c>
      <c r="N18" s="735">
        <f t="shared" si="6"/>
        <v>543.81573658541674</v>
      </c>
      <c r="O18" s="735">
        <f t="shared" si="6"/>
        <v>499.88051372238778</v>
      </c>
      <c r="P18" s="735">
        <f t="shared" si="6"/>
        <v>511.89781900201876</v>
      </c>
      <c r="Q18" s="735">
        <f t="shared" si="6"/>
        <v>283.98440538998602</v>
      </c>
      <c r="R18" s="735">
        <f t="shared" si="6"/>
        <v>616.78822991338575</v>
      </c>
    </row>
    <row r="19" spans="1:18" ht="18" customHeight="1">
      <c r="A19" s="681" t="s">
        <v>578</v>
      </c>
      <c r="B19" s="692">
        <f t="shared" ref="B19:R19" si="7">IF(ISNUMBER(B18),B13+B18,B13)</f>
        <v>1224.8615354647673</v>
      </c>
      <c r="C19" s="692">
        <f t="shared" si="7"/>
        <v>1224.8615354647673</v>
      </c>
      <c r="D19" s="735">
        <f t="shared" si="7"/>
        <v>1158.6893447192724</v>
      </c>
      <c r="E19" s="735">
        <f t="shared" si="7"/>
        <v>1432.505410296018</v>
      </c>
      <c r="F19" s="735">
        <f t="shared" si="7"/>
        <v>888.24293063623759</v>
      </c>
      <c r="G19" s="735">
        <f t="shared" si="7"/>
        <v>888.24293063623759</v>
      </c>
      <c r="H19" s="735">
        <f t="shared" si="7"/>
        <v>928.76921537182454</v>
      </c>
      <c r="I19" s="735">
        <f t="shared" si="7"/>
        <v>952.14433488496798</v>
      </c>
      <c r="J19" s="735">
        <f t="shared" si="7"/>
        <v>1056.9243575704122</v>
      </c>
      <c r="K19" s="735">
        <f t="shared" si="7"/>
        <v>952.14433488496798</v>
      </c>
      <c r="L19" s="735">
        <f t="shared" si="7"/>
        <v>932.56974864877827</v>
      </c>
      <c r="M19" s="735">
        <f t="shared" si="7"/>
        <v>932.56974864877827</v>
      </c>
      <c r="N19" s="735">
        <f t="shared" si="7"/>
        <v>1102.4735911304999</v>
      </c>
      <c r="O19" s="735">
        <f t="shared" si="7"/>
        <v>1050.5376946164129</v>
      </c>
      <c r="P19" s="735">
        <f t="shared" si="7"/>
        <v>1073.0954966815211</v>
      </c>
      <c r="Q19" s="735">
        <f t="shared" si="7"/>
        <v>842.77613810368155</v>
      </c>
      <c r="R19" s="735">
        <f t="shared" si="7"/>
        <v>888.24293063623759</v>
      </c>
    </row>
    <row r="20" spans="1:18" ht="18">
      <c r="A20" s="695" t="s">
        <v>579</v>
      </c>
      <c r="B20" s="696"/>
      <c r="C20" s="696"/>
      <c r="D20" s="698"/>
      <c r="E20" s="698"/>
      <c r="F20" s="698"/>
      <c r="G20" s="698"/>
      <c r="H20" s="698"/>
      <c r="I20" s="698"/>
      <c r="J20" s="698"/>
      <c r="K20" s="698"/>
      <c r="L20" s="698"/>
      <c r="M20" s="698"/>
      <c r="N20" s="698"/>
      <c r="O20" s="698"/>
      <c r="P20" s="698"/>
      <c r="Q20" s="698"/>
      <c r="R20" s="698"/>
    </row>
    <row r="21" spans="1:18" ht="12.75">
      <c r="A21" s="661" t="s">
        <v>580</v>
      </c>
      <c r="B21" s="704">
        <f t="shared" ref="B21:C21" si="8">1.28*47.3</f>
        <v>60.543999999999997</v>
      </c>
      <c r="C21" s="704">
        <f t="shared" si="8"/>
        <v>60.543999999999997</v>
      </c>
      <c r="D21" s="733">
        <f>1.28*42.6876</f>
        <v>54.640128000000004</v>
      </c>
      <c r="E21" s="733">
        <f>1.28*
36.2874</f>
        <v>46.447871999999997</v>
      </c>
      <c r="F21" s="733">
        <f t="shared" ref="F21:G21" si="9">1.28*7.665711</f>
        <v>9.8121100800000001</v>
      </c>
      <c r="G21" s="733">
        <f t="shared" si="9"/>
        <v>9.8121100800000001</v>
      </c>
      <c r="H21" s="733">
        <f>1.28*8.6183</f>
        <v>11.031423999999999</v>
      </c>
      <c r="I21" s="733">
        <f t="shared" ref="I21:K21" si="10">1.6*9.725</f>
        <v>15.56</v>
      </c>
      <c r="J21" s="733">
        <f t="shared" si="10"/>
        <v>15.56</v>
      </c>
      <c r="K21" s="733">
        <f t="shared" si="10"/>
        <v>15.56</v>
      </c>
      <c r="L21" s="733">
        <f t="shared" ref="L21:M21" si="11">1.28*9.2</f>
        <v>11.776</v>
      </c>
      <c r="M21" s="733">
        <f t="shared" si="11"/>
        <v>11.776</v>
      </c>
      <c r="N21" s="733">
        <f>1.28*3.7</f>
        <v>4.7360000000000007</v>
      </c>
      <c r="O21" s="733">
        <f t="shared" ref="O21:P21" si="12">1.6*5</f>
        <v>8</v>
      </c>
      <c r="P21" s="733">
        <f t="shared" si="12"/>
        <v>8</v>
      </c>
      <c r="Q21" s="733">
        <f>1.28*12.64</f>
        <v>16.179200000000002</v>
      </c>
      <c r="R21" s="733">
        <f>1.28*7.665711</f>
        <v>9.8121100800000001</v>
      </c>
    </row>
    <row r="22" spans="1:18" ht="12.75">
      <c r="A22" s="661" t="s">
        <v>581</v>
      </c>
      <c r="B22" s="667" t="s">
        <v>328</v>
      </c>
      <c r="C22" s="667" t="s">
        <v>328</v>
      </c>
      <c r="D22" s="741" t="s">
        <v>328</v>
      </c>
      <c r="E22" s="741" t="s">
        <v>328</v>
      </c>
      <c r="F22" s="741" t="s">
        <v>328</v>
      </c>
      <c r="G22" s="741" t="s">
        <v>328</v>
      </c>
      <c r="H22" s="741" t="s">
        <v>328</v>
      </c>
      <c r="I22" s="741" t="s">
        <v>328</v>
      </c>
      <c r="J22" s="741" t="s">
        <v>328</v>
      </c>
      <c r="K22" s="741" t="s">
        <v>328</v>
      </c>
      <c r="L22" s="741" t="s">
        <v>328</v>
      </c>
      <c r="M22" s="741" t="s">
        <v>328</v>
      </c>
      <c r="N22" s="741" t="s">
        <v>328</v>
      </c>
      <c r="O22" s="741" t="s">
        <v>328</v>
      </c>
      <c r="P22" s="741" t="s">
        <v>328</v>
      </c>
      <c r="Q22" s="741" t="s">
        <v>328</v>
      </c>
      <c r="R22" s="741" t="s">
        <v>328</v>
      </c>
    </row>
    <row r="23" spans="1:18" ht="12.75">
      <c r="A23" s="661" t="s">
        <v>582</v>
      </c>
      <c r="B23" s="704">
        <v>20</v>
      </c>
      <c r="C23" s="704">
        <v>20</v>
      </c>
      <c r="D23" s="733">
        <v>20</v>
      </c>
      <c r="E23" s="733">
        <v>20</v>
      </c>
      <c r="F23" s="733">
        <v>12</v>
      </c>
      <c r="G23" s="733">
        <v>12</v>
      </c>
      <c r="H23" s="733">
        <v>12</v>
      </c>
      <c r="I23" s="733">
        <v>10</v>
      </c>
      <c r="J23" s="733">
        <v>10</v>
      </c>
      <c r="K23" s="733">
        <v>10</v>
      </c>
      <c r="L23" s="733">
        <v>10</v>
      </c>
      <c r="M23" s="733">
        <v>10</v>
      </c>
      <c r="N23" s="733">
        <v>12</v>
      </c>
      <c r="O23" s="733">
        <v>12</v>
      </c>
      <c r="P23" s="733">
        <v>12</v>
      </c>
      <c r="Q23" s="733">
        <v>12</v>
      </c>
      <c r="R23" s="733">
        <v>12</v>
      </c>
    </row>
    <row r="24" spans="1:18" ht="12.75">
      <c r="A24" s="699" t="s">
        <v>583</v>
      </c>
      <c r="B24" s="667" t="s">
        <v>328</v>
      </c>
      <c r="C24" s="667" t="s">
        <v>328</v>
      </c>
      <c r="D24" s="741" t="s">
        <v>328</v>
      </c>
      <c r="E24" s="741" t="s">
        <v>328</v>
      </c>
      <c r="F24" s="741" t="s">
        <v>328</v>
      </c>
      <c r="G24" s="741" t="s">
        <v>328</v>
      </c>
      <c r="H24" s="741" t="s">
        <v>328</v>
      </c>
      <c r="I24" s="741" t="s">
        <v>328</v>
      </c>
      <c r="J24" s="741" t="s">
        <v>328</v>
      </c>
      <c r="K24" s="741" t="s">
        <v>328</v>
      </c>
      <c r="L24" s="741" t="s">
        <v>328</v>
      </c>
      <c r="M24" s="741" t="s">
        <v>328</v>
      </c>
      <c r="N24" s="741" t="s">
        <v>328</v>
      </c>
      <c r="O24" s="741" t="s">
        <v>328</v>
      </c>
      <c r="P24" s="741" t="s">
        <v>328</v>
      </c>
      <c r="Q24" s="741" t="s">
        <v>328</v>
      </c>
      <c r="R24" s="741" t="s">
        <v>328</v>
      </c>
    </row>
    <row r="25" spans="1:18" ht="12.75">
      <c r="A25" s="661" t="s">
        <v>584</v>
      </c>
      <c r="B25" s="704">
        <v>5</v>
      </c>
      <c r="C25" s="704">
        <v>5</v>
      </c>
      <c r="D25" s="733">
        <v>5</v>
      </c>
      <c r="E25" s="733">
        <v>5</v>
      </c>
      <c r="F25" s="733">
        <v>1.8</v>
      </c>
      <c r="G25" s="733">
        <v>1.8</v>
      </c>
      <c r="H25" s="733">
        <v>1.8</v>
      </c>
      <c r="I25" s="733">
        <v>1.7</v>
      </c>
      <c r="J25" s="733">
        <v>1.7</v>
      </c>
      <c r="K25" s="733">
        <v>1.7</v>
      </c>
      <c r="L25" s="733">
        <v>1.7</v>
      </c>
      <c r="M25" s="733">
        <v>1.7</v>
      </c>
      <c r="N25" s="733">
        <v>1.8</v>
      </c>
      <c r="O25" s="733">
        <v>1.8</v>
      </c>
      <c r="P25" s="733">
        <v>1.8</v>
      </c>
      <c r="Q25" s="733">
        <v>1.8</v>
      </c>
      <c r="R25" s="733">
        <v>1.8</v>
      </c>
    </row>
    <row r="26" spans="1:18" ht="18">
      <c r="A26" s="700" t="s">
        <v>585</v>
      </c>
      <c r="B26" s="701"/>
      <c r="C26" s="701"/>
      <c r="D26" s="703"/>
      <c r="E26" s="703"/>
      <c r="F26" s="703"/>
      <c r="G26" s="703"/>
      <c r="H26" s="703"/>
      <c r="I26" s="703"/>
      <c r="J26" s="703"/>
      <c r="K26" s="703"/>
      <c r="L26" s="703"/>
      <c r="M26" s="703"/>
      <c r="N26" s="703"/>
      <c r="O26" s="703"/>
      <c r="P26" s="703"/>
      <c r="Q26" s="703"/>
      <c r="R26" s="703"/>
    </row>
    <row r="27" spans="1:18" ht="12.75">
      <c r="A27" s="661" t="s">
        <v>586</v>
      </c>
      <c r="B27" s="667" t="s">
        <v>373</v>
      </c>
      <c r="C27" s="667" t="s">
        <v>373</v>
      </c>
      <c r="D27" s="741" t="s">
        <v>373</v>
      </c>
      <c r="E27" s="741" t="s">
        <v>373</v>
      </c>
      <c r="F27" s="741" t="s">
        <v>373</v>
      </c>
      <c r="G27" s="741" t="s">
        <v>373</v>
      </c>
      <c r="H27" s="741" t="s">
        <v>373</v>
      </c>
      <c r="I27" s="741" t="s">
        <v>373</v>
      </c>
      <c r="J27" s="741" t="s">
        <v>373</v>
      </c>
      <c r="K27" s="741" t="s">
        <v>373</v>
      </c>
      <c r="L27" s="741" t="s">
        <v>373</v>
      </c>
      <c r="M27" s="741" t="s">
        <v>373</v>
      </c>
      <c r="N27" s="741" t="s">
        <v>373</v>
      </c>
      <c r="O27" s="741" t="s">
        <v>373</v>
      </c>
      <c r="P27" s="741" t="s">
        <v>373</v>
      </c>
      <c r="Q27" s="741" t="s">
        <v>373</v>
      </c>
      <c r="R27" s="741" t="s">
        <v>373</v>
      </c>
    </row>
    <row r="28" spans="1:18" ht="12.75">
      <c r="A28" s="661" t="s">
        <v>587</v>
      </c>
      <c r="B28" s="667" t="s">
        <v>293</v>
      </c>
      <c r="C28" s="667" t="s">
        <v>293</v>
      </c>
      <c r="D28" s="741" t="s">
        <v>293</v>
      </c>
      <c r="E28" s="733">
        <v>1.5</v>
      </c>
      <c r="F28" s="741" t="s">
        <v>293</v>
      </c>
      <c r="G28" s="741" t="s">
        <v>293</v>
      </c>
      <c r="H28" s="741" t="s">
        <v>293</v>
      </c>
      <c r="I28" s="741" t="s">
        <v>293</v>
      </c>
      <c r="J28" s="741" t="s">
        <v>293</v>
      </c>
      <c r="K28" s="741" t="s">
        <v>293</v>
      </c>
      <c r="L28" s="741" t="s">
        <v>293</v>
      </c>
      <c r="M28" s="741" t="s">
        <v>293</v>
      </c>
      <c r="N28" s="741" t="s">
        <v>293</v>
      </c>
      <c r="O28" s="741" t="s">
        <v>293</v>
      </c>
      <c r="P28" s="741" t="s">
        <v>293</v>
      </c>
      <c r="Q28" s="741" t="s">
        <v>293</v>
      </c>
      <c r="R28" s="741" t="s">
        <v>293</v>
      </c>
    </row>
    <row r="29" spans="1:18" ht="12.75">
      <c r="A29" s="661" t="s">
        <v>588</v>
      </c>
      <c r="B29" s="661">
        <v>160</v>
      </c>
      <c r="C29" s="661">
        <v>160</v>
      </c>
      <c r="D29" s="733">
        <v>160</v>
      </c>
      <c r="E29" s="733">
        <v>150</v>
      </c>
      <c r="F29" s="733">
        <v>80</v>
      </c>
      <c r="G29" s="733">
        <v>80</v>
      </c>
      <c r="H29" s="733">
        <v>120</v>
      </c>
      <c r="I29" s="733">
        <v>90</v>
      </c>
      <c r="J29" s="733">
        <v>120</v>
      </c>
      <c r="K29" s="733">
        <v>90</v>
      </c>
      <c r="L29" s="733">
        <v>80</v>
      </c>
      <c r="M29" s="733">
        <v>80</v>
      </c>
      <c r="N29" s="733">
        <v>70</v>
      </c>
      <c r="O29" s="733">
        <v>90</v>
      </c>
      <c r="P29" s="733">
        <v>90</v>
      </c>
      <c r="Q29" s="733">
        <v>80</v>
      </c>
      <c r="R29" s="733">
        <v>80</v>
      </c>
    </row>
    <row r="30" spans="1:18" ht="12.75">
      <c r="A30" s="661" t="s">
        <v>589</v>
      </c>
      <c r="B30" s="663">
        <v>0.5</v>
      </c>
      <c r="C30" s="663">
        <v>0.5</v>
      </c>
      <c r="D30" s="663">
        <v>0.5</v>
      </c>
      <c r="E30" s="663">
        <v>0.5</v>
      </c>
      <c r="F30" s="663">
        <v>0.5</v>
      </c>
      <c r="G30" s="663">
        <v>0.5</v>
      </c>
      <c r="H30" s="663">
        <v>0.5</v>
      </c>
      <c r="I30" s="663">
        <v>0.5</v>
      </c>
      <c r="J30" s="663">
        <v>0.5</v>
      </c>
      <c r="K30" s="663">
        <v>0.5</v>
      </c>
      <c r="L30" s="663">
        <v>0.5</v>
      </c>
      <c r="M30" s="733">
        <v>0.5</v>
      </c>
      <c r="N30" s="663">
        <v>0.5</v>
      </c>
      <c r="O30" s="663">
        <v>0.5</v>
      </c>
      <c r="P30" s="663">
        <v>0.5</v>
      </c>
      <c r="Q30" s="663">
        <v>0.5</v>
      </c>
      <c r="R30" s="663">
        <v>0.5</v>
      </c>
    </row>
    <row r="31" spans="1:18" ht="12.75">
      <c r="A31" s="661" t="s">
        <v>590</v>
      </c>
      <c r="B31" s="661">
        <v>200</v>
      </c>
      <c r="C31" s="661">
        <v>200</v>
      </c>
      <c r="D31" s="733">
        <v>200</v>
      </c>
      <c r="E31" s="733">
        <v>100</v>
      </c>
      <c r="F31" s="733">
        <v>100</v>
      </c>
      <c r="G31" s="733">
        <v>100</v>
      </c>
      <c r="H31" s="733">
        <v>100</v>
      </c>
      <c r="I31" s="733">
        <v>100</v>
      </c>
      <c r="J31" s="733">
        <v>100</v>
      </c>
      <c r="K31" s="733">
        <v>100</v>
      </c>
      <c r="L31" s="733">
        <v>100</v>
      </c>
      <c r="M31" s="733">
        <v>100</v>
      </c>
      <c r="N31" s="733">
        <v>100</v>
      </c>
      <c r="O31" s="733">
        <v>100</v>
      </c>
      <c r="P31" s="733">
        <v>100</v>
      </c>
      <c r="Q31" s="733">
        <v>100</v>
      </c>
      <c r="R31" s="733">
        <v>100</v>
      </c>
    </row>
    <row r="32" spans="1:18" ht="12.75">
      <c r="A32" s="661" t="s">
        <v>592</v>
      </c>
      <c r="B32" s="661">
        <v>60</v>
      </c>
      <c r="C32" s="661">
        <v>60</v>
      </c>
      <c r="D32" s="733">
        <v>60</v>
      </c>
      <c r="E32" s="733">
        <v>60</v>
      </c>
      <c r="F32" s="733">
        <v>55</v>
      </c>
      <c r="G32" s="733">
        <v>55</v>
      </c>
      <c r="H32" s="733">
        <v>55</v>
      </c>
      <c r="I32" s="733">
        <v>55</v>
      </c>
      <c r="J32" s="733">
        <v>55</v>
      </c>
      <c r="K32" s="733">
        <v>55</v>
      </c>
      <c r="L32" s="733">
        <v>60</v>
      </c>
      <c r="M32" s="733">
        <v>60</v>
      </c>
      <c r="N32" s="733">
        <v>55</v>
      </c>
      <c r="O32" s="733">
        <v>55</v>
      </c>
      <c r="P32" s="733">
        <v>55</v>
      </c>
      <c r="Q32" s="733">
        <v>55</v>
      </c>
      <c r="R32" s="733">
        <v>55</v>
      </c>
    </row>
    <row r="33" spans="1:18" ht="12.75">
      <c r="A33" s="661" t="s">
        <v>593</v>
      </c>
      <c r="B33" s="661">
        <v>20</v>
      </c>
      <c r="C33" s="661">
        <v>20</v>
      </c>
      <c r="D33" s="733">
        <v>20</v>
      </c>
      <c r="E33" s="733">
        <v>20</v>
      </c>
      <c r="F33" s="733">
        <v>60</v>
      </c>
      <c r="G33" s="733">
        <v>60</v>
      </c>
      <c r="H33" s="733">
        <v>60</v>
      </c>
      <c r="I33" s="733">
        <v>60</v>
      </c>
      <c r="J33" s="733">
        <v>60</v>
      </c>
      <c r="K33" s="733">
        <v>60</v>
      </c>
      <c r="L33" s="733">
        <v>60</v>
      </c>
      <c r="M33" s="733">
        <v>60</v>
      </c>
      <c r="N33" s="733">
        <v>60</v>
      </c>
      <c r="O33" s="733">
        <v>60</v>
      </c>
      <c r="P33" s="733">
        <v>60</v>
      </c>
      <c r="Q33" s="733">
        <v>60</v>
      </c>
      <c r="R33" s="733">
        <v>60</v>
      </c>
    </row>
    <row r="34" spans="1:18" ht="17.25" customHeight="1">
      <c r="A34" s="661" t="s">
        <v>594</v>
      </c>
      <c r="B34" s="667" t="s">
        <v>328</v>
      </c>
      <c r="C34" s="667" t="s">
        <v>328</v>
      </c>
      <c r="D34" s="741" t="s">
        <v>328</v>
      </c>
      <c r="E34" s="741" t="s">
        <v>328</v>
      </c>
      <c r="F34" s="741" t="s">
        <v>328</v>
      </c>
      <c r="G34" s="741" t="s">
        <v>328</v>
      </c>
      <c r="H34" s="741" t="s">
        <v>328</v>
      </c>
      <c r="I34" s="741" t="s">
        <v>328</v>
      </c>
      <c r="J34" s="741" t="s">
        <v>328</v>
      </c>
      <c r="K34" s="741" t="s">
        <v>328</v>
      </c>
      <c r="L34" s="741" t="s">
        <v>328</v>
      </c>
      <c r="M34" s="741" t="s">
        <v>328</v>
      </c>
      <c r="N34" s="741" t="s">
        <v>328</v>
      </c>
      <c r="O34" s="741" t="s">
        <v>328</v>
      </c>
      <c r="P34" s="741" t="s">
        <v>328</v>
      </c>
      <c r="Q34" s="741" t="s">
        <v>328</v>
      </c>
      <c r="R34" s="741" t="s">
        <v>328</v>
      </c>
    </row>
    <row r="35" spans="1:18" ht="17.25" customHeight="1">
      <c r="A35" s="661" t="s">
        <v>595</v>
      </c>
      <c r="B35" s="704">
        <v>60</v>
      </c>
      <c r="C35" s="704">
        <v>60</v>
      </c>
      <c r="D35" s="733">
        <v>60</v>
      </c>
      <c r="E35" s="733">
        <v>60</v>
      </c>
      <c r="F35" s="733">
        <v>55</v>
      </c>
      <c r="G35" s="733">
        <v>55</v>
      </c>
      <c r="H35" s="733">
        <v>55</v>
      </c>
      <c r="I35" s="733">
        <v>55</v>
      </c>
      <c r="J35" s="733">
        <v>55</v>
      </c>
      <c r="K35" s="733">
        <v>55</v>
      </c>
      <c r="L35" s="733">
        <v>60</v>
      </c>
      <c r="M35" s="733">
        <v>60</v>
      </c>
      <c r="N35" s="733">
        <v>55</v>
      </c>
      <c r="O35" s="733">
        <v>55</v>
      </c>
      <c r="P35" s="733">
        <v>55</v>
      </c>
      <c r="Q35" s="733">
        <v>55</v>
      </c>
      <c r="R35" s="733">
        <v>55</v>
      </c>
    </row>
    <row r="36" spans="1:18" ht="12.75">
      <c r="A36" s="661" t="s">
        <v>598</v>
      </c>
      <c r="B36" s="704">
        <v>16</v>
      </c>
      <c r="C36" s="704">
        <v>16</v>
      </c>
      <c r="D36" s="733">
        <v>16</v>
      </c>
      <c r="E36" s="733">
        <v>16</v>
      </c>
      <c r="F36" s="733">
        <v>16</v>
      </c>
      <c r="G36" s="733">
        <v>16</v>
      </c>
      <c r="H36" s="733">
        <v>16</v>
      </c>
      <c r="I36" s="733">
        <v>16</v>
      </c>
      <c r="J36" s="733">
        <v>16</v>
      </c>
      <c r="K36" s="733">
        <v>16</v>
      </c>
      <c r="L36" s="733">
        <v>16</v>
      </c>
      <c r="M36" s="733">
        <v>16</v>
      </c>
      <c r="N36" s="733">
        <v>16</v>
      </c>
      <c r="O36" s="733">
        <v>16</v>
      </c>
      <c r="P36" s="733">
        <v>16</v>
      </c>
      <c r="Q36" s="733">
        <v>16</v>
      </c>
      <c r="R36" s="733">
        <v>16</v>
      </c>
    </row>
    <row r="37" spans="1:18" ht="12.75">
      <c r="A37" s="661" t="s">
        <v>606</v>
      </c>
      <c r="B37" s="704">
        <v>160</v>
      </c>
      <c r="C37" s="704">
        <v>160</v>
      </c>
      <c r="D37" s="733">
        <v>160</v>
      </c>
      <c r="E37" s="733">
        <v>160</v>
      </c>
      <c r="F37" s="733">
        <v>160</v>
      </c>
      <c r="G37" s="733">
        <v>160</v>
      </c>
      <c r="H37" s="733">
        <v>160</v>
      </c>
      <c r="I37" s="733">
        <v>160</v>
      </c>
      <c r="J37" s="733">
        <v>160</v>
      </c>
      <c r="K37" s="733">
        <v>160</v>
      </c>
      <c r="L37" s="733">
        <v>160</v>
      </c>
      <c r="M37" s="733">
        <v>160</v>
      </c>
      <c r="N37" s="733">
        <v>160</v>
      </c>
      <c r="O37" s="733">
        <v>160</v>
      </c>
      <c r="P37" s="733">
        <v>160</v>
      </c>
      <c r="Q37" s="733">
        <v>160</v>
      </c>
      <c r="R37" s="733">
        <v>160</v>
      </c>
    </row>
    <row r="38" spans="1:18" ht="12.75">
      <c r="A38" s="661" t="s">
        <v>649</v>
      </c>
      <c r="B38" s="667" t="s">
        <v>328</v>
      </c>
      <c r="C38" s="667" t="s">
        <v>328</v>
      </c>
      <c r="D38" s="741" t="s">
        <v>328</v>
      </c>
      <c r="E38" s="741" t="s">
        <v>328</v>
      </c>
      <c r="F38" s="741" t="s">
        <v>328</v>
      </c>
      <c r="G38" s="741" t="s">
        <v>328</v>
      </c>
      <c r="H38" s="741" t="s">
        <v>328</v>
      </c>
      <c r="I38" s="741" t="s">
        <v>328</v>
      </c>
      <c r="J38" s="741" t="s">
        <v>328</v>
      </c>
      <c r="K38" s="741" t="s">
        <v>328</v>
      </c>
      <c r="L38" s="741" t="s">
        <v>328</v>
      </c>
      <c r="M38" s="741" t="s">
        <v>328</v>
      </c>
      <c r="N38" s="741" t="s">
        <v>328</v>
      </c>
      <c r="O38" s="741" t="s">
        <v>328</v>
      </c>
      <c r="P38" s="741" t="s">
        <v>328</v>
      </c>
      <c r="Q38" s="741" t="s">
        <v>328</v>
      </c>
      <c r="R38" s="741" t="s">
        <v>328</v>
      </c>
    </row>
    <row r="39" spans="1:18" ht="12.75">
      <c r="A39" s="661" t="s">
        <v>650</v>
      </c>
      <c r="B39" s="704" t="s">
        <v>651</v>
      </c>
      <c r="C39" s="704" t="s">
        <v>651</v>
      </c>
      <c r="D39" s="733" t="s">
        <v>651</v>
      </c>
      <c r="E39" s="733" t="s">
        <v>651</v>
      </c>
      <c r="F39" s="733" t="s">
        <v>651</v>
      </c>
      <c r="G39" s="733" t="s">
        <v>651</v>
      </c>
      <c r="H39" s="733" t="s">
        <v>651</v>
      </c>
      <c r="I39" s="733" t="s">
        <v>651</v>
      </c>
      <c r="J39" s="733" t="s">
        <v>651</v>
      </c>
      <c r="K39" s="733" t="s">
        <v>651</v>
      </c>
      <c r="L39" s="733" t="s">
        <v>651</v>
      </c>
      <c r="M39" s="733" t="s">
        <v>651</v>
      </c>
      <c r="N39" s="733" t="s">
        <v>651</v>
      </c>
      <c r="O39" s="733" t="s">
        <v>651</v>
      </c>
      <c r="P39" s="733" t="s">
        <v>651</v>
      </c>
      <c r="Q39" s="733" t="s">
        <v>651</v>
      </c>
      <c r="R39" s="733" t="s">
        <v>651</v>
      </c>
    </row>
    <row r="40" spans="1:18" ht="12.75">
      <c r="A40" s="661" t="s">
        <v>652</v>
      </c>
      <c r="B40" s="704">
        <v>30</v>
      </c>
      <c r="C40" s="704">
        <v>30</v>
      </c>
      <c r="D40" s="704">
        <v>30</v>
      </c>
      <c r="E40" s="704">
        <v>30</v>
      </c>
      <c r="F40" s="741" t="s">
        <v>293</v>
      </c>
      <c r="G40" s="741" t="s">
        <v>293</v>
      </c>
      <c r="H40" s="741" t="s">
        <v>293</v>
      </c>
      <c r="I40" s="741" t="s">
        <v>293</v>
      </c>
      <c r="J40" s="741" t="s">
        <v>293</v>
      </c>
      <c r="K40" s="741" t="s">
        <v>293</v>
      </c>
      <c r="L40" s="741" t="s">
        <v>293</v>
      </c>
      <c r="M40" s="741" t="s">
        <v>293</v>
      </c>
      <c r="N40" s="741" t="s">
        <v>293</v>
      </c>
      <c r="O40" s="741" t="s">
        <v>293</v>
      </c>
      <c r="P40" s="741" t="s">
        <v>293</v>
      </c>
      <c r="Q40" s="741" t="s">
        <v>293</v>
      </c>
      <c r="R40" s="741" t="s">
        <v>293</v>
      </c>
    </row>
    <row r="41" spans="1:18" ht="12.75">
      <c r="A41" s="661" t="s">
        <v>653</v>
      </c>
      <c r="B41" s="704" t="s">
        <v>654</v>
      </c>
      <c r="C41" s="704" t="s">
        <v>654</v>
      </c>
      <c r="D41" s="704" t="s">
        <v>654</v>
      </c>
      <c r="E41" s="704" t="s">
        <v>654</v>
      </c>
      <c r="F41" s="741" t="s">
        <v>293</v>
      </c>
      <c r="G41" s="741" t="s">
        <v>293</v>
      </c>
      <c r="H41" s="741" t="s">
        <v>293</v>
      </c>
      <c r="I41" s="741" t="s">
        <v>293</v>
      </c>
      <c r="J41" s="741" t="s">
        <v>293</v>
      </c>
      <c r="K41" s="741" t="s">
        <v>293</v>
      </c>
      <c r="L41" s="741" t="s">
        <v>293</v>
      </c>
      <c r="M41" s="741" t="s">
        <v>293</v>
      </c>
      <c r="N41" s="741" t="s">
        <v>293</v>
      </c>
      <c r="O41" s="741" t="s">
        <v>293</v>
      </c>
      <c r="P41" s="741" t="s">
        <v>293</v>
      </c>
      <c r="Q41" s="741" t="s">
        <v>293</v>
      </c>
      <c r="R41" s="741" t="s">
        <v>293</v>
      </c>
    </row>
    <row r="42" spans="1:18" ht="12.75">
      <c r="A42" s="661" t="s">
        <v>656</v>
      </c>
      <c r="B42" s="704">
        <v>-20</v>
      </c>
      <c r="C42" s="704">
        <v>-20</v>
      </c>
      <c r="D42" s="733">
        <v>-20</v>
      </c>
      <c r="E42" s="733">
        <v>-20</v>
      </c>
      <c r="F42" s="733">
        <v>-30</v>
      </c>
      <c r="G42" s="733">
        <v>-30</v>
      </c>
      <c r="H42" s="733">
        <v>-30</v>
      </c>
      <c r="I42" s="733">
        <v>-30</v>
      </c>
      <c r="J42" s="733">
        <v>-30</v>
      </c>
      <c r="K42" s="733">
        <v>-30</v>
      </c>
      <c r="L42" s="733">
        <v>-30</v>
      </c>
      <c r="M42" s="733">
        <v>-30</v>
      </c>
      <c r="N42" s="733">
        <v>-30</v>
      </c>
      <c r="O42" s="733">
        <v>-30</v>
      </c>
      <c r="P42" s="733">
        <v>-30</v>
      </c>
      <c r="Q42" s="733">
        <v>-30</v>
      </c>
      <c r="R42" s="733">
        <v>-30</v>
      </c>
    </row>
    <row r="43" spans="1:18" ht="12.75">
      <c r="A43" s="661" t="s">
        <v>657</v>
      </c>
      <c r="B43" s="704">
        <v>100</v>
      </c>
      <c r="C43" s="704">
        <v>100</v>
      </c>
      <c r="D43" s="733">
        <v>100</v>
      </c>
      <c r="E43" s="733">
        <v>100</v>
      </c>
      <c r="F43" s="733">
        <v>100</v>
      </c>
      <c r="G43" s="733">
        <v>100</v>
      </c>
      <c r="H43" s="733">
        <v>100</v>
      </c>
      <c r="I43" s="733">
        <v>100</v>
      </c>
      <c r="J43" s="733">
        <v>100</v>
      </c>
      <c r="K43" s="733">
        <v>100</v>
      </c>
      <c r="L43" s="733">
        <v>100</v>
      </c>
      <c r="M43" s="733">
        <v>100</v>
      </c>
      <c r="N43" s="733">
        <v>100</v>
      </c>
      <c r="O43" s="733">
        <v>100</v>
      </c>
      <c r="P43" s="733">
        <v>100</v>
      </c>
      <c r="Q43" s="733">
        <v>100</v>
      </c>
      <c r="R43" s="733">
        <v>100</v>
      </c>
    </row>
    <row r="44" spans="1:18" ht="12.75">
      <c r="A44" s="661" t="s">
        <v>658</v>
      </c>
      <c r="B44" s="704">
        <v>8</v>
      </c>
      <c r="C44" s="704">
        <v>9</v>
      </c>
      <c r="D44" s="733">
        <v>9</v>
      </c>
      <c r="E44" s="733">
        <v>9</v>
      </c>
      <c r="F44" s="733">
        <v>15</v>
      </c>
      <c r="G44" s="733">
        <v>15</v>
      </c>
      <c r="H44" s="733">
        <v>7.5</v>
      </c>
      <c r="I44" s="733">
        <v>15</v>
      </c>
      <c r="J44" s="733">
        <v>15</v>
      </c>
      <c r="K44" s="733">
        <v>15</v>
      </c>
      <c r="L44" s="733">
        <v>15</v>
      </c>
      <c r="M44" s="733">
        <v>15</v>
      </c>
      <c r="N44" s="733">
        <v>15</v>
      </c>
      <c r="O44" s="733">
        <v>15</v>
      </c>
      <c r="P44" s="733">
        <v>15</v>
      </c>
      <c r="Q44" s="733">
        <v>15</v>
      </c>
      <c r="R44" s="733">
        <v>15</v>
      </c>
    </row>
    <row r="45" spans="1:18" ht="12.75">
      <c r="A45" s="661" t="s">
        <v>659</v>
      </c>
      <c r="B45" s="704">
        <v>-19</v>
      </c>
      <c r="C45" s="704">
        <v>-19</v>
      </c>
      <c r="D45" s="733">
        <v>-19</v>
      </c>
      <c r="E45" s="733">
        <v>-19</v>
      </c>
      <c r="F45" s="733">
        <v>-30</v>
      </c>
      <c r="G45" s="733">
        <v>-30</v>
      </c>
      <c r="H45" s="733">
        <v>-30</v>
      </c>
      <c r="I45" s="733">
        <v>-30</v>
      </c>
      <c r="J45" s="733">
        <v>-30</v>
      </c>
      <c r="K45" s="733">
        <v>-30</v>
      </c>
      <c r="L45" s="733">
        <v>-30</v>
      </c>
      <c r="M45" s="733">
        <v>-30</v>
      </c>
      <c r="N45" s="733">
        <v>-30</v>
      </c>
      <c r="O45" s="733">
        <v>-30</v>
      </c>
      <c r="P45" s="733">
        <v>-30</v>
      </c>
      <c r="Q45" s="733">
        <v>-30</v>
      </c>
      <c r="R45" s="733">
        <v>-30</v>
      </c>
    </row>
    <row r="46" spans="1:18" ht="12.75">
      <c r="A46" s="661" t="s">
        <v>660</v>
      </c>
      <c r="B46" s="704">
        <v>9</v>
      </c>
      <c r="C46" s="704">
        <v>9</v>
      </c>
      <c r="D46" s="733">
        <v>8</v>
      </c>
      <c r="E46" s="733">
        <v>8</v>
      </c>
      <c r="F46" s="733">
        <v>15</v>
      </c>
      <c r="G46" s="733">
        <v>15</v>
      </c>
      <c r="H46" s="733">
        <v>7.5</v>
      </c>
      <c r="I46" s="733">
        <v>15</v>
      </c>
      <c r="J46" s="733">
        <v>15</v>
      </c>
      <c r="K46" s="733">
        <v>15</v>
      </c>
      <c r="L46" s="733">
        <v>15</v>
      </c>
      <c r="M46" s="733">
        <v>15</v>
      </c>
      <c r="N46" s="733">
        <v>15</v>
      </c>
      <c r="O46" s="733">
        <v>15</v>
      </c>
      <c r="P46" s="733">
        <v>15</v>
      </c>
      <c r="Q46" s="733">
        <v>15</v>
      </c>
      <c r="R46" s="733">
        <v>15</v>
      </c>
    </row>
    <row r="47" spans="1:18" ht="12.75">
      <c r="A47" s="661" t="s">
        <v>661</v>
      </c>
      <c r="B47" s="704">
        <v>-19</v>
      </c>
      <c r="C47" s="704">
        <v>-19</v>
      </c>
      <c r="D47" s="733">
        <v>-19</v>
      </c>
      <c r="E47" s="733">
        <v>-19</v>
      </c>
      <c r="F47" s="733">
        <v>-30</v>
      </c>
      <c r="G47" s="733">
        <v>-30</v>
      </c>
      <c r="H47" s="733">
        <v>-30</v>
      </c>
      <c r="I47" s="733">
        <v>-30</v>
      </c>
      <c r="J47" s="733">
        <v>-30</v>
      </c>
      <c r="K47" s="733">
        <v>-30</v>
      </c>
      <c r="L47" s="733">
        <v>-30</v>
      </c>
      <c r="M47" s="733">
        <v>-30</v>
      </c>
      <c r="N47" s="733">
        <v>-30</v>
      </c>
      <c r="O47" s="733">
        <v>-30</v>
      </c>
      <c r="P47" s="733">
        <v>-30</v>
      </c>
      <c r="Q47" s="733">
        <v>-30</v>
      </c>
      <c r="R47" s="733">
        <v>-30</v>
      </c>
    </row>
    <row r="48" spans="1:18" ht="12.75">
      <c r="A48" s="661" t="s">
        <v>723</v>
      </c>
      <c r="B48" s="667" t="s">
        <v>293</v>
      </c>
      <c r="C48" s="667" t="s">
        <v>293</v>
      </c>
      <c r="D48" s="741" t="s">
        <v>293</v>
      </c>
      <c r="E48" s="741" t="s">
        <v>293</v>
      </c>
      <c r="F48" s="733">
        <v>300</v>
      </c>
      <c r="G48" s="733">
        <v>300</v>
      </c>
      <c r="H48" s="733">
        <v>300</v>
      </c>
      <c r="I48" s="733">
        <v>300</v>
      </c>
      <c r="J48" s="733">
        <v>300</v>
      </c>
      <c r="K48" s="733">
        <v>300</v>
      </c>
      <c r="L48" s="733">
        <v>300</v>
      </c>
      <c r="M48" s="733">
        <v>300</v>
      </c>
      <c r="N48" s="733">
        <v>300</v>
      </c>
      <c r="O48" s="733">
        <v>300</v>
      </c>
      <c r="P48" s="733">
        <v>300</v>
      </c>
      <c r="Q48" s="733">
        <v>300</v>
      </c>
      <c r="R48" s="733">
        <v>300</v>
      </c>
    </row>
    <row r="49" spans="1:18" ht="12.75">
      <c r="A49" s="661" t="s">
        <v>724</v>
      </c>
      <c r="B49" s="667" t="s">
        <v>293</v>
      </c>
      <c r="C49" s="667" t="s">
        <v>293</v>
      </c>
      <c r="D49" s="741" t="s">
        <v>293</v>
      </c>
      <c r="E49" s="741" t="s">
        <v>293</v>
      </c>
      <c r="F49" s="733">
        <v>150</v>
      </c>
      <c r="G49" s="733">
        <v>150</v>
      </c>
      <c r="H49" s="733">
        <v>150</v>
      </c>
      <c r="I49" s="733">
        <v>150</v>
      </c>
      <c r="J49" s="733">
        <v>150</v>
      </c>
      <c r="K49" s="733">
        <v>150</v>
      </c>
      <c r="L49" s="733">
        <v>150</v>
      </c>
      <c r="M49" s="733">
        <v>150</v>
      </c>
      <c r="N49" s="733">
        <v>150</v>
      </c>
      <c r="O49" s="733">
        <v>150</v>
      </c>
      <c r="P49" s="733">
        <v>150</v>
      </c>
      <c r="Q49" s="733">
        <v>150</v>
      </c>
      <c r="R49" s="733">
        <v>150</v>
      </c>
    </row>
    <row r="50" spans="1:18" ht="12.75">
      <c r="A50" s="661" t="s">
        <v>725</v>
      </c>
      <c r="B50" s="667" t="s">
        <v>293</v>
      </c>
      <c r="C50" s="667" t="s">
        <v>293</v>
      </c>
      <c r="D50" s="741" t="s">
        <v>293</v>
      </c>
      <c r="E50" s="741" t="s">
        <v>293</v>
      </c>
      <c r="F50" s="733">
        <v>300</v>
      </c>
      <c r="G50" s="733">
        <v>300</v>
      </c>
      <c r="H50" s="733">
        <v>300</v>
      </c>
      <c r="I50" s="733">
        <v>300</v>
      </c>
      <c r="J50" s="733">
        <v>300</v>
      </c>
      <c r="K50" s="733">
        <v>300</v>
      </c>
      <c r="L50" s="733">
        <v>300</v>
      </c>
      <c r="M50" s="733">
        <v>300</v>
      </c>
      <c r="N50" s="733">
        <v>300</v>
      </c>
      <c r="O50" s="733">
        <v>300</v>
      </c>
      <c r="P50" s="733">
        <v>300</v>
      </c>
      <c r="Q50" s="733">
        <v>300</v>
      </c>
      <c r="R50" s="733">
        <v>300</v>
      </c>
    </row>
    <row r="51" spans="1:18" ht="12.75">
      <c r="A51" s="661" t="s">
        <v>726</v>
      </c>
      <c r="B51" s="667" t="s">
        <v>293</v>
      </c>
      <c r="C51" s="667" t="s">
        <v>293</v>
      </c>
      <c r="D51" s="667" t="s">
        <v>293</v>
      </c>
      <c r="E51" s="667" t="s">
        <v>293</v>
      </c>
      <c r="F51" s="733">
        <v>300</v>
      </c>
      <c r="G51" s="733">
        <v>300</v>
      </c>
      <c r="H51" s="733">
        <v>300</v>
      </c>
      <c r="I51" s="733">
        <v>300</v>
      </c>
      <c r="J51" s="733">
        <v>300</v>
      </c>
      <c r="K51" s="733">
        <v>300</v>
      </c>
      <c r="L51" s="733">
        <v>300</v>
      </c>
      <c r="M51" s="733">
        <v>300</v>
      </c>
      <c r="N51" s="733">
        <v>300</v>
      </c>
      <c r="O51" s="733">
        <v>300</v>
      </c>
      <c r="P51" s="733">
        <v>300</v>
      </c>
      <c r="Q51" s="733">
        <v>300</v>
      </c>
      <c r="R51" s="733">
        <v>300</v>
      </c>
    </row>
    <row r="52" spans="1:18" ht="12.75">
      <c r="A52" s="661" t="s">
        <v>727</v>
      </c>
      <c r="B52" s="667" t="s">
        <v>293</v>
      </c>
      <c r="C52" s="667" t="s">
        <v>293</v>
      </c>
      <c r="D52" s="741" t="s">
        <v>293</v>
      </c>
      <c r="E52" s="741" t="s">
        <v>293</v>
      </c>
      <c r="F52" s="733">
        <v>1200</v>
      </c>
      <c r="G52" s="733">
        <v>1200</v>
      </c>
      <c r="H52" s="733">
        <v>1200</v>
      </c>
      <c r="I52" s="733">
        <v>1200</v>
      </c>
      <c r="J52" s="733">
        <v>1200</v>
      </c>
      <c r="K52" s="733">
        <v>1200</v>
      </c>
      <c r="L52" s="733">
        <v>1200</v>
      </c>
      <c r="M52" s="733">
        <v>1200</v>
      </c>
      <c r="N52" s="733">
        <v>1200</v>
      </c>
      <c r="O52" s="733">
        <v>1200</v>
      </c>
      <c r="P52" s="733">
        <v>1200</v>
      </c>
      <c r="Q52" s="733">
        <v>1200</v>
      </c>
      <c r="R52" s="733">
        <v>1200</v>
      </c>
    </row>
    <row r="53" spans="1:18" ht="12.75">
      <c r="A53" s="661" t="s">
        <v>728</v>
      </c>
      <c r="B53" s="667" t="s">
        <v>293</v>
      </c>
      <c r="C53" s="667" t="s">
        <v>293</v>
      </c>
      <c r="D53" s="741" t="s">
        <v>293</v>
      </c>
      <c r="E53" s="741" t="s">
        <v>293</v>
      </c>
      <c r="F53" s="733">
        <v>5000</v>
      </c>
      <c r="G53" s="733">
        <v>5000</v>
      </c>
      <c r="H53" s="733">
        <v>5000</v>
      </c>
      <c r="I53" s="733">
        <v>5000</v>
      </c>
      <c r="J53" s="733">
        <v>5000</v>
      </c>
      <c r="K53" s="733">
        <v>5000</v>
      </c>
      <c r="L53" s="733">
        <v>5000</v>
      </c>
      <c r="M53" s="733">
        <v>5000</v>
      </c>
      <c r="N53" s="733">
        <v>5000</v>
      </c>
      <c r="O53" s="733">
        <v>5000</v>
      </c>
      <c r="P53" s="733">
        <v>5000</v>
      </c>
      <c r="Q53" s="733">
        <v>5000</v>
      </c>
      <c r="R53" s="733">
        <v>5000</v>
      </c>
    </row>
    <row r="54" spans="1:18" ht="12.75">
      <c r="A54" s="661" t="s">
        <v>667</v>
      </c>
      <c r="B54" s="667"/>
      <c r="C54" s="667"/>
      <c r="D54" s="741"/>
      <c r="E54" s="741"/>
      <c r="F54" s="733">
        <v>0.8</v>
      </c>
      <c r="G54" s="733">
        <v>0.8</v>
      </c>
      <c r="H54" s="733">
        <v>0.8</v>
      </c>
      <c r="I54" s="733">
        <v>0.8</v>
      </c>
      <c r="J54" s="733">
        <v>0.8</v>
      </c>
      <c r="K54" s="733">
        <v>0.8</v>
      </c>
      <c r="L54" s="733">
        <v>0.8</v>
      </c>
      <c r="M54" s="733">
        <v>0.8</v>
      </c>
      <c r="N54" s="733">
        <v>0.8</v>
      </c>
      <c r="O54" s="733">
        <v>0.8</v>
      </c>
      <c r="P54" s="733">
        <v>0.8</v>
      </c>
      <c r="Q54" s="733">
        <v>0.8</v>
      </c>
      <c r="R54" s="733">
        <v>0.8</v>
      </c>
    </row>
    <row r="55" spans="1:18" ht="12.75">
      <c r="A55" s="661" t="s">
        <v>668</v>
      </c>
      <c r="B55" s="667"/>
      <c r="C55" s="667"/>
      <c r="D55" s="741"/>
      <c r="E55" s="741"/>
      <c r="F55" s="733">
        <v>0.05</v>
      </c>
      <c r="G55" s="733">
        <v>0.05</v>
      </c>
      <c r="H55" s="733">
        <v>0.05</v>
      </c>
      <c r="I55" s="733">
        <v>0.05</v>
      </c>
      <c r="J55" s="733">
        <v>0.05</v>
      </c>
      <c r="K55" s="733">
        <v>0.05</v>
      </c>
      <c r="L55" s="733">
        <v>0.05</v>
      </c>
      <c r="M55" s="733">
        <v>0.05</v>
      </c>
      <c r="N55" s="733">
        <v>0.05</v>
      </c>
      <c r="O55" s="733">
        <v>0.05</v>
      </c>
      <c r="P55" s="733">
        <v>0.05</v>
      </c>
      <c r="Q55" s="733">
        <v>0.05</v>
      </c>
      <c r="R55" s="733">
        <v>0.05</v>
      </c>
    </row>
    <row r="56" spans="1:18" ht="12.75">
      <c r="A56" s="661" t="s">
        <v>669</v>
      </c>
      <c r="B56" s="704">
        <v>-3000</v>
      </c>
      <c r="C56" s="704">
        <v>-3000</v>
      </c>
      <c r="D56" s="733">
        <v>-3000</v>
      </c>
      <c r="E56" s="733">
        <v>-3000</v>
      </c>
      <c r="F56" s="733">
        <v>-3000</v>
      </c>
      <c r="G56" s="733">
        <v>-3000</v>
      </c>
      <c r="H56" s="733">
        <v>-3000</v>
      </c>
      <c r="I56" s="733">
        <v>-3000</v>
      </c>
      <c r="J56" s="733">
        <v>-3000</v>
      </c>
      <c r="K56" s="733">
        <v>-3000</v>
      </c>
      <c r="L56" s="733">
        <v>-3000</v>
      </c>
      <c r="M56" s="733">
        <v>-3000</v>
      </c>
      <c r="N56" s="733">
        <v>-3000</v>
      </c>
      <c r="O56" s="733">
        <v>-3000</v>
      </c>
      <c r="P56" s="733">
        <v>-3000</v>
      </c>
      <c r="Q56" s="733">
        <v>-3000</v>
      </c>
      <c r="R56" s="733">
        <v>-3000</v>
      </c>
    </row>
    <row r="57" spans="1:18" ht="12.75">
      <c r="A57" s="661" t="s">
        <v>670</v>
      </c>
      <c r="B57" s="704">
        <v>3000</v>
      </c>
      <c r="C57" s="704">
        <v>3000</v>
      </c>
      <c r="D57" s="733">
        <v>3000</v>
      </c>
      <c r="E57" s="733">
        <v>3000</v>
      </c>
      <c r="F57" s="733">
        <v>3000</v>
      </c>
      <c r="G57" s="733">
        <v>3000</v>
      </c>
      <c r="H57" s="733">
        <v>3000</v>
      </c>
      <c r="I57" s="733">
        <v>3000</v>
      </c>
      <c r="J57" s="733">
        <v>3000</v>
      </c>
      <c r="K57" s="733">
        <v>3000</v>
      </c>
      <c r="L57" s="733">
        <v>3000</v>
      </c>
      <c r="M57" s="733">
        <v>3000</v>
      </c>
      <c r="N57" s="733">
        <v>3000</v>
      </c>
      <c r="O57" s="733">
        <v>3000</v>
      </c>
      <c r="P57" s="733">
        <v>3000</v>
      </c>
      <c r="Q57" s="733">
        <v>3000</v>
      </c>
      <c r="R57" s="733">
        <v>3000</v>
      </c>
    </row>
    <row r="58" spans="1:18" ht="12.75">
      <c r="A58" s="661" t="s">
        <v>671</v>
      </c>
      <c r="B58" s="704">
        <v>20</v>
      </c>
      <c r="C58" s="704">
        <v>20</v>
      </c>
      <c r="D58" s="733">
        <v>20</v>
      </c>
      <c r="E58" s="733">
        <v>20</v>
      </c>
      <c r="F58" s="733">
        <v>20</v>
      </c>
      <c r="G58" s="733">
        <v>20</v>
      </c>
      <c r="H58" s="733">
        <v>20</v>
      </c>
      <c r="I58" s="733">
        <v>20</v>
      </c>
      <c r="J58" s="733">
        <v>20</v>
      </c>
      <c r="K58" s="733">
        <v>20</v>
      </c>
      <c r="L58" s="733">
        <v>20</v>
      </c>
      <c r="M58" s="733">
        <v>20</v>
      </c>
      <c r="N58" s="733">
        <v>20</v>
      </c>
      <c r="O58" s="733">
        <v>20</v>
      </c>
      <c r="P58" s="733">
        <v>20</v>
      </c>
      <c r="Q58" s="733">
        <v>20</v>
      </c>
      <c r="R58" s="733">
        <v>20</v>
      </c>
    </row>
    <row r="59" spans="1:18" ht="12.75">
      <c r="A59" s="661" t="s">
        <v>672</v>
      </c>
      <c r="B59" s="733">
        <v>80</v>
      </c>
      <c r="C59" s="733">
        <v>80</v>
      </c>
      <c r="D59" s="733">
        <v>80</v>
      </c>
      <c r="E59" s="733">
        <v>80</v>
      </c>
      <c r="F59" s="733">
        <v>80</v>
      </c>
      <c r="G59" s="733">
        <v>80</v>
      </c>
      <c r="H59" s="733">
        <v>60</v>
      </c>
      <c r="I59" s="733">
        <v>80</v>
      </c>
      <c r="J59" s="733">
        <v>80</v>
      </c>
      <c r="K59" s="733">
        <v>80</v>
      </c>
      <c r="L59" s="733">
        <v>80</v>
      </c>
      <c r="M59" s="733">
        <v>80</v>
      </c>
      <c r="N59" s="733">
        <v>80</v>
      </c>
      <c r="O59" s="733">
        <v>80</v>
      </c>
      <c r="P59" s="733">
        <v>80</v>
      </c>
      <c r="Q59" s="733">
        <v>80</v>
      </c>
      <c r="R59" s="733">
        <v>80</v>
      </c>
    </row>
    <row r="60" spans="1:18" ht="12.75">
      <c r="A60" s="661" t="s">
        <v>673</v>
      </c>
      <c r="B60" s="704">
        <v>5</v>
      </c>
      <c r="C60" s="704">
        <v>5</v>
      </c>
      <c r="D60" s="733">
        <v>5</v>
      </c>
      <c r="E60" s="733">
        <v>5</v>
      </c>
      <c r="F60" s="733">
        <v>5</v>
      </c>
      <c r="G60" s="733">
        <v>5</v>
      </c>
      <c r="H60" s="733">
        <v>5</v>
      </c>
      <c r="I60" s="733">
        <v>5</v>
      </c>
      <c r="J60" s="733">
        <v>5</v>
      </c>
      <c r="K60" s="733">
        <v>5</v>
      </c>
      <c r="L60" s="733">
        <v>5</v>
      </c>
      <c r="M60" s="733">
        <v>5</v>
      </c>
      <c r="N60" s="733">
        <v>5</v>
      </c>
      <c r="O60" s="733">
        <v>5</v>
      </c>
      <c r="P60" s="733">
        <v>5</v>
      </c>
      <c r="Q60" s="733">
        <v>5</v>
      </c>
      <c r="R60" s="733">
        <v>5</v>
      </c>
    </row>
    <row r="61" spans="1:18" ht="12.75">
      <c r="A61" s="661" t="s">
        <v>674</v>
      </c>
      <c r="B61" s="704">
        <v>300</v>
      </c>
      <c r="C61" s="704">
        <v>300</v>
      </c>
      <c r="D61" s="733">
        <v>300</v>
      </c>
      <c r="E61" s="733">
        <v>300</v>
      </c>
      <c r="F61" s="733">
        <v>300</v>
      </c>
      <c r="G61" s="733">
        <v>300</v>
      </c>
      <c r="H61" s="733">
        <v>300</v>
      </c>
      <c r="I61" s="733">
        <v>300</v>
      </c>
      <c r="J61" s="733">
        <v>300</v>
      </c>
      <c r="K61" s="733">
        <v>300</v>
      </c>
      <c r="L61" s="733">
        <v>300</v>
      </c>
      <c r="M61" s="733">
        <v>300</v>
      </c>
      <c r="N61" s="733">
        <v>300</v>
      </c>
      <c r="O61" s="733">
        <v>300</v>
      </c>
      <c r="P61" s="733">
        <v>300</v>
      </c>
      <c r="Q61" s="733">
        <v>300</v>
      </c>
      <c r="R61" s="733">
        <v>300</v>
      </c>
    </row>
    <row r="62" spans="1:18" ht="12.75">
      <c r="A62" s="661" t="s">
        <v>675</v>
      </c>
      <c r="B62" s="704">
        <v>0.8</v>
      </c>
      <c r="C62" s="704">
        <v>0.8</v>
      </c>
      <c r="D62" s="733">
        <v>0.8</v>
      </c>
      <c r="E62" s="733">
        <v>0.8</v>
      </c>
      <c r="F62" s="733">
        <v>0.8</v>
      </c>
      <c r="G62" s="733">
        <v>0.8</v>
      </c>
      <c r="H62" s="733">
        <v>0.8</v>
      </c>
      <c r="I62" s="733">
        <v>0.8</v>
      </c>
      <c r="J62" s="733">
        <v>0.8</v>
      </c>
      <c r="K62" s="733">
        <v>0.8</v>
      </c>
      <c r="L62" s="733">
        <v>0.8</v>
      </c>
      <c r="M62" s="733">
        <v>0.8</v>
      </c>
      <c r="N62" s="733">
        <v>0.8</v>
      </c>
      <c r="O62" s="733">
        <v>0.8</v>
      </c>
      <c r="P62" s="733">
        <v>0.8</v>
      </c>
      <c r="Q62" s="733">
        <v>0.8</v>
      </c>
      <c r="R62" s="733">
        <v>0.8</v>
      </c>
    </row>
    <row r="63" spans="1:18" ht="12.75">
      <c r="A63" s="661" t="s">
        <v>676</v>
      </c>
      <c r="B63" s="704">
        <v>0.05</v>
      </c>
      <c r="C63" s="704">
        <v>0.05</v>
      </c>
      <c r="D63" s="733">
        <v>0.05</v>
      </c>
      <c r="E63" s="733">
        <v>0.05</v>
      </c>
      <c r="F63" s="733">
        <v>0.05</v>
      </c>
      <c r="G63" s="733">
        <v>0.05</v>
      </c>
      <c r="H63" s="733">
        <v>0.05</v>
      </c>
      <c r="I63" s="733">
        <v>0.05</v>
      </c>
      <c r="J63" s="733">
        <v>0.05</v>
      </c>
      <c r="K63" s="733">
        <v>0.05</v>
      </c>
      <c r="L63" s="733">
        <v>0.05</v>
      </c>
      <c r="M63" s="733">
        <v>0.05</v>
      </c>
      <c r="N63" s="733">
        <v>0.05</v>
      </c>
      <c r="O63" s="733">
        <v>0.05</v>
      </c>
      <c r="P63" s="733">
        <v>0.05</v>
      </c>
      <c r="Q63" s="733">
        <v>0.05</v>
      </c>
      <c r="R63" s="733">
        <v>0.05</v>
      </c>
    </row>
    <row r="64" spans="1:18" ht="25.5">
      <c r="A64" s="682" t="s">
        <v>607</v>
      </c>
      <c r="B64" s="704">
        <v>4</v>
      </c>
      <c r="C64" s="704">
        <v>4</v>
      </c>
      <c r="D64" s="733">
        <v>4</v>
      </c>
      <c r="E64" s="733">
        <v>4</v>
      </c>
      <c r="F64" s="733">
        <v>4</v>
      </c>
      <c r="G64" s="733">
        <v>4</v>
      </c>
      <c r="H64" s="733">
        <v>4</v>
      </c>
      <c r="I64" s="733">
        <v>4</v>
      </c>
      <c r="J64" s="733">
        <v>4</v>
      </c>
      <c r="K64" s="733">
        <v>4</v>
      </c>
      <c r="L64" s="733">
        <v>4</v>
      </c>
      <c r="M64" s="733">
        <v>4</v>
      </c>
      <c r="N64" s="733">
        <v>4</v>
      </c>
      <c r="O64" s="733">
        <v>4</v>
      </c>
      <c r="P64" s="733">
        <v>4</v>
      </c>
      <c r="Q64" s="733">
        <v>4</v>
      </c>
      <c r="R64" s="733">
        <v>4</v>
      </c>
    </row>
    <row r="65" spans="1:18" ht="12.75">
      <c r="A65" s="682" t="s">
        <v>608</v>
      </c>
      <c r="B65" s="704">
        <v>1800</v>
      </c>
      <c r="C65" s="704">
        <v>1800</v>
      </c>
      <c r="D65" s="733">
        <v>1800</v>
      </c>
      <c r="E65" s="733">
        <v>1800</v>
      </c>
      <c r="F65" s="733">
        <v>1800</v>
      </c>
      <c r="G65" s="733">
        <v>1800</v>
      </c>
      <c r="H65" s="733">
        <v>1800</v>
      </c>
      <c r="I65" s="733">
        <v>1800</v>
      </c>
      <c r="J65" s="733">
        <v>1800</v>
      </c>
      <c r="K65" s="733">
        <v>1800</v>
      </c>
      <c r="L65" s="733">
        <v>1800</v>
      </c>
      <c r="M65" s="733">
        <v>1800</v>
      </c>
      <c r="N65" s="733">
        <v>1800</v>
      </c>
      <c r="O65" s="733">
        <v>1800</v>
      </c>
      <c r="P65" s="733">
        <v>1800</v>
      </c>
      <c r="Q65" s="733">
        <v>1800</v>
      </c>
      <c r="R65" s="733">
        <v>1800</v>
      </c>
    </row>
    <row r="66" spans="1:18" ht="12.75">
      <c r="A66" s="661" t="s">
        <v>609</v>
      </c>
      <c r="B66" s="704">
        <v>2.2100000000000002E-2</v>
      </c>
      <c r="C66" s="704">
        <v>2.2100000000000002E-2</v>
      </c>
      <c r="D66" s="733">
        <v>2.2100000000000002E-2</v>
      </c>
      <c r="E66" s="733">
        <v>3.1099999999999999E-2</v>
      </c>
      <c r="F66" s="733">
        <v>6.1000000000000004E-3</v>
      </c>
      <c r="G66" s="733">
        <v>6.1000000000000004E-3</v>
      </c>
      <c r="H66" s="733">
        <v>1.1000000000000001E-3</v>
      </c>
      <c r="I66" s="733">
        <v>7.6E-3</v>
      </c>
      <c r="J66" s="733">
        <v>7.6E-3</v>
      </c>
      <c r="K66" s="733">
        <v>7.6E-3</v>
      </c>
      <c r="L66" s="733">
        <v>4.5999999999999999E-3</v>
      </c>
      <c r="M66" s="733">
        <v>4.5999999999999999E-3</v>
      </c>
      <c r="N66" s="665">
        <v>3.0999999999999999E-3</v>
      </c>
      <c r="O66" s="733">
        <v>3.5000000000000001E-3</v>
      </c>
      <c r="P66" s="733">
        <v>1.01E-2</v>
      </c>
      <c r="Q66" s="733">
        <v>6.1000000000000004E-3</v>
      </c>
      <c r="R66" s="733">
        <v>6.1000000000000004E-3</v>
      </c>
    </row>
    <row r="67" spans="1:18" ht="12.75">
      <c r="A67" s="661" t="s">
        <v>611</v>
      </c>
      <c r="B67" s="704">
        <v>9.8100000000000007E-2</v>
      </c>
      <c r="C67" s="704">
        <v>9.8100000000000007E-2</v>
      </c>
      <c r="D67" s="733">
        <v>9.8100000000000007E-2</v>
      </c>
      <c r="E67" s="733">
        <v>1.6E-2</v>
      </c>
      <c r="F67" s="733">
        <v>4.7500000000000001E-2</v>
      </c>
      <c r="G67" s="733">
        <v>4.7500000000000001E-2</v>
      </c>
      <c r="H67" s="733">
        <v>2.9100000000000001E-2</v>
      </c>
      <c r="I67" s="733">
        <v>5.0000000000000001E-3</v>
      </c>
      <c r="J67" s="733">
        <v>5.0000000000000001E-3</v>
      </c>
      <c r="K67" s="733">
        <v>5.0000000000000001E-3</v>
      </c>
      <c r="L67" s="733">
        <v>3.7499999999999999E-2</v>
      </c>
      <c r="M67" s="733">
        <v>3.7499999999999999E-2</v>
      </c>
      <c r="N67" s="665">
        <v>2.5499999999999998E-2</v>
      </c>
      <c r="O67" s="733">
        <v>2.2100000000000002E-2</v>
      </c>
      <c r="P67" s="733">
        <v>6.4999999999999997E-3</v>
      </c>
      <c r="Q67" s="733">
        <v>4.4499999999999998E-2</v>
      </c>
      <c r="R67" s="733">
        <v>4.7500000000000001E-2</v>
      </c>
    </row>
    <row r="68" spans="1:18" ht="12.75">
      <c r="A68" s="661" t="s">
        <v>613</v>
      </c>
      <c r="B68" s="704">
        <v>1</v>
      </c>
      <c r="C68" s="704">
        <v>1</v>
      </c>
      <c r="D68" s="733">
        <v>1</v>
      </c>
      <c r="E68" s="733">
        <v>1</v>
      </c>
      <c r="F68" s="733">
        <v>1</v>
      </c>
      <c r="G68" s="733">
        <v>1</v>
      </c>
      <c r="H68" s="733">
        <v>1</v>
      </c>
      <c r="I68" s="733">
        <v>1</v>
      </c>
      <c r="J68" s="733">
        <v>1</v>
      </c>
      <c r="K68" s="733">
        <v>1</v>
      </c>
      <c r="L68" s="733">
        <v>1</v>
      </c>
      <c r="M68" s="733">
        <v>1</v>
      </c>
      <c r="N68" s="665">
        <v>1</v>
      </c>
      <c r="O68" s="733">
        <v>1</v>
      </c>
      <c r="P68" s="733">
        <v>1</v>
      </c>
      <c r="Q68" s="733">
        <v>1</v>
      </c>
      <c r="R68" s="733">
        <v>1</v>
      </c>
    </row>
    <row r="69" spans="1:18" ht="12.75">
      <c r="A69" s="661" t="s">
        <v>615</v>
      </c>
      <c r="B69" s="704">
        <v>4.4999999999999997E-3</v>
      </c>
      <c r="C69" s="704">
        <v>4.4999999999999997E-3</v>
      </c>
      <c r="D69" s="733">
        <v>4.4999999999999997E-3</v>
      </c>
      <c r="E69" s="733">
        <v>3.5000000000000001E-3</v>
      </c>
      <c r="F69" s="733">
        <v>1.4999999999999999E-4</v>
      </c>
      <c r="G69" s="733">
        <v>1.4999999999999999E-4</v>
      </c>
      <c r="H69" s="733">
        <v>5.9999999999999995E-4</v>
      </c>
      <c r="I69" s="733">
        <v>1.4999999999999999E-4</v>
      </c>
      <c r="J69" s="733">
        <v>1.4999999999999999E-4</v>
      </c>
      <c r="K69" s="733">
        <v>1.4999999999999999E-4</v>
      </c>
      <c r="L69" s="733">
        <v>1.4999999999999999E-4</v>
      </c>
      <c r="M69" s="733">
        <v>1.4999999999999999E-4</v>
      </c>
      <c r="N69" s="665">
        <v>2.0000000000000001E-4</v>
      </c>
      <c r="O69" s="733">
        <v>6.9999999999999999E-4</v>
      </c>
      <c r="P69" s="733">
        <v>1.4999999999999999E-4</v>
      </c>
      <c r="Q69" s="733">
        <v>2.5000000000000001E-4</v>
      </c>
      <c r="R69" s="733">
        <v>1.4999999999999999E-4</v>
      </c>
    </row>
    <row r="70" spans="1:18" ht="12.75">
      <c r="A70" s="661" t="s">
        <v>729</v>
      </c>
      <c r="B70" s="704">
        <v>10</v>
      </c>
      <c r="C70" s="704">
        <v>10</v>
      </c>
      <c r="D70" s="733">
        <v>2</v>
      </c>
      <c r="E70" s="733">
        <v>10</v>
      </c>
      <c r="F70" s="733">
        <v>2</v>
      </c>
      <c r="G70" s="733">
        <v>2</v>
      </c>
      <c r="H70" s="733">
        <v>2</v>
      </c>
      <c r="I70" s="733">
        <v>2</v>
      </c>
      <c r="J70" s="733">
        <v>2</v>
      </c>
      <c r="K70" s="733">
        <v>2</v>
      </c>
      <c r="L70" s="733">
        <v>2</v>
      </c>
      <c r="M70" s="733">
        <v>2</v>
      </c>
      <c r="N70" s="733">
        <v>2</v>
      </c>
      <c r="O70" s="733">
        <v>2</v>
      </c>
      <c r="P70" s="733">
        <v>2</v>
      </c>
      <c r="Q70" s="733">
        <v>2</v>
      </c>
      <c r="R70" s="733">
        <v>2</v>
      </c>
    </row>
    <row r="71" spans="1:18" ht="24" customHeight="1">
      <c r="A71" s="707" t="s">
        <v>617</v>
      </c>
      <c r="B71" s="708"/>
      <c r="C71" s="708"/>
      <c r="D71" s="710"/>
      <c r="E71" s="710"/>
      <c r="F71" s="710"/>
      <c r="G71" s="710"/>
      <c r="H71" s="710"/>
      <c r="I71" s="710"/>
      <c r="J71" s="710"/>
      <c r="K71" s="710"/>
      <c r="L71" s="710"/>
      <c r="M71" s="710"/>
      <c r="N71" s="710"/>
      <c r="O71" s="710"/>
      <c r="P71" s="710"/>
      <c r="Q71" s="710"/>
      <c r="R71" s="710"/>
    </row>
    <row r="72" spans="1:18" ht="12.75">
      <c r="A72" s="661" t="s">
        <v>618</v>
      </c>
      <c r="B72" s="661">
        <f t="shared" ref="B72:D72" si="13">90*0.217616</f>
        <v>19.585440000000002</v>
      </c>
      <c r="C72" s="661">
        <f t="shared" si="13"/>
        <v>19.585440000000002</v>
      </c>
      <c r="D72" s="661">
        <f t="shared" si="13"/>
        <v>19.585440000000002</v>
      </c>
      <c r="E72" s="661">
        <f>90*0.244082</f>
        <v>21.967379999999999</v>
      </c>
      <c r="F72" s="661">
        <f t="shared" ref="F72:G72" si="14">90*0.268941</f>
        <v>24.204689999999999</v>
      </c>
      <c r="G72" s="661">
        <f t="shared" si="14"/>
        <v>24.204689999999999</v>
      </c>
      <c r="H72" s="661">
        <f>90*0.33381</f>
        <v>30.042899999999999</v>
      </c>
      <c r="I72" s="661">
        <f t="shared" ref="I72:K72" si="15">90*0.460812</f>
        <v>41.473080000000003</v>
      </c>
      <c r="J72" s="661">
        <f t="shared" si="15"/>
        <v>41.473080000000003</v>
      </c>
      <c r="K72" s="661">
        <f t="shared" si="15"/>
        <v>41.473080000000003</v>
      </c>
      <c r="L72" s="661">
        <f t="shared" ref="L72:M72" si="16">90*0.375092</f>
        <v>33.758279999999999</v>
      </c>
      <c r="M72" s="733">
        <f t="shared" si="16"/>
        <v>33.758279999999999</v>
      </c>
      <c r="N72" s="661">
        <f>90*0.351321</f>
        <v>31.61889</v>
      </c>
      <c r="O72" s="661">
        <f t="shared" ref="O72:P72" si="17">90*0.330668</f>
        <v>29.760120000000001</v>
      </c>
      <c r="P72" s="661">
        <f t="shared" si="17"/>
        <v>29.760120000000001</v>
      </c>
      <c r="Q72" s="661">
        <f>90*0.366471</f>
        <v>32.982390000000002</v>
      </c>
      <c r="R72" s="661">
        <f>90*0.268941</f>
        <v>24.204689999999999</v>
      </c>
    </row>
    <row r="73" spans="1:18" ht="12.75">
      <c r="A73" s="661" t="s">
        <v>619</v>
      </c>
      <c r="B73" s="661">
        <v>21.14</v>
      </c>
      <c r="C73" s="661">
        <v>21.14</v>
      </c>
      <c r="D73" s="661">
        <v>21.14</v>
      </c>
      <c r="E73" s="661">
        <v>25.088000000000001</v>
      </c>
      <c r="F73" s="661">
        <v>42.257899999999999</v>
      </c>
      <c r="G73" s="661">
        <v>42.257899999999999</v>
      </c>
      <c r="H73" s="661">
        <v>46.819099999999999</v>
      </c>
      <c r="I73" s="661">
        <v>53.586399999999998</v>
      </c>
      <c r="J73" s="661">
        <v>53.586399999999998</v>
      </c>
      <c r="K73" s="661">
        <v>53.586399999999998</v>
      </c>
      <c r="L73" s="661">
        <v>41.403599999999997</v>
      </c>
      <c r="M73" s="733">
        <v>41.403599999999997</v>
      </c>
      <c r="N73" s="661">
        <v>61.0884</v>
      </c>
      <c r="O73" s="661">
        <v>46.746899999999997</v>
      </c>
      <c r="P73" s="661">
        <v>46.746899999999997</v>
      </c>
      <c r="Q73" s="661">
        <v>32.111400000000003</v>
      </c>
      <c r="R73" s="661">
        <v>42.257899999999999</v>
      </c>
    </row>
    <row r="74" spans="1:18" ht="12.75">
      <c r="A74" s="661" t="s">
        <v>621</v>
      </c>
      <c r="B74" s="661">
        <v>1.2</v>
      </c>
      <c r="C74" s="661">
        <v>1.2</v>
      </c>
      <c r="D74" s="733">
        <v>1.2</v>
      </c>
      <c r="E74" s="733">
        <v>1.2</v>
      </c>
      <c r="F74" s="733">
        <v>1.2749999999999999</v>
      </c>
      <c r="G74" s="733">
        <v>1.2749999999999999</v>
      </c>
      <c r="H74" s="733">
        <v>1.2749999999999999</v>
      </c>
      <c r="I74" s="733">
        <v>1.45</v>
      </c>
      <c r="J74" s="733">
        <v>1.45</v>
      </c>
      <c r="K74" s="733">
        <v>1.45</v>
      </c>
      <c r="L74" s="733">
        <v>1.4</v>
      </c>
      <c r="M74" s="733">
        <v>1.4</v>
      </c>
      <c r="N74" s="733">
        <v>1.4</v>
      </c>
      <c r="O74" s="733">
        <v>1.4</v>
      </c>
      <c r="P74" s="733">
        <v>1.4</v>
      </c>
      <c r="Q74" s="733">
        <v>1.4</v>
      </c>
      <c r="R74" s="733">
        <v>1.2749999999999999</v>
      </c>
    </row>
    <row r="75" spans="1:18" ht="12.75">
      <c r="A75" s="661" t="s">
        <v>622</v>
      </c>
      <c r="B75" s="669" t="s">
        <v>293</v>
      </c>
      <c r="C75" s="669" t="s">
        <v>293</v>
      </c>
      <c r="D75" s="741" t="s">
        <v>293</v>
      </c>
      <c r="E75" s="741" t="s">
        <v>293</v>
      </c>
      <c r="F75" s="741" t="s">
        <v>293</v>
      </c>
      <c r="G75" s="741" t="s">
        <v>293</v>
      </c>
      <c r="H75" s="741" t="s">
        <v>293</v>
      </c>
      <c r="I75" s="741" t="s">
        <v>293</v>
      </c>
      <c r="J75" s="741" t="s">
        <v>293</v>
      </c>
      <c r="K75" s="741" t="s">
        <v>293</v>
      </c>
      <c r="L75" s="741" t="s">
        <v>293</v>
      </c>
      <c r="M75" s="741" t="s">
        <v>293</v>
      </c>
      <c r="N75" s="741" t="s">
        <v>293</v>
      </c>
      <c r="O75" s="741" t="s">
        <v>293</v>
      </c>
      <c r="P75" s="741" t="s">
        <v>293</v>
      </c>
      <c r="Q75" s="741" t="s">
        <v>293</v>
      </c>
      <c r="R75" s="741" t="s">
        <v>293</v>
      </c>
    </row>
    <row r="76" spans="1:18" ht="12.75">
      <c r="A76" s="661" t="s">
        <v>623</v>
      </c>
      <c r="B76" s="661">
        <v>1800</v>
      </c>
      <c r="C76" s="661">
        <v>1800</v>
      </c>
      <c r="D76" s="733">
        <v>1800</v>
      </c>
      <c r="E76" s="733">
        <v>1800</v>
      </c>
      <c r="F76" s="733">
        <v>1500</v>
      </c>
      <c r="G76" s="733">
        <v>1500</v>
      </c>
      <c r="H76" s="733">
        <v>1500</v>
      </c>
      <c r="I76" s="733">
        <v>1500</v>
      </c>
      <c r="J76" s="733">
        <v>1500</v>
      </c>
      <c r="K76" s="733">
        <v>1500</v>
      </c>
      <c r="L76" s="733">
        <v>1500</v>
      </c>
      <c r="M76" s="733">
        <v>1500</v>
      </c>
      <c r="N76" s="733">
        <v>1500</v>
      </c>
      <c r="O76" s="733">
        <v>1500</v>
      </c>
      <c r="P76" s="733">
        <v>1500</v>
      </c>
      <c r="Q76" s="733">
        <v>1500</v>
      </c>
      <c r="R76" s="733">
        <v>1500</v>
      </c>
    </row>
    <row r="77" spans="1:18" ht="12.75">
      <c r="A77" s="661" t="s">
        <v>624</v>
      </c>
      <c r="B77" s="661">
        <v>4.3</v>
      </c>
      <c r="C77" s="661">
        <v>4.3</v>
      </c>
      <c r="D77" s="733">
        <v>4.3</v>
      </c>
      <c r="E77" s="733">
        <v>4</v>
      </c>
      <c r="F77" s="733">
        <v>4</v>
      </c>
      <c r="G77" s="733">
        <v>4</v>
      </c>
      <c r="H77" s="733">
        <v>4</v>
      </c>
      <c r="I77" s="733">
        <v>4</v>
      </c>
      <c r="J77" s="733">
        <v>4</v>
      </c>
      <c r="K77" s="733">
        <v>4</v>
      </c>
      <c r="L77" s="733">
        <v>4</v>
      </c>
      <c r="M77" s="733">
        <v>4</v>
      </c>
      <c r="N77" s="733">
        <v>4</v>
      </c>
      <c r="O77" s="733">
        <v>4</v>
      </c>
      <c r="P77" s="733">
        <v>4</v>
      </c>
      <c r="Q77" s="733">
        <v>4</v>
      </c>
      <c r="R77" s="733">
        <v>4</v>
      </c>
    </row>
    <row r="78" spans="1:18" ht="12.75">
      <c r="A78" s="661" t="s">
        <v>625</v>
      </c>
      <c r="B78" s="661">
        <v>150</v>
      </c>
      <c r="C78" s="661">
        <v>150</v>
      </c>
      <c r="D78" s="733">
        <v>150</v>
      </c>
      <c r="E78" s="733">
        <v>110</v>
      </c>
      <c r="F78" s="733">
        <v>80</v>
      </c>
      <c r="G78" s="733">
        <v>80</v>
      </c>
      <c r="H78" s="733">
        <v>80</v>
      </c>
      <c r="I78" s="733">
        <v>80</v>
      </c>
      <c r="J78" s="733">
        <v>120</v>
      </c>
      <c r="K78" s="733">
        <v>80</v>
      </c>
      <c r="L78" s="733">
        <v>80</v>
      </c>
      <c r="M78" s="733">
        <v>80</v>
      </c>
      <c r="N78" s="733">
        <v>50</v>
      </c>
      <c r="O78" s="733">
        <v>80</v>
      </c>
      <c r="P78" s="733">
        <v>80</v>
      </c>
      <c r="Q78" s="733">
        <v>100</v>
      </c>
      <c r="R78" s="733">
        <v>80</v>
      </c>
    </row>
    <row r="79" spans="1:18" ht="12.75">
      <c r="A79" s="661" t="s">
        <v>629</v>
      </c>
      <c r="B79" s="661">
        <v>30</v>
      </c>
      <c r="C79" s="661">
        <v>30</v>
      </c>
      <c r="D79" s="733">
        <v>30</v>
      </c>
      <c r="E79" s="733">
        <v>30</v>
      </c>
      <c r="F79" s="733">
        <v>30</v>
      </c>
      <c r="G79" s="733">
        <v>30</v>
      </c>
      <c r="H79" s="733">
        <v>30</v>
      </c>
      <c r="I79" s="733">
        <v>30</v>
      </c>
      <c r="J79" s="733">
        <v>30</v>
      </c>
      <c r="K79" s="733">
        <v>30</v>
      </c>
      <c r="L79" s="733">
        <v>30</v>
      </c>
      <c r="M79" s="733">
        <v>30</v>
      </c>
      <c r="N79" s="733">
        <v>30</v>
      </c>
      <c r="O79" s="733">
        <v>30</v>
      </c>
      <c r="P79" s="733">
        <v>30</v>
      </c>
      <c r="Q79" s="733">
        <v>30</v>
      </c>
      <c r="R79" s="733">
        <v>30</v>
      </c>
    </row>
    <row r="80" spans="1:18" ht="12.75">
      <c r="A80" s="661" t="s">
        <v>630</v>
      </c>
      <c r="B80" s="661">
        <v>150</v>
      </c>
      <c r="C80" s="661">
        <v>150</v>
      </c>
      <c r="D80" s="733">
        <v>150</v>
      </c>
      <c r="E80" s="733">
        <v>150</v>
      </c>
      <c r="F80" s="733">
        <v>80</v>
      </c>
      <c r="G80" s="733">
        <v>80</v>
      </c>
      <c r="H80" s="733">
        <v>80</v>
      </c>
      <c r="I80" s="733">
        <v>80</v>
      </c>
      <c r="J80" s="733">
        <v>120</v>
      </c>
      <c r="K80" s="733">
        <v>80</v>
      </c>
      <c r="L80" s="733">
        <v>80</v>
      </c>
      <c r="M80" s="733">
        <v>80</v>
      </c>
      <c r="N80" s="733">
        <v>50</v>
      </c>
      <c r="O80" s="733">
        <v>80</v>
      </c>
      <c r="P80" s="733">
        <v>80</v>
      </c>
      <c r="Q80" s="733">
        <v>100</v>
      </c>
      <c r="R80" s="733">
        <v>80</v>
      </c>
    </row>
    <row r="81" spans="1:18" ht="12.75">
      <c r="A81" s="661" t="s">
        <v>631</v>
      </c>
      <c r="B81" s="661">
        <v>17</v>
      </c>
      <c r="C81" s="661">
        <v>17</v>
      </c>
      <c r="D81" s="733">
        <v>17</v>
      </c>
      <c r="E81" s="733">
        <v>20</v>
      </c>
      <c r="F81" s="733">
        <v>35</v>
      </c>
      <c r="G81" s="733">
        <v>35</v>
      </c>
      <c r="H81" s="733">
        <v>35</v>
      </c>
      <c r="I81" s="733">
        <v>50</v>
      </c>
      <c r="J81" s="733">
        <v>50</v>
      </c>
      <c r="K81" s="733">
        <v>50</v>
      </c>
      <c r="L81" s="733">
        <v>40</v>
      </c>
      <c r="M81" s="733">
        <v>40</v>
      </c>
      <c r="N81" s="733">
        <v>50</v>
      </c>
      <c r="O81" s="733">
        <v>40</v>
      </c>
      <c r="P81" s="733">
        <v>40</v>
      </c>
      <c r="Q81" s="733">
        <v>32</v>
      </c>
      <c r="R81" s="733">
        <v>35</v>
      </c>
    </row>
    <row r="82" spans="1:18" ht="12.75">
      <c r="A82" s="661" t="s">
        <v>632</v>
      </c>
      <c r="B82" s="661">
        <v>17</v>
      </c>
      <c r="C82" s="661">
        <v>17</v>
      </c>
      <c r="D82" s="661">
        <v>17</v>
      </c>
      <c r="E82" s="661">
        <v>20</v>
      </c>
      <c r="F82" s="733">
        <v>35</v>
      </c>
      <c r="G82" s="733">
        <v>35</v>
      </c>
      <c r="H82" s="733">
        <v>35</v>
      </c>
      <c r="I82" s="733">
        <v>50</v>
      </c>
      <c r="J82" s="733">
        <v>50</v>
      </c>
      <c r="K82" s="733">
        <v>50</v>
      </c>
      <c r="L82" s="733">
        <v>38</v>
      </c>
      <c r="M82" s="733">
        <v>38</v>
      </c>
      <c r="N82" s="733">
        <v>50</v>
      </c>
      <c r="O82" s="733">
        <v>40</v>
      </c>
      <c r="P82" s="733">
        <v>40</v>
      </c>
      <c r="Q82" s="733">
        <v>32</v>
      </c>
      <c r="R82" s="733">
        <v>35</v>
      </c>
    </row>
    <row r="83" spans="1:18" ht="12.75">
      <c r="A83" s="661" t="s">
        <v>626</v>
      </c>
      <c r="B83" s="704">
        <v>2.5</v>
      </c>
      <c r="C83" s="704">
        <v>2.5</v>
      </c>
      <c r="D83" s="733">
        <v>2.5</v>
      </c>
      <c r="E83" s="741" t="s">
        <v>293</v>
      </c>
      <c r="F83" s="733">
        <v>0.6</v>
      </c>
      <c r="G83" s="733">
        <v>0.6</v>
      </c>
      <c r="H83" s="733">
        <v>0.3</v>
      </c>
      <c r="I83" s="733">
        <v>0.3</v>
      </c>
      <c r="J83" s="733">
        <v>0.3</v>
      </c>
      <c r="K83" s="733">
        <v>0.3</v>
      </c>
      <c r="L83" s="733">
        <v>0.3</v>
      </c>
      <c r="M83" s="733">
        <v>0.3</v>
      </c>
      <c r="N83" s="733">
        <v>0.3</v>
      </c>
      <c r="O83" s="733">
        <v>0.3</v>
      </c>
      <c r="P83" s="733">
        <v>0.3</v>
      </c>
      <c r="Q83" s="733">
        <v>0.3</v>
      </c>
      <c r="R83" s="733">
        <v>0.5</v>
      </c>
    </row>
    <row r="84" spans="1:18" ht="12.75">
      <c r="A84" s="661" t="s">
        <v>627</v>
      </c>
      <c r="B84" s="667" t="s">
        <v>293</v>
      </c>
      <c r="C84" s="667" t="s">
        <v>293</v>
      </c>
      <c r="D84" s="741" t="s">
        <v>293</v>
      </c>
      <c r="E84" s="741" t="s">
        <v>293</v>
      </c>
      <c r="F84" s="741" t="s">
        <v>293</v>
      </c>
      <c r="G84" s="741" t="s">
        <v>293</v>
      </c>
      <c r="H84" s="741" t="s">
        <v>293</v>
      </c>
      <c r="I84" s="741" t="s">
        <v>293</v>
      </c>
      <c r="J84" s="741" t="s">
        <v>293</v>
      </c>
      <c r="K84" s="741" t="s">
        <v>293</v>
      </c>
      <c r="L84" s="741" t="s">
        <v>293</v>
      </c>
      <c r="M84" s="741" t="s">
        <v>293</v>
      </c>
      <c r="N84" s="741" t="s">
        <v>293</v>
      </c>
      <c r="O84" s="741" t="s">
        <v>293</v>
      </c>
      <c r="P84" s="741" t="s">
        <v>293</v>
      </c>
      <c r="Q84" s="741" t="s">
        <v>293</v>
      </c>
      <c r="R84" s="741" t="s">
        <v>293</v>
      </c>
    </row>
    <row r="85" spans="1:18" ht="12.75">
      <c r="A85" s="661" t="s">
        <v>628</v>
      </c>
      <c r="B85" s="704">
        <v>3.5</v>
      </c>
      <c r="C85" s="704">
        <v>3.5</v>
      </c>
      <c r="D85" s="733">
        <v>3.5</v>
      </c>
      <c r="E85" s="741" t="s">
        <v>293</v>
      </c>
      <c r="F85" s="733">
        <v>0.6</v>
      </c>
      <c r="G85" s="733">
        <v>0.6</v>
      </c>
      <c r="H85" s="733">
        <v>0.31</v>
      </c>
      <c r="I85" s="733">
        <v>0.31</v>
      </c>
      <c r="J85" s="733">
        <v>0.31</v>
      </c>
      <c r="K85" s="733">
        <v>0.31</v>
      </c>
      <c r="L85" s="733">
        <v>0.31</v>
      </c>
      <c r="M85" s="733">
        <v>0.31</v>
      </c>
      <c r="N85" s="733">
        <v>0.16</v>
      </c>
      <c r="O85" s="733">
        <v>0.31</v>
      </c>
      <c r="P85" s="733">
        <v>0.31</v>
      </c>
      <c r="Q85" s="733">
        <v>0.31</v>
      </c>
      <c r="R85" s="733">
        <v>0.51</v>
      </c>
    </row>
    <row r="86" spans="1:18" ht="12.75">
      <c r="A86" s="681" t="s">
        <v>686</v>
      </c>
      <c r="B86" s="762" t="s">
        <v>328</v>
      </c>
      <c r="C86" s="762" t="s">
        <v>328</v>
      </c>
      <c r="D86" s="745" t="s">
        <v>328</v>
      </c>
      <c r="E86" s="745" t="s">
        <v>328</v>
      </c>
      <c r="F86" s="745" t="s">
        <v>328</v>
      </c>
      <c r="G86" s="745" t="s">
        <v>328</v>
      </c>
      <c r="H86" s="745" t="s">
        <v>328</v>
      </c>
      <c r="I86" s="745" t="s">
        <v>328</v>
      </c>
      <c r="J86" s="745" t="s">
        <v>328</v>
      </c>
      <c r="K86" s="745" t="s">
        <v>328</v>
      </c>
      <c r="L86" s="745" t="s">
        <v>328</v>
      </c>
      <c r="M86" s="745" t="s">
        <v>328</v>
      </c>
      <c r="N86" s="745" t="s">
        <v>328</v>
      </c>
      <c r="O86" s="745" t="s">
        <v>328</v>
      </c>
      <c r="P86" s="745" t="s">
        <v>328</v>
      </c>
      <c r="Q86" s="745" t="s">
        <v>328</v>
      </c>
      <c r="R86" s="745" t="s">
        <v>328</v>
      </c>
    </row>
    <row r="87" spans="1:18" ht="12.75">
      <c r="A87" s="681" t="s">
        <v>687</v>
      </c>
      <c r="B87" s="704">
        <v>17.5</v>
      </c>
      <c r="C87" s="704">
        <v>17.5</v>
      </c>
      <c r="D87" s="733">
        <v>17.5</v>
      </c>
      <c r="E87" s="733">
        <v>15</v>
      </c>
      <c r="F87" s="733">
        <v>22.5</v>
      </c>
      <c r="G87" s="733">
        <v>22.5</v>
      </c>
      <c r="H87" s="733">
        <v>25</v>
      </c>
      <c r="I87" s="733">
        <v>24</v>
      </c>
      <c r="J87" s="733">
        <v>24</v>
      </c>
      <c r="K87" s="733">
        <v>24</v>
      </c>
      <c r="L87" s="733">
        <v>20</v>
      </c>
      <c r="M87" s="733">
        <v>20</v>
      </c>
      <c r="N87" s="733">
        <v>5</v>
      </c>
      <c r="O87" s="733">
        <v>27.5</v>
      </c>
      <c r="P87" s="733">
        <v>27.5</v>
      </c>
      <c r="Q87" s="733">
        <v>20</v>
      </c>
      <c r="R87" s="733">
        <v>22.5</v>
      </c>
    </row>
    <row r="88" spans="1:18" ht="12.75">
      <c r="A88" s="681" t="s">
        <v>688</v>
      </c>
      <c r="B88" s="704">
        <v>-7.75</v>
      </c>
      <c r="C88" s="746">
        <v>-7.75</v>
      </c>
      <c r="D88" s="733">
        <v>-7.75</v>
      </c>
      <c r="E88" s="733">
        <v>-7.5</v>
      </c>
      <c r="F88" s="733">
        <v>-3.5</v>
      </c>
      <c r="G88" s="733">
        <v>-3.5</v>
      </c>
      <c r="H88" s="733">
        <v>-15</v>
      </c>
      <c r="I88" s="733">
        <v>-3.5</v>
      </c>
      <c r="J88" s="733">
        <v>-3.5</v>
      </c>
      <c r="K88" s="733">
        <v>-3.5</v>
      </c>
      <c r="L88" s="733">
        <v>-2.25</v>
      </c>
      <c r="M88" s="733">
        <v>-2.25</v>
      </c>
      <c r="N88" s="733">
        <v>-5</v>
      </c>
      <c r="O88" s="733">
        <v>-3.5</v>
      </c>
      <c r="P88" s="733">
        <v>-3.5</v>
      </c>
      <c r="Q88" s="733">
        <v>-2.25</v>
      </c>
      <c r="R88" s="733">
        <v>-3.5</v>
      </c>
    </row>
    <row r="89" spans="1:18" ht="12.75">
      <c r="A89" s="746" t="s">
        <v>689</v>
      </c>
      <c r="B89" s="704">
        <v>0.25</v>
      </c>
      <c r="C89" s="746">
        <v>0.25</v>
      </c>
      <c r="D89" s="733">
        <v>0.25</v>
      </c>
      <c r="E89" s="733">
        <v>0.5</v>
      </c>
      <c r="F89" s="733">
        <v>0.75</v>
      </c>
      <c r="G89" s="733">
        <v>0.75</v>
      </c>
      <c r="H89" s="733">
        <v>0.75</v>
      </c>
      <c r="I89" s="733">
        <v>0.5</v>
      </c>
      <c r="J89" s="733">
        <v>0.5</v>
      </c>
      <c r="K89" s="733">
        <v>0.5</v>
      </c>
      <c r="L89" s="733">
        <v>0.5</v>
      </c>
      <c r="M89" s="733">
        <v>0.5</v>
      </c>
      <c r="N89" s="733">
        <v>2.5</v>
      </c>
      <c r="O89" s="733">
        <v>0.5</v>
      </c>
      <c r="P89" s="733">
        <v>0.5</v>
      </c>
      <c r="Q89" s="733">
        <v>0.5</v>
      </c>
      <c r="R89" s="733">
        <v>0.75</v>
      </c>
    </row>
    <row r="90" spans="1:18" ht="12.75">
      <c r="A90" s="661" t="s">
        <v>633</v>
      </c>
      <c r="B90" s="667" t="s">
        <v>324</v>
      </c>
      <c r="C90" s="668" t="s">
        <v>324</v>
      </c>
      <c r="D90" s="669" t="s">
        <v>324</v>
      </c>
      <c r="E90" s="669" t="s">
        <v>324</v>
      </c>
      <c r="F90" s="669" t="s">
        <v>324</v>
      </c>
      <c r="G90" s="669" t="s">
        <v>324</v>
      </c>
      <c r="H90" s="669" t="s">
        <v>324</v>
      </c>
      <c r="I90" s="669" t="s">
        <v>324</v>
      </c>
      <c r="J90" s="669" t="s">
        <v>324</v>
      </c>
      <c r="K90" s="741" t="s">
        <v>324</v>
      </c>
      <c r="L90" s="670" t="s">
        <v>324</v>
      </c>
      <c r="M90" s="741" t="s">
        <v>324</v>
      </c>
      <c r="N90" s="669" t="s">
        <v>328</v>
      </c>
      <c r="O90" s="668" t="s">
        <v>324</v>
      </c>
      <c r="P90" s="668" t="s">
        <v>324</v>
      </c>
      <c r="Q90" s="669" t="s">
        <v>324</v>
      </c>
      <c r="R90" s="669" t="s">
        <v>324</v>
      </c>
    </row>
    <row r="91" spans="1:18" ht="12.75">
      <c r="A91" s="661" t="s">
        <v>634</v>
      </c>
      <c r="B91" s="667" t="s">
        <v>293</v>
      </c>
      <c r="C91" s="668" t="s">
        <v>293</v>
      </c>
      <c r="D91" s="717" t="s">
        <v>293</v>
      </c>
      <c r="E91" s="717" t="s">
        <v>293</v>
      </c>
      <c r="F91" s="717" t="s">
        <v>293</v>
      </c>
      <c r="G91" s="717" t="s">
        <v>293</v>
      </c>
      <c r="H91" s="717" t="s">
        <v>293</v>
      </c>
      <c r="I91" s="717" t="s">
        <v>293</v>
      </c>
      <c r="J91" s="717" t="s">
        <v>293</v>
      </c>
      <c r="K91" s="745" t="s">
        <v>293</v>
      </c>
      <c r="L91" s="718" t="s">
        <v>293</v>
      </c>
      <c r="M91" s="745" t="s">
        <v>293</v>
      </c>
      <c r="N91" s="763">
        <f>0.025*90</f>
        <v>2.25</v>
      </c>
      <c r="O91" s="719" t="s">
        <v>293</v>
      </c>
      <c r="P91" s="719" t="s">
        <v>293</v>
      </c>
      <c r="Q91" s="717" t="s">
        <v>293</v>
      </c>
      <c r="R91" s="717" t="s">
        <v>293</v>
      </c>
    </row>
    <row r="92" spans="1:18" ht="12.75">
      <c r="A92" s="661" t="s">
        <v>730</v>
      </c>
      <c r="B92" s="667" t="s">
        <v>293</v>
      </c>
      <c r="C92" s="667" t="s">
        <v>293</v>
      </c>
      <c r="D92" s="667" t="s">
        <v>293</v>
      </c>
      <c r="E92" s="667" t="s">
        <v>293</v>
      </c>
      <c r="F92" s="717" t="s">
        <v>293</v>
      </c>
      <c r="G92" s="717" t="s">
        <v>293</v>
      </c>
      <c r="H92" s="733" t="s">
        <v>731</v>
      </c>
      <c r="I92" s="717" t="s">
        <v>293</v>
      </c>
      <c r="J92" s="717" t="s">
        <v>293</v>
      </c>
      <c r="K92" s="717" t="s">
        <v>293</v>
      </c>
      <c r="L92" s="718" t="s">
        <v>293</v>
      </c>
      <c r="M92" s="745" t="s">
        <v>293</v>
      </c>
      <c r="N92" s="718" t="s">
        <v>293</v>
      </c>
      <c r="O92" s="718" t="s">
        <v>293</v>
      </c>
      <c r="P92" s="718" t="s">
        <v>293</v>
      </c>
      <c r="Q92" s="717" t="s">
        <v>293</v>
      </c>
      <c r="R92" s="717" t="s">
        <v>293</v>
      </c>
    </row>
    <row r="93" spans="1:18" ht="12.75">
      <c r="A93" s="661" t="s">
        <v>730</v>
      </c>
      <c r="B93" s="667" t="s">
        <v>293</v>
      </c>
      <c r="C93" s="667" t="s">
        <v>293</v>
      </c>
      <c r="D93" s="667" t="s">
        <v>293</v>
      </c>
      <c r="E93" s="667" t="s">
        <v>293</v>
      </c>
      <c r="F93" s="717" t="s">
        <v>293</v>
      </c>
      <c r="G93" s="717" t="s">
        <v>293</v>
      </c>
      <c r="H93" s="733" t="s">
        <v>732</v>
      </c>
      <c r="I93" s="717" t="s">
        <v>293</v>
      </c>
      <c r="J93" s="717" t="s">
        <v>293</v>
      </c>
      <c r="K93" s="717" t="s">
        <v>293</v>
      </c>
      <c r="L93" s="718" t="s">
        <v>293</v>
      </c>
      <c r="M93" s="745" t="s">
        <v>293</v>
      </c>
      <c r="N93" s="718" t="s">
        <v>293</v>
      </c>
      <c r="O93" s="718" t="s">
        <v>293</v>
      </c>
      <c r="P93" s="718" t="s">
        <v>293</v>
      </c>
      <c r="Q93" s="717" t="s">
        <v>293</v>
      </c>
      <c r="R93" s="717" t="s">
        <v>293</v>
      </c>
    </row>
    <row r="94" spans="1:18" ht="12.75">
      <c r="A94" s="661" t="s">
        <v>730</v>
      </c>
      <c r="B94" s="667" t="s">
        <v>293</v>
      </c>
      <c r="C94" s="667" t="s">
        <v>293</v>
      </c>
      <c r="D94" s="667" t="s">
        <v>293</v>
      </c>
      <c r="E94" s="667" t="s">
        <v>293</v>
      </c>
      <c r="F94" s="733" t="s">
        <v>733</v>
      </c>
      <c r="G94" s="733" t="s">
        <v>733</v>
      </c>
      <c r="H94" s="733" t="s">
        <v>733</v>
      </c>
      <c r="I94" s="733" t="s">
        <v>733</v>
      </c>
      <c r="J94" s="733" t="s">
        <v>733</v>
      </c>
      <c r="K94" s="733" t="s">
        <v>733</v>
      </c>
      <c r="L94" s="733" t="s">
        <v>733</v>
      </c>
      <c r="M94" s="733" t="s">
        <v>733</v>
      </c>
      <c r="N94" s="718" t="s">
        <v>293</v>
      </c>
      <c r="O94" s="733" t="s">
        <v>733</v>
      </c>
      <c r="P94" s="733" t="s">
        <v>733</v>
      </c>
      <c r="Q94" s="733" t="s">
        <v>733</v>
      </c>
      <c r="R94" s="733" t="s">
        <v>733</v>
      </c>
    </row>
    <row r="95" spans="1:18" ht="12.75">
      <c r="A95" s="661" t="s">
        <v>730</v>
      </c>
      <c r="B95" s="667" t="s">
        <v>293</v>
      </c>
      <c r="C95" s="667" t="s">
        <v>293</v>
      </c>
      <c r="D95" s="667" t="s">
        <v>293</v>
      </c>
      <c r="E95" s="667" t="s">
        <v>293</v>
      </c>
      <c r="F95" s="733" t="s">
        <v>734</v>
      </c>
      <c r="G95" s="733" t="s">
        <v>734</v>
      </c>
      <c r="H95" s="733" t="s">
        <v>734</v>
      </c>
      <c r="I95" s="733" t="s">
        <v>734</v>
      </c>
      <c r="J95" s="733" t="s">
        <v>734</v>
      </c>
      <c r="K95" s="733" t="s">
        <v>734</v>
      </c>
      <c r="L95" s="733" t="s">
        <v>734</v>
      </c>
      <c r="M95" s="733" t="s">
        <v>734</v>
      </c>
      <c r="N95" s="718" t="s">
        <v>293</v>
      </c>
      <c r="O95" s="733" t="s">
        <v>734</v>
      </c>
      <c r="P95" s="733" t="s">
        <v>734</v>
      </c>
      <c r="Q95" s="733" t="s">
        <v>734</v>
      </c>
      <c r="R95" s="733" t="s">
        <v>734</v>
      </c>
    </row>
    <row r="96" spans="1:18" ht="12.75">
      <c r="A96" s="661" t="s">
        <v>730</v>
      </c>
      <c r="B96" s="667" t="s">
        <v>293</v>
      </c>
      <c r="C96" s="667" t="s">
        <v>293</v>
      </c>
      <c r="D96" s="667" t="s">
        <v>293</v>
      </c>
      <c r="E96" s="667" t="s">
        <v>293</v>
      </c>
      <c r="F96" s="733" t="s">
        <v>735</v>
      </c>
      <c r="G96" s="733" t="s">
        <v>735</v>
      </c>
      <c r="H96" s="733" t="s">
        <v>735</v>
      </c>
      <c r="I96" s="733" t="s">
        <v>735</v>
      </c>
      <c r="J96" s="733" t="s">
        <v>735</v>
      </c>
      <c r="K96" s="733" t="s">
        <v>735</v>
      </c>
      <c r="L96" s="733" t="s">
        <v>735</v>
      </c>
      <c r="M96" s="733" t="s">
        <v>735</v>
      </c>
      <c r="N96" s="718" t="s">
        <v>293</v>
      </c>
      <c r="O96" s="733" t="s">
        <v>735</v>
      </c>
      <c r="P96" s="733" t="s">
        <v>735</v>
      </c>
      <c r="Q96" s="733" t="s">
        <v>735</v>
      </c>
      <c r="R96" s="733" t="s">
        <v>735</v>
      </c>
    </row>
    <row r="97" spans="1:18" ht="142.5" customHeight="1">
      <c r="A97" s="722" t="s">
        <v>635</v>
      </c>
      <c r="B97" s="723"/>
      <c r="C97" s="682" t="s">
        <v>736</v>
      </c>
      <c r="D97" s="764" t="s">
        <v>737</v>
      </c>
      <c r="E97" s="764"/>
      <c r="F97" s="724"/>
      <c r="G97" s="724" t="s">
        <v>738</v>
      </c>
      <c r="H97" s="724"/>
      <c r="I97" s="764" t="s">
        <v>737</v>
      </c>
      <c r="J97" s="764" t="s">
        <v>737</v>
      </c>
      <c r="K97" s="724" t="s">
        <v>739</v>
      </c>
      <c r="L97" s="724"/>
      <c r="M97" s="765" t="s">
        <v>740</v>
      </c>
      <c r="N97" s="724"/>
      <c r="O97" s="724"/>
      <c r="P97" s="724"/>
      <c r="Q97" s="724"/>
      <c r="R97" s="724" t="s">
        <v>741</v>
      </c>
    </row>
    <row r="98" spans="1:18">
      <c r="A98" s="727"/>
      <c r="B98" s="661"/>
      <c r="C98" s="60"/>
      <c r="D98" s="750"/>
      <c r="E98" s="750"/>
      <c r="F98" s="750"/>
      <c r="G98" s="750"/>
      <c r="H98" s="750"/>
      <c r="I98" s="750"/>
      <c r="J98" s="750"/>
      <c r="K98" s="750"/>
      <c r="L98" s="750"/>
      <c r="M98" s="750"/>
      <c r="N98" s="750"/>
      <c r="O98" s="750"/>
      <c r="P98" s="750"/>
      <c r="Q98" s="750"/>
      <c r="R98" s="750"/>
    </row>
    <row r="99" spans="1:18" ht="36" customHeight="1">
      <c r="A99" s="729"/>
      <c r="B99" s="661"/>
      <c r="C99" s="661"/>
      <c r="D99" s="750"/>
      <c r="E99" s="750"/>
      <c r="F99" s="750"/>
      <c r="G99" s="750"/>
      <c r="H99" s="750"/>
      <c r="I99" s="750"/>
      <c r="J99" s="750"/>
      <c r="K99" s="750"/>
      <c r="L99" s="750"/>
      <c r="M99" s="750"/>
      <c r="N99" s="750"/>
      <c r="O99" s="750"/>
      <c r="P99" s="750"/>
      <c r="Q99" s="750"/>
      <c r="R99" s="750"/>
    </row>
    <row r="100" spans="1:18" ht="53.25" customHeight="1">
      <c r="A100" s="682"/>
      <c r="B100" s="661"/>
      <c r="C100" s="661"/>
      <c r="D100" s="750"/>
      <c r="E100" s="750"/>
      <c r="F100" s="750"/>
      <c r="G100" s="750"/>
      <c r="H100" s="750"/>
      <c r="I100" s="750"/>
      <c r="J100" s="750"/>
      <c r="K100" s="750"/>
      <c r="L100" s="750"/>
      <c r="M100" s="750"/>
      <c r="N100" s="750"/>
      <c r="O100" s="750"/>
      <c r="P100" s="750"/>
      <c r="Q100" s="750"/>
      <c r="R100" s="750"/>
    </row>
    <row r="101" spans="1:18" ht="67.5" customHeight="1">
      <c r="A101" s="730"/>
      <c r="B101" s="661"/>
      <c r="C101" s="661"/>
      <c r="D101" s="750"/>
      <c r="E101" s="750"/>
      <c r="F101" s="750"/>
      <c r="G101" s="750"/>
      <c r="H101" s="750"/>
      <c r="I101" s="750"/>
      <c r="J101" s="750"/>
      <c r="K101" s="750"/>
      <c r="L101" s="750"/>
      <c r="M101" s="750"/>
      <c r="N101" s="750"/>
      <c r="O101" s="750"/>
      <c r="P101" s="750"/>
      <c r="Q101" s="750"/>
      <c r="R101" s="750"/>
    </row>
    <row r="102" spans="1:18" ht="15" customHeight="1">
      <c r="A102" s="661"/>
      <c r="B102" s="661"/>
      <c r="C102" s="661"/>
      <c r="D102" s="750"/>
      <c r="E102" s="750"/>
      <c r="F102" s="750"/>
      <c r="G102" s="750"/>
      <c r="H102" s="750"/>
      <c r="I102" s="750"/>
      <c r="J102" s="750"/>
      <c r="K102" s="750"/>
      <c r="L102" s="750"/>
      <c r="M102" s="750"/>
      <c r="N102" s="750"/>
      <c r="O102" s="750"/>
      <c r="P102" s="750"/>
      <c r="Q102" s="750"/>
      <c r="R102" s="750"/>
    </row>
    <row r="103" spans="1:18" ht="12.75">
      <c r="A103" s="661"/>
      <c r="B103" s="661"/>
      <c r="C103" s="661"/>
      <c r="D103" s="750"/>
      <c r="E103" s="750"/>
      <c r="F103" s="750"/>
      <c r="G103" s="750"/>
      <c r="H103" s="750"/>
      <c r="I103" s="750"/>
      <c r="J103" s="750"/>
      <c r="K103" s="750"/>
      <c r="L103" s="750"/>
      <c r="M103" s="750"/>
      <c r="N103" s="750"/>
      <c r="O103" s="750"/>
      <c r="P103" s="750"/>
      <c r="Q103" s="750"/>
      <c r="R103" s="750"/>
    </row>
    <row r="104" spans="1:18" ht="12.75">
      <c r="A104" s="661"/>
      <c r="B104" s="661"/>
      <c r="C104" s="661"/>
      <c r="D104" s="750"/>
      <c r="E104" s="750"/>
      <c r="F104" s="750"/>
      <c r="G104" s="750"/>
      <c r="H104" s="750"/>
      <c r="I104" s="750"/>
      <c r="J104" s="750"/>
      <c r="K104" s="750"/>
      <c r="L104" s="750"/>
      <c r="M104" s="750"/>
      <c r="N104" s="750"/>
      <c r="O104" s="750"/>
      <c r="P104" s="750"/>
      <c r="Q104" s="750"/>
      <c r="R104" s="750"/>
    </row>
    <row r="105" spans="1:18" ht="12.75">
      <c r="A105" s="661"/>
      <c r="B105" s="661"/>
      <c r="C105" s="661"/>
      <c r="D105" s="750"/>
      <c r="E105" s="750"/>
      <c r="F105" s="750"/>
      <c r="G105" s="750"/>
      <c r="H105" s="750"/>
      <c r="I105" s="750"/>
      <c r="J105" s="750"/>
      <c r="K105" s="750"/>
      <c r="L105" s="750"/>
      <c r="M105" s="750"/>
      <c r="N105" s="750"/>
      <c r="O105" s="750"/>
      <c r="P105" s="750"/>
      <c r="Q105" s="750"/>
      <c r="R105" s="750"/>
    </row>
    <row r="106" spans="1:18" ht="12.75">
      <c r="A106" s="661"/>
      <c r="B106" s="661"/>
      <c r="C106" s="661"/>
      <c r="D106" s="750"/>
      <c r="E106" s="750"/>
      <c r="F106" s="750"/>
      <c r="G106" s="750"/>
      <c r="H106" s="750"/>
      <c r="I106" s="750"/>
      <c r="J106" s="750"/>
      <c r="K106" s="750"/>
      <c r="L106" s="750"/>
      <c r="M106" s="750"/>
      <c r="N106" s="750"/>
      <c r="O106" s="750"/>
      <c r="P106" s="750"/>
      <c r="Q106" s="750"/>
      <c r="R106" s="750"/>
    </row>
    <row r="107" spans="1:18" ht="12.75">
      <c r="A107" s="661"/>
      <c r="B107" s="661"/>
      <c r="C107" s="661"/>
      <c r="D107" s="750"/>
      <c r="E107" s="750"/>
      <c r="F107" s="750"/>
      <c r="G107" s="750"/>
      <c r="H107" s="750"/>
      <c r="I107" s="750"/>
      <c r="J107" s="750"/>
      <c r="K107" s="750"/>
      <c r="L107" s="750"/>
      <c r="M107" s="750"/>
      <c r="N107" s="750"/>
      <c r="O107" s="750"/>
      <c r="P107" s="750"/>
      <c r="Q107" s="750"/>
      <c r="R107" s="750"/>
    </row>
  </sheetData>
  <conditionalFormatting sqref="A1:R1 A3:R7 A9:R19 A21:R25 A27:R70 A72:R107">
    <cfRule type="expression" dxfId="1" priority="1">
      <formula>ISODD(COLUMN())</formula>
    </cfRule>
    <cfRule type="expression" dxfId="0" priority="2">
      <formula>ISEVEN(COLUMN())</formula>
    </cfRule>
  </conditionalFormatting>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Turn Performance</vt:lpstr>
      <vt:lpstr>Missile Data</vt:lpstr>
      <vt:lpstr>EM Charts</vt:lpstr>
      <vt:lpstr>Sea level speed &amp; Map Data</vt:lpstr>
      <vt:lpstr>Sim Farming Guide</vt:lpstr>
      <vt:lpstr>Credits and useful links</vt:lpstr>
      <vt:lpstr>Recomended Evasive Maneuvers </vt:lpstr>
      <vt:lpstr>Home Page</vt:lpstr>
      <vt:lpstr>AAM (IR rear-aspect)</vt:lpstr>
      <vt:lpstr>AAM (IR all-aspect)</vt:lpstr>
      <vt:lpstr>AAM (IR heli)</vt:lpstr>
      <vt:lpstr>AAM (SARH) (2)</vt:lpstr>
      <vt:lpstr>AAM (ARH)</vt:lpstr>
      <vt:lpstr>AAM (Manual)</vt:lpstr>
      <vt:lpstr>AGM (TV)</vt:lpstr>
      <vt:lpstr>AGM (IR)</vt:lpstr>
      <vt:lpstr>AGM (GNSS)</vt:lpstr>
      <vt:lpstr>AGM (SALH)</vt:lpstr>
      <vt:lpstr>AGM (LOSBR)</vt:lpstr>
      <vt:lpstr>AGM (SACLOS)</vt:lpstr>
      <vt:lpstr>AGM (MCLOS)</vt:lpstr>
      <vt:lpstr>GBU (TV)</vt:lpstr>
      <vt:lpstr>GBU (IR)</vt:lpstr>
      <vt:lpstr>GBU (GNSS)</vt:lpstr>
      <vt:lpstr>GBU (SALH)</vt:lpstr>
      <vt:lpstr>SAM (IR)</vt:lpstr>
      <vt:lpstr>SAM (IROPTICAL)</vt:lpstr>
      <vt:lpstr>SAM (LOSBR)</vt:lpstr>
      <vt:lpstr>SAM (SACLOS)</vt:lpstr>
      <vt:lpstr>ATGM (IR)</vt:lpstr>
      <vt:lpstr>ATGM (LOSBR)</vt:lpstr>
      <vt:lpstr>ATGM (SACLOS)</vt:lpstr>
      <vt:lpstr>ATGM (MCLOS)</vt:lpstr>
      <vt:lpstr>AShM (ARH)</vt:lpstr>
      <vt:lpstr>AShM (SACLOS)</vt:lpstr>
      <vt:lpstr>SAM (IR) (naval)</vt:lpstr>
      <vt:lpstr>SAM (SACLOS) (naval)</vt:lpstr>
      <vt:lpstr>TGP and sights</vt:lpstr>
      <vt:lpstr>Responses</vt:lpstr>
      <vt:lpstr>Change Log and Credits</vt:lpstr>
      <vt:lpstr>Soviet Union Weapons</vt:lpstr>
      <vt:lpstr>British Weapons</vt:lpstr>
      <vt:lpstr>German and Italian Weapons</vt:lpstr>
      <vt:lpstr>Japanese Weapons</vt:lpstr>
      <vt:lpstr>Copy of AAM (IR all-aspect)</vt:lpstr>
      <vt:lpstr>AAM (SARH)</vt:lpstr>
      <vt:lpstr>Copy of AAM (IR rear-aspect)</vt:lpstr>
      <vt:lpstr>Copy of AAM (ARH)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Dragon Fly</cp:lastModifiedBy>
  <dcterms:modified xsi:type="dcterms:W3CDTF">2025-02-20T21:07:07Z</dcterms:modified>
</cp:coreProperties>
</file>