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tae4\Desktop\Working\MnA_Research\playground\Lib\original\"/>
    </mc:Choice>
  </mc:AlternateContent>
  <xr:revisionPtr revIDLastSave="0" documentId="13_ncr:1_{3AC57B29-A1AD-4576-858E-7C76EAC03A57}" xr6:coauthVersionLast="47" xr6:coauthVersionMax="47" xr10:uidLastSave="{00000000-0000-0000-0000-000000000000}"/>
  <bookViews>
    <workbookView xWindow="-108" yWindow="-108" windowWidth="23256" windowHeight="12576" activeTab="2" xr2:uid="{D1C43D00-CCF1-4364-9884-D0F3CCE528E6}"/>
  </bookViews>
  <sheets>
    <sheet name="Premises" sheetId="1" r:id="rId1"/>
    <sheet name="Cell, foil, coating market" sheetId="2" r:id="rId2"/>
    <sheet name="Market insights" sheetId="4" r:id="rId3"/>
    <sheet name="Frontier Sales Data 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56" i="2"/>
  <c r="E56" i="2"/>
  <c r="F56" i="2"/>
  <c r="G56" i="2"/>
  <c r="H56" i="2"/>
  <c r="I56" i="2"/>
  <c r="J56" i="2"/>
  <c r="K56" i="2"/>
  <c r="L56" i="2"/>
  <c r="C56" i="2"/>
  <c r="D36" i="2"/>
  <c r="E36" i="2"/>
  <c r="F36" i="2"/>
  <c r="G36" i="2"/>
  <c r="H36" i="2"/>
  <c r="I36" i="2"/>
  <c r="J36" i="2"/>
  <c r="K36" i="2"/>
  <c r="L36" i="2"/>
  <c r="C36" i="2"/>
  <c r="D44" i="2"/>
  <c r="E44" i="2"/>
  <c r="F44" i="2"/>
  <c r="G44" i="2"/>
  <c r="C44" i="2"/>
  <c r="C48" i="2" s="1"/>
  <c r="D45" i="2"/>
  <c r="E45" i="2"/>
  <c r="F45" i="2"/>
  <c r="G45" i="2"/>
  <c r="C45" i="2"/>
  <c r="C59" i="1"/>
  <c r="C57" i="1"/>
  <c r="C58" i="1" s="1"/>
  <c r="C47" i="2" l="1"/>
  <c r="D47" i="2" l="1"/>
  <c r="D48" i="2"/>
  <c r="E48" i="2" l="1"/>
  <c r="E47" i="2"/>
  <c r="F48" i="2" l="1"/>
  <c r="F47" i="2"/>
  <c r="G48" i="2" l="1"/>
  <c r="G47" i="2"/>
  <c r="H44" i="2"/>
  <c r="H45" i="2"/>
  <c r="H47" i="2" l="1"/>
  <c r="H48" i="2"/>
  <c r="I45" i="2"/>
  <c r="I44" i="2"/>
  <c r="I47" i="2" l="1"/>
  <c r="I48" i="2"/>
  <c r="J44" i="2"/>
  <c r="J45" i="2"/>
  <c r="J47" i="2" l="1"/>
  <c r="J48" i="2"/>
  <c r="K45" i="2"/>
  <c r="K44" i="2"/>
  <c r="K47" i="2" l="1"/>
  <c r="K48" i="2"/>
  <c r="L44" i="2"/>
  <c r="L45" i="2"/>
  <c r="L47" i="2" l="1"/>
  <c r="L48" i="2"/>
  <c r="J29" i="1"/>
  <c r="J30" i="1" s="1"/>
  <c r="D23" i="1"/>
  <c r="D22" i="1"/>
  <c r="D21" i="1"/>
  <c r="D20" i="1"/>
  <c r="I6" i="1"/>
  <c r="I5" i="1"/>
  <c r="D44" i="1"/>
  <c r="H19" i="5" s="1"/>
  <c r="H20" i="5" s="1"/>
  <c r="D7" i="5"/>
  <c r="E7" i="5"/>
  <c r="F7" i="5"/>
  <c r="G7" i="5"/>
  <c r="H7" i="5"/>
  <c r="I7" i="5"/>
  <c r="J7" i="5"/>
  <c r="K7" i="5"/>
  <c r="M7" i="5"/>
  <c r="C7" i="5"/>
  <c r="F19" i="5" l="1"/>
  <c r="F20" i="5" s="1"/>
  <c r="G19" i="5"/>
  <c r="G20" i="5" s="1"/>
  <c r="E19" i="5"/>
  <c r="E20" i="5" s="1"/>
  <c r="D19" i="5"/>
  <c r="D20" i="5" s="1"/>
  <c r="L11" i="2"/>
  <c r="L49" i="2" s="1"/>
  <c r="L50" i="2" s="1"/>
  <c r="K11" i="2"/>
  <c r="K49" i="2" s="1"/>
  <c r="K50" i="2" s="1"/>
  <c r="J11" i="2"/>
  <c r="J49" i="2" s="1"/>
  <c r="J50" i="2" s="1"/>
  <c r="I11" i="2"/>
  <c r="I49" i="2" s="1"/>
  <c r="I50" i="2" s="1"/>
  <c r="H11" i="2"/>
  <c r="H49" i="2" s="1"/>
  <c r="H50" i="2" s="1"/>
  <c r="G11" i="2"/>
  <c r="G49" i="2" s="1"/>
  <c r="G50" i="2" s="1"/>
  <c r="F11" i="2"/>
  <c r="F49" i="2" s="1"/>
  <c r="F50" i="2" s="1"/>
  <c r="E11" i="2"/>
  <c r="E49" i="2" s="1"/>
  <c r="E50" i="2" s="1"/>
  <c r="D11" i="2"/>
  <c r="D49" i="2" s="1"/>
  <c r="D50" i="2" s="1"/>
  <c r="C11" i="2"/>
  <c r="C49" i="2" s="1"/>
  <c r="C50" i="2" s="1"/>
  <c r="D12" i="2" l="1"/>
  <c r="E12" i="2"/>
  <c r="F12" i="2"/>
  <c r="G12" i="2"/>
  <c r="H12" i="2"/>
  <c r="I12" i="2"/>
  <c r="J12" i="2"/>
  <c r="K12" i="2"/>
  <c r="L12" i="2"/>
  <c r="C12" i="2"/>
  <c r="R20" i="2"/>
  <c r="O20" i="2"/>
  <c r="O21" i="2" l="1"/>
  <c r="O22" i="2" s="1"/>
  <c r="D8" i="2"/>
  <c r="D46" i="2" s="1"/>
  <c r="D51" i="2" s="1"/>
  <c r="E8" i="2"/>
  <c r="E46" i="2" s="1"/>
  <c r="E51" i="2" s="1"/>
  <c r="F8" i="2"/>
  <c r="F46" i="2" s="1"/>
  <c r="F51" i="2" s="1"/>
  <c r="G8" i="2"/>
  <c r="G46" i="2" s="1"/>
  <c r="G51" i="2" s="1"/>
  <c r="H8" i="2"/>
  <c r="H46" i="2" s="1"/>
  <c r="H51" i="2" s="1"/>
  <c r="I8" i="2"/>
  <c r="I46" i="2" s="1"/>
  <c r="I51" i="2" s="1"/>
  <c r="J8" i="2"/>
  <c r="J46" i="2" s="1"/>
  <c r="J51" i="2" s="1"/>
  <c r="K8" i="2"/>
  <c r="K46" i="2" s="1"/>
  <c r="K51" i="2" s="1"/>
  <c r="L8" i="2"/>
  <c r="L46" i="2" s="1"/>
  <c r="L51" i="2" s="1"/>
  <c r="C8" i="2"/>
  <c r="C46" i="2" s="1"/>
  <c r="C51" i="2" s="1"/>
  <c r="F15" i="1"/>
  <c r="R18" i="1"/>
  <c r="D12" i="1" s="1"/>
  <c r="D14" i="1" s="1"/>
  <c r="R8" i="1"/>
  <c r="R10" i="1" s="1"/>
  <c r="R9" i="1"/>
  <c r="R7" i="1"/>
  <c r="D16" i="1" l="1"/>
  <c r="D13" i="1"/>
  <c r="D15" i="1" s="1"/>
  <c r="D17" i="1" s="1"/>
  <c r="J31" i="1"/>
  <c r="J32" i="1" s="1"/>
  <c r="J33" i="1" s="1"/>
  <c r="C45" i="1" s="1"/>
  <c r="D18" i="1"/>
  <c r="H19" i="2" s="1"/>
  <c r="D24" i="1"/>
  <c r="D26" i="1" s="1"/>
  <c r="D28" i="1" s="1"/>
  <c r="L6" i="2"/>
  <c r="D6" i="2"/>
  <c r="I6" i="2"/>
  <c r="K6" i="2"/>
  <c r="J6" i="2"/>
  <c r="H6" i="2"/>
  <c r="G6" i="2"/>
  <c r="F6" i="2"/>
  <c r="C19" i="2"/>
  <c r="C6" i="2"/>
  <c r="E6" i="2"/>
  <c r="L19" i="2" l="1"/>
  <c r="E19" i="2"/>
  <c r="I19" i="2"/>
  <c r="J19" i="2"/>
  <c r="K19" i="2"/>
  <c r="G19" i="2"/>
  <c r="F19" i="2"/>
  <c r="D19" i="2"/>
  <c r="C46" i="1"/>
  <c r="D13" i="5"/>
  <c r="C13" i="5"/>
  <c r="E13" i="5"/>
  <c r="F13" i="5"/>
  <c r="D40" i="1"/>
  <c r="M6" i="5"/>
  <c r="G13" i="5"/>
  <c r="H13" i="5"/>
  <c r="D19" i="1"/>
  <c r="D25" i="1"/>
  <c r="D27" i="1" s="1"/>
  <c r="D29" i="1" s="1"/>
  <c r="C30" i="2" l="1"/>
  <c r="C47" i="1"/>
  <c r="C31" i="2" s="1"/>
  <c r="J22" i="2"/>
  <c r="H21" i="2"/>
  <c r="G20" i="2"/>
  <c r="L22" i="2"/>
  <c r="I20" i="2"/>
  <c r="C22" i="2"/>
  <c r="J20" i="2"/>
  <c r="C20" i="2"/>
  <c r="K22" i="2"/>
  <c r="I21" i="2"/>
  <c r="H20" i="2"/>
  <c r="D22" i="2"/>
  <c r="J21" i="2"/>
  <c r="E22" i="2"/>
  <c r="K21" i="2"/>
  <c r="F20" i="2"/>
  <c r="F22" i="2"/>
  <c r="D21" i="2"/>
  <c r="L21" i="2"/>
  <c r="K20" i="2"/>
  <c r="H22" i="2"/>
  <c r="E20" i="2"/>
  <c r="E23" i="2" s="1"/>
  <c r="G22" i="2"/>
  <c r="E21" i="2"/>
  <c r="D20" i="2"/>
  <c r="L20" i="2"/>
  <c r="F21" i="2"/>
  <c r="C21" i="2"/>
  <c r="I22" i="2"/>
  <c r="G21" i="2"/>
  <c r="E8" i="5"/>
  <c r="G8" i="5"/>
  <c r="K8" i="5"/>
  <c r="I8" i="5"/>
  <c r="H9" i="5"/>
  <c r="H14" i="5" s="1"/>
  <c r="G9" i="5"/>
  <c r="G14" i="5" s="1"/>
  <c r="J9" i="5"/>
  <c r="D9" i="5"/>
  <c r="D14" i="5" s="1"/>
  <c r="K9" i="5"/>
  <c r="H8" i="5"/>
  <c r="F8" i="5"/>
  <c r="J8" i="5"/>
  <c r="E9" i="5"/>
  <c r="E14" i="5" s="1"/>
  <c r="D8" i="5"/>
  <c r="C8" i="5"/>
  <c r="I9" i="5"/>
  <c r="C9" i="5"/>
  <c r="C14" i="5" s="1"/>
  <c r="F9" i="5"/>
  <c r="F14" i="5" s="1"/>
  <c r="K23" i="2" l="1"/>
  <c r="H23" i="2"/>
  <c r="I23" i="2"/>
  <c r="G23" i="2"/>
  <c r="L23" i="2"/>
  <c r="D23" i="2"/>
  <c r="C23" i="2"/>
  <c r="D31" i="2"/>
  <c r="C32" i="2"/>
  <c r="F23" i="2"/>
  <c r="J23" i="2"/>
  <c r="D30" i="2"/>
  <c r="C35" i="2"/>
  <c r="C34" i="2"/>
  <c r="C33" i="2"/>
  <c r="C37" i="2" l="1"/>
  <c r="E31" i="2"/>
  <c r="D32" i="2"/>
  <c r="D33" i="2"/>
  <c r="D34" i="2"/>
  <c r="D35" i="2"/>
  <c r="E30" i="2"/>
  <c r="D37" i="2" l="1"/>
  <c r="F30" i="2"/>
  <c r="E34" i="2"/>
  <c r="E33" i="2"/>
  <c r="E35" i="2"/>
  <c r="F31" i="2"/>
  <c r="E32" i="2"/>
  <c r="E37" i="2" s="1"/>
  <c r="F32" i="2" l="1"/>
  <c r="G31" i="2"/>
  <c r="G30" i="2"/>
  <c r="F34" i="2"/>
  <c r="F33" i="2"/>
  <c r="F35" i="2"/>
  <c r="F37" i="2" l="1"/>
  <c r="G35" i="2"/>
  <c r="H30" i="2"/>
  <c r="G33" i="2"/>
  <c r="G34" i="2"/>
  <c r="H31" i="2"/>
  <c r="G32" i="2"/>
  <c r="G37" i="2" l="1"/>
  <c r="H32" i="2"/>
  <c r="I31" i="2"/>
  <c r="H34" i="2"/>
  <c r="I30" i="2"/>
  <c r="H35" i="2"/>
  <c r="H33" i="2"/>
  <c r="J31" i="2" l="1"/>
  <c r="I32" i="2"/>
  <c r="H37" i="2"/>
  <c r="I33" i="2"/>
  <c r="I34" i="2"/>
  <c r="J30" i="2"/>
  <c r="I35" i="2"/>
  <c r="K31" i="2" l="1"/>
  <c r="J32" i="2"/>
  <c r="K30" i="2"/>
  <c r="J33" i="2"/>
  <c r="J34" i="2"/>
  <c r="J35" i="2"/>
  <c r="I37" i="2"/>
  <c r="K32" i="2" l="1"/>
  <c r="L31" i="2"/>
  <c r="L32" i="2" s="1"/>
  <c r="K34" i="2"/>
  <c r="K33" i="2"/>
  <c r="L30" i="2"/>
  <c r="K35" i="2"/>
  <c r="J37" i="2"/>
  <c r="K37" i="2" l="1"/>
  <c r="L34" i="2"/>
  <c r="L33" i="2"/>
  <c r="L35" i="2"/>
  <c r="L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Taekyu Kim</author>
  </authors>
  <commentList>
    <comment ref="A18" authorId="0" shapeId="0" xr:uid="{57249255-F45C-4894-A1E9-1CB83370FB29}">
      <text>
        <r>
          <rPr>
            <b/>
            <sz val="9"/>
            <color indexed="81"/>
            <rFont val="Tahoma"/>
            <charset val="1"/>
          </rPr>
          <t>Taekyu Kim:</t>
        </r>
        <r>
          <rPr>
            <sz val="9"/>
            <color indexed="81"/>
            <rFont val="Tahoma"/>
            <charset val="1"/>
          </rPr>
          <t xml:space="preserve">
no info</t>
        </r>
      </text>
    </comment>
  </commentList>
</comments>
</file>

<file path=xl/sharedStrings.xml><?xml version="1.0" encoding="utf-8"?>
<sst xmlns="http://schemas.openxmlformats.org/spreadsheetml/2006/main" count="411" uniqueCount="282">
  <si>
    <t xml:space="preserve">Conductive coating market </t>
  </si>
  <si>
    <t>Premises</t>
  </si>
  <si>
    <t>LFP</t>
  </si>
  <si>
    <t>Adressable markets:</t>
  </si>
  <si>
    <t>Coating sides:</t>
  </si>
  <si>
    <t>Dry coating</t>
  </si>
  <si>
    <t>High performance / power</t>
  </si>
  <si>
    <t>Areal energy density</t>
  </si>
  <si>
    <t>CATL</t>
  </si>
  <si>
    <t>LG</t>
  </si>
  <si>
    <t>Panasonic</t>
  </si>
  <si>
    <t>cm²</t>
  </si>
  <si>
    <t>Cathode only (double sided coating)</t>
  </si>
  <si>
    <t>Cathode and anode (double sided coating)</t>
  </si>
  <si>
    <t>Wh</t>
  </si>
  <si>
    <t>Wh/cm2</t>
  </si>
  <si>
    <t>Average</t>
  </si>
  <si>
    <t>Electrode thickness</t>
  </si>
  <si>
    <t>110 µm</t>
  </si>
  <si>
    <t>Area cathode</t>
  </si>
  <si>
    <t>Energy cell</t>
  </si>
  <si>
    <t>Energy/area</t>
  </si>
  <si>
    <t>NMC</t>
  </si>
  <si>
    <t>Cell 1</t>
  </si>
  <si>
    <t>Cell 2</t>
  </si>
  <si>
    <t>90 µm</t>
  </si>
  <si>
    <t>Note: Based on P3 insights</t>
  </si>
  <si>
    <t>Foil per GWh</t>
  </si>
  <si>
    <t>m²/GWh</t>
  </si>
  <si>
    <t>Foil per Wh</t>
  </si>
  <si>
    <t>Improve adhesion</t>
  </si>
  <si>
    <t>Improve power</t>
  </si>
  <si>
    <t>Global LIB cell demand</t>
  </si>
  <si>
    <t>Year</t>
  </si>
  <si>
    <t>Capacity</t>
  </si>
  <si>
    <t>LFP market share</t>
  </si>
  <si>
    <t>LFP GWh</t>
  </si>
  <si>
    <t>Solid-state batteries</t>
  </si>
  <si>
    <t>Improve adhesion and power</t>
  </si>
  <si>
    <t>Dry / HP / SSB</t>
  </si>
  <si>
    <t>SSB</t>
  </si>
  <si>
    <t>based on SSB trends</t>
  </si>
  <si>
    <t>based on announced / approved production capacities</t>
  </si>
  <si>
    <t>based on P3 document</t>
  </si>
  <si>
    <t>kg</t>
  </si>
  <si>
    <t>kg/m³</t>
  </si>
  <si>
    <t>m³</t>
  </si>
  <si>
    <t>m</t>
  </si>
  <si>
    <t>thickness</t>
  </si>
  <si>
    <t>density</t>
  </si>
  <si>
    <t>production</t>
  </si>
  <si>
    <t>volume</t>
  </si>
  <si>
    <t>area</t>
  </si>
  <si>
    <t>m²</t>
  </si>
  <si>
    <t>km²</t>
  </si>
  <si>
    <t>Control: SK nexils announced 250 kt ED foil prod capacity 2025</t>
  </si>
  <si>
    <t>Global foil demand (one current collector only)</t>
  </si>
  <si>
    <t>Sum</t>
  </si>
  <si>
    <t>HQ</t>
  </si>
  <si>
    <t>Formulation</t>
  </si>
  <si>
    <t>Customer base</t>
  </si>
  <si>
    <t>Revenue</t>
  </si>
  <si>
    <t>Production capacity</t>
  </si>
  <si>
    <t>Technology name</t>
  </si>
  <si>
    <t>En' Safe</t>
  </si>
  <si>
    <t>Yes</t>
  </si>
  <si>
    <t>1 bn sqm/year (coating)</t>
  </si>
  <si>
    <t>Armor</t>
  </si>
  <si>
    <t>Nantes - France</t>
  </si>
  <si>
    <t>Footprint</t>
  </si>
  <si>
    <t>SMC</t>
  </si>
  <si>
    <t>12 global manufacturing sites</t>
  </si>
  <si>
    <t>En' Safe® by ARMOR - YouTube</t>
  </si>
  <si>
    <t>Improve battery performance with En' Safe® primed foils (ensafe-foil.com)</t>
  </si>
  <si>
    <t>Source 2</t>
  </si>
  <si>
    <t>Source 1</t>
  </si>
  <si>
    <t>Source 3</t>
  </si>
  <si>
    <t/>
  </si>
  <si>
    <t>2.4 g/m²</t>
  </si>
  <si>
    <t>one-side</t>
  </si>
  <si>
    <t>Capacity - adressable markets</t>
  </si>
  <si>
    <t>High-Power and dry others</t>
  </si>
  <si>
    <t>Increasing share of up to 8% based on P3 5% other cell chemistries and 3% further dry coating projects</t>
  </si>
  <si>
    <t>Conductive coating</t>
  </si>
  <si>
    <t>Price / kg</t>
  </si>
  <si>
    <t>Price per Car</t>
  </si>
  <si>
    <t>Application thickness</t>
  </si>
  <si>
    <t>Application amount foil</t>
  </si>
  <si>
    <t>Cell per vehicle</t>
  </si>
  <si>
    <t>Vehicle Energy</t>
  </si>
  <si>
    <t>Price / kWh</t>
  </si>
  <si>
    <r>
      <t xml:space="preserve">for </t>
    </r>
    <r>
      <rPr>
        <b/>
        <sz val="11"/>
        <color theme="1"/>
        <rFont val="Calibri"/>
        <family val="2"/>
        <scheme val="minor"/>
      </rPr>
      <t>Dry, SSB, HP</t>
    </r>
  </si>
  <si>
    <r>
      <t xml:space="preserve">For </t>
    </r>
    <r>
      <rPr>
        <b/>
        <sz val="11"/>
        <color theme="1"/>
        <rFont val="Calibri"/>
        <family val="2"/>
        <scheme val="minor"/>
      </rPr>
      <t>LFP</t>
    </r>
    <r>
      <rPr>
        <sz val="11"/>
        <color theme="1"/>
        <rFont val="Calibri"/>
        <family val="2"/>
        <scheme val="minor"/>
      </rPr>
      <t>; price calculated based on areal energy density and consideration of only single sided coating</t>
    </r>
  </si>
  <si>
    <t>n/a</t>
  </si>
  <si>
    <t>Employees</t>
  </si>
  <si>
    <t>274 M</t>
  </si>
  <si>
    <t>Markets</t>
  </si>
  <si>
    <t>Technical inks</t>
  </si>
  <si>
    <t>Dumore</t>
  </si>
  <si>
    <t>PPG</t>
  </si>
  <si>
    <t>DEPATISnet | Dokument US020210265608A1 (dpma.de)</t>
  </si>
  <si>
    <t>TDK</t>
  </si>
  <si>
    <t>Technology | TDK Foil</t>
  </si>
  <si>
    <t>TMAX</t>
  </si>
  <si>
    <t>Coated Aluminum Foil Mesh,Coated Copper Foil Mesh,Stainless Steel Foil (tmaxcn.com)</t>
  </si>
  <si>
    <t>Amount</t>
  </si>
  <si>
    <t>2-3 kg /car</t>
  </si>
  <si>
    <t>Price / kWh frontier</t>
  </si>
  <si>
    <t>Price</t>
  </si>
  <si>
    <t>Price HP</t>
  </si>
  <si>
    <t>Foil per car</t>
  </si>
  <si>
    <t>cm² one side</t>
  </si>
  <si>
    <t>Volume</t>
  </si>
  <si>
    <t>cm</t>
  </si>
  <si>
    <t>cm³ one side</t>
  </si>
  <si>
    <t>cm³ two side</t>
  </si>
  <si>
    <t>Xprime</t>
  </si>
  <si>
    <t>Primer_Layers_for_Batteries_RD_eng.pdf (ebsl.biz)</t>
  </si>
  <si>
    <t>Von Ardenne</t>
  </si>
  <si>
    <t>Carbon Coated Aluminium Foil – Cambridge Energy Solutions Ltd. (cam-energy.com)</t>
  </si>
  <si>
    <t>TOB</t>
  </si>
  <si>
    <t>Carbon-coated Lithium Aluminum Foil (tobmachine.com)</t>
  </si>
  <si>
    <t>Nippon graphite</t>
  </si>
  <si>
    <t>Coating Processed Products｜Nippon Graphite Group (n-kokuen.com)</t>
  </si>
  <si>
    <t>Average battery size</t>
  </si>
  <si>
    <t>Battery demand</t>
  </si>
  <si>
    <t>Cond. Coating demand</t>
  </si>
  <si>
    <t>kg/vehicl</t>
  </si>
  <si>
    <t>Cond coating demand / kg</t>
  </si>
  <si>
    <t>g/vehicle</t>
  </si>
  <si>
    <t>Total</t>
  </si>
  <si>
    <t>Difference</t>
  </si>
  <si>
    <t>Demand calculation based on IHS</t>
  </si>
  <si>
    <t>Demand calculation based announced cell production</t>
  </si>
  <si>
    <t>Vehicles 600CC based on sales</t>
  </si>
  <si>
    <t>Difference NES</t>
  </si>
  <si>
    <t>kg/kWh</t>
  </si>
  <si>
    <t>Cell production capacity</t>
  </si>
  <si>
    <t>Cond. Coating demand / EUR</t>
  </si>
  <si>
    <t>dry mass</t>
  </si>
  <si>
    <t>wet</t>
  </si>
  <si>
    <t>Foiltec</t>
  </si>
  <si>
    <t>Graphene coated aluminum foil for supercapacitor/power battery - AFT (foiltec.net)</t>
  </si>
  <si>
    <t>Showa Denko</t>
  </si>
  <si>
    <t>Advanced Battery Materials | R&amp;D | SHOWA DENKO K.K. (sdk.co.jp)</t>
  </si>
  <si>
    <t>Battery Technologies (vonardenne.biz)</t>
  </si>
  <si>
    <t>SDK to Offer Carbon-Coated Aluminum Foils for LIBs - SHOWA DENKO EUROPE GmbH | SHAPING IDEAS (showa-denko.com)</t>
  </si>
  <si>
    <t>Carbon Coated Aluminum Foil For LIB - Landt Instruments</t>
  </si>
  <si>
    <t>Battery Electrode Material Carbon Coated Aluminum Foil - China Aluminum Foil, Carbon Coated Aluminum Foil | Made-in-China.com</t>
  </si>
  <si>
    <t xml:space="preserve">Price LFP </t>
  </si>
  <si>
    <t>Volume CC per Wh dry</t>
  </si>
  <si>
    <t>Volume CC per Wh wet</t>
  </si>
  <si>
    <t>Weight per Wh</t>
  </si>
  <si>
    <t>Weight per kWh</t>
  </si>
  <si>
    <t>Price per kWh</t>
  </si>
  <si>
    <t>Foil per kWh</t>
  </si>
  <si>
    <t>(x 2 due to double sided coating)</t>
  </si>
  <si>
    <t>(x 2 due to double sided coating; x2 anode and cathode)</t>
  </si>
  <si>
    <t>Input data</t>
  </si>
  <si>
    <t>Coating thickness</t>
  </si>
  <si>
    <t>Density (dry)</t>
  </si>
  <si>
    <t>Density (wet)</t>
  </si>
  <si>
    <t>est. based on graphite, carbon and binder</t>
  </si>
  <si>
    <t>Water content</t>
  </si>
  <si>
    <t>falsch</t>
  </si>
  <si>
    <t>g/cm³</t>
  </si>
  <si>
    <t>Scenario 1:</t>
  </si>
  <si>
    <t>Based on Frontier statement of 2-3 kg coating required per vehicle</t>
  </si>
  <si>
    <t>Scenario 2:</t>
  </si>
  <si>
    <t>Based on Frontier cell production capacity and stated NES</t>
  </si>
  <si>
    <t>Cell production capacity 2025</t>
  </si>
  <si>
    <t>Total NES 2025</t>
  </si>
  <si>
    <t>Scenario 1 - Global conductive coating market</t>
  </si>
  <si>
    <t>Scenario 2 - Global conductive coating market</t>
  </si>
  <si>
    <t>Frontier</t>
  </si>
  <si>
    <t>Coated foil</t>
  </si>
  <si>
    <t>Carbon Coated Aluminum Foil (shanghaimetal.com)</t>
  </si>
  <si>
    <t>Dry, HP and other</t>
  </si>
  <si>
    <t>Diff</t>
  </si>
  <si>
    <t>Conductive Carbon Coated Aluminum Foil High Purity (nanoshel.com)</t>
  </si>
  <si>
    <t>ILJIN GROUP</t>
  </si>
  <si>
    <t>Iljin</t>
  </si>
  <si>
    <t>MSE Supplies</t>
  </si>
  <si>
    <t>CES</t>
  </si>
  <si>
    <t>Parker</t>
  </si>
  <si>
    <t>TST</t>
  </si>
  <si>
    <t xml:space="preserve">Transcontinental </t>
  </si>
  <si>
    <t>MTI Corporation</t>
  </si>
  <si>
    <t>Nanolithium</t>
  </si>
  <si>
    <t>Gelon LIB Group</t>
  </si>
  <si>
    <t>https://www.msesupplies.com/products/carbon-coated-aluminum-foil-for-lithium-battery-cathode?variant=31828385726522</t>
  </si>
  <si>
    <t>https://cam-energy.com/product/carbon-coated-aluminium-foil/</t>
  </si>
  <si>
    <t>https://ph.parker.com/de/de/cho-shield-2000-series-corrosion-resistant-conductive-coatings/52-01-2002-0000-1</t>
  </si>
  <si>
    <t>https://www.tstcoatings.com/conductive</t>
  </si>
  <si>
    <t>https://www.transcontinentaladvancedcoatings.com/transcontinental-products/z-flo-conductive-films/product-constructions/conductives-current-collector/</t>
  </si>
  <si>
    <t>https://www.mtixtl.com/Carboncoated-Cu-1.aspx</t>
  </si>
  <si>
    <t>https://nanolithium.ca/product/conductive-carbon-coated-copper-foil/</t>
  </si>
  <si>
    <t>https://gelonlib.en.made-in-china.com/product/KMVEcftjXwYu/China-Conductive-Carbon-Coated-Copper-Foil-for-Battery-Anode-Substrate-Gn-Cc-Cu-20.html</t>
  </si>
  <si>
    <t>Nickel Plated Copper Foil (shanghaimetal.com)</t>
  </si>
  <si>
    <t xml:space="preserve">Asahi Kasei </t>
  </si>
  <si>
    <t xml:space="preserve">Celgard </t>
  </si>
  <si>
    <t>Celgard_AABC-EU_Brochure_Insert_v3.pdf (asahi-kasei.eu)</t>
  </si>
  <si>
    <t>Celgard (asahikasei-automotive-us.com)</t>
  </si>
  <si>
    <t>Primed Current Collector, Carbon Coated Aluminum Foil | Dunmore</t>
  </si>
  <si>
    <t>Battery Coatings (ppgautocoatings.com)</t>
  </si>
  <si>
    <t>catalog.pdf (tdk.com)</t>
  </si>
  <si>
    <t>KAPPA</t>
  </si>
  <si>
    <t>Note</t>
  </si>
  <si>
    <t>Coating Equipment Manufacturer</t>
  </si>
  <si>
    <t>Landt Instruments</t>
  </si>
  <si>
    <t>Artificial Graphite, High Energy Density - Landt Instruments</t>
  </si>
  <si>
    <t>Avocet</t>
  </si>
  <si>
    <t>PowerPoint Presentation (avocetsteel.co.uk)</t>
  </si>
  <si>
    <t>JIMA Copper</t>
  </si>
  <si>
    <t>Nano Graphite Carbon Coated Aluminum Foil 12 - 100μM Thickness ISO Approval (rolledcopperfoil.com)</t>
  </si>
  <si>
    <t>NAMOALCAW1</t>
  </si>
  <si>
    <t>Clad metals for batteries | Hitachi Metals Neomaterial, Ltd. | Materials Magic (hitachi-metals-neomaterial.co.jp)</t>
  </si>
  <si>
    <t>yes</t>
  </si>
  <si>
    <t>Matexcel</t>
  </si>
  <si>
    <t>Graphene on Aluminum Foil, Graphene Foil - Matexcel</t>
  </si>
  <si>
    <t>GRA-210</t>
  </si>
  <si>
    <t>Graf-X</t>
  </si>
  <si>
    <t>Graf-X™ Graphene Additives | NeoGraf</t>
  </si>
  <si>
    <t>terrible website</t>
  </si>
  <si>
    <t>no tech data</t>
  </si>
  <si>
    <t>nickel clad metals</t>
  </si>
  <si>
    <t>Shanghai, China</t>
  </si>
  <si>
    <t>1070-H18, 1100-H18,3003-H-18</t>
  </si>
  <si>
    <t>Stainless Steel Strip, Aluminium Foil, Copper Strip, Hot Dip Galvanized Steel Coil, Aluminium Tube</t>
  </si>
  <si>
    <t>50 M USD</t>
  </si>
  <si>
    <t>Frontier vehicle sales (IHS)</t>
  </si>
  <si>
    <t>NES / Eur (Henkel)</t>
  </si>
  <si>
    <t>only plans/no product listing</t>
  </si>
  <si>
    <t>Code</t>
  </si>
  <si>
    <t>5401.T</t>
  </si>
  <si>
    <t>4004.T</t>
  </si>
  <si>
    <t>6501.T</t>
  </si>
  <si>
    <t>015860.KS</t>
  </si>
  <si>
    <t>PH</t>
  </si>
  <si>
    <t>3407.T</t>
  </si>
  <si>
    <t xml:space="preserve">manufacturing </t>
  </si>
  <si>
    <t>Great Lakes, US</t>
  </si>
  <si>
    <t>Tokyo, Japan</t>
  </si>
  <si>
    <t>electronic components, passive components, sensor application products, magnetic application products, energy application products</t>
  </si>
  <si>
    <t>steelmaking, steel fabrication, engineering, construction, chemicals, materials, system solutions</t>
  </si>
  <si>
    <t>Petrochemicals, chemicals, electronics, inorganics, aluminum, materials</t>
  </si>
  <si>
    <t>information technology, energy, industry, mobility, smart life solutions</t>
  </si>
  <si>
    <t>Seoul, South Korea</t>
  </si>
  <si>
    <t>parts/ material specialized, high voltage electric cables, Cu wire, Al alloy, high voltage transformers and blockers, power distribution device, elecfoil, industrial diamonds</t>
  </si>
  <si>
    <t>Cleveland, United States</t>
  </si>
  <si>
    <t xml:space="preserve">Material, homes, and health care </t>
  </si>
  <si>
    <t>Pittsburgh, United States</t>
  </si>
  <si>
    <t>manufacturing and distribution of paints, coatings, and specialty materials</t>
  </si>
  <si>
    <t>TTDKY</t>
  </si>
  <si>
    <t>Fujian, China</t>
  </si>
  <si>
    <t>TMAX-M-E01</t>
  </si>
  <si>
    <t xml:space="preserve">manufacturer of lithium battery equipments and technology </t>
  </si>
  <si>
    <t>TOB NEW ENERGY</t>
  </si>
  <si>
    <t>high-end equipment of lithium ion battery and supercapacitor</t>
  </si>
  <si>
    <t>Boluo, Guangdong, China</t>
  </si>
  <si>
    <t>testing/lab equipment manufacturer</t>
  </si>
  <si>
    <t>New York, United States</t>
  </si>
  <si>
    <t>Osaka, Japan</t>
  </si>
  <si>
    <t>Hitachi Metals Neomaterial</t>
  </si>
  <si>
    <t>Nanoshel (Intelligent Materials Pvt Limited IMPL)</t>
  </si>
  <si>
    <t xml:space="preserve">nanoscience and nanotechnology, fabrication of engineered nanomaterials, nanocompounds, formulations and intermediaries. </t>
  </si>
  <si>
    <t>Punjab, India</t>
  </si>
  <si>
    <t>I2B Elecfoil</t>
  </si>
  <si>
    <t xml:space="preserve">high quality materials, equipment and materials characterization analytical services for research and production </t>
  </si>
  <si>
    <t xml:space="preserve">Arizona, USA </t>
  </si>
  <si>
    <t>2.71B</t>
  </si>
  <si>
    <t>QC, Canada</t>
  </si>
  <si>
    <t xml:space="preserve">Packaging, printing and media sectors. Lamination printing, coverting packaging solutions, and extrusion. Manufacturing and recycling of flexible plastic, coextruded films, shrink films, advanced coatings. </t>
  </si>
  <si>
    <t xml:space="preserve">z-flo </t>
  </si>
  <si>
    <t xml:space="preserve">manufacturer of oxide crystals, substrates, and lab equipment. </t>
  </si>
  <si>
    <t>$10.32 M</t>
  </si>
  <si>
    <t>Aluminum foil coated carbon-GELON LIB GROUP</t>
  </si>
  <si>
    <t>6000~10000T/year</t>
  </si>
  <si>
    <t>servie provider in materials science in polymers, nanoparticles, and other materials</t>
  </si>
  <si>
    <t xml:space="preserve">neograf solutions (Advanced Energy Technologies) </t>
  </si>
  <si>
    <t>Name</t>
  </si>
  <si>
    <t>53L.F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</si>
</sst>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8">
    <numFmt numFmtId="164" formatCode="0.0000"/>
    <numFmt numFmtId="165" formatCode="0.0000\ &quot;Wh/cm²&quot;"/>
    <numFmt numFmtId="166" formatCode="0.0\ &quot;cm²/Wh&quot;"/>
    <numFmt numFmtId="167" formatCode="0\ &quot;m²/GWh&quot;"/>
    <numFmt numFmtId="168" formatCode="0\ &quot;GWh&quot;"/>
    <numFmt numFmtId="169" formatCode="0\ &quot;km²&quot;"/>
    <numFmt numFmtId="170" formatCode="0.0"/>
    <numFmt numFmtId="171" formatCode="0.000"/>
    <numFmt numFmtId="172" formatCode="#,##0.00\ &quot;€&quot;"/>
    <numFmt numFmtId="173" formatCode="0.0\ &quot;µm&quot;"/>
    <numFmt numFmtId="174" formatCode="0.0\ &quot;g/cm²&quot;"/>
    <numFmt numFmtId="175" formatCode="0.0\ &quot;kWh&quot;"/>
    <numFmt numFmtId="176" formatCode="0\ &quot;kWh&quot;"/>
    <numFmt numFmtId="177" formatCode="0.0\ &quot;GWh&quot;"/>
    <numFmt numFmtId="178" formatCode="#,##0\ &quot;€&quot;"/>
    <numFmt numFmtId="179" formatCode="#,##0\ &quot;kg&quot;"/>
    <numFmt numFmtId="180" formatCode="0.0\ &quot;g/cm³&quot;"/>
    <numFmt numFmtId="181" formatCode="0.00\ &quot;€/kWh&quot;"/>
    <numFmt numFmtId="182" formatCode="0.0\ &quot;M €&quot;"/>
    <numFmt numFmtId="183" formatCode="0.0\ &quot;cm²/kWh&quot;"/>
    <numFmt numFmtId="184" formatCode="0.000\ &quot;cm³/Wh&quot;"/>
    <numFmt numFmtId="185" formatCode="0.000\ &quot;g/Wh&quot;"/>
    <numFmt numFmtId="186" formatCode="0.0\ &quot;g/kWh&quot;"/>
    <numFmt numFmtId="187" formatCode="0.00000\ &quot;cm&quot;"/>
    <numFmt numFmtId="188" formatCode="0.0000000\ &quot;m&quot;"/>
    <numFmt numFmtId="189" formatCode="&quot;$&quot;#,##0.00;[Red]&quot;$&quot;#,##0.00"/>
    <numFmt numFmtId="190" formatCode="[$¥-411]#,##0.00"/>
    <numFmt numFmtId="191" formatCode="[$₩-412]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 tint="-0.14999847407452621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</cellStyleXfs>
  <cellXfs count="141">
    <xf numFmtId="0" fontId="0" fillId="0" borderId="0" xfId="0"/>
    <xf numFmtId="0" fontId="3" fillId="2" borderId="0" xfId="0" applyFont="1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3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right" vertical="top" wrapText="1"/>
    </xf>
    <xf numFmtId="0" fontId="0" fillId="0" borderId="0" xfId="0" applyBorder="1" applyAlignment="1">
      <alignment vertical="top" wrapText="1"/>
    </xf>
    <xf numFmtId="0" fontId="2" fillId="0" borderId="1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2" xfId="0" applyFill="1" applyBorder="1"/>
    <xf numFmtId="165" fontId="0" fillId="0" borderId="0" xfId="0" applyNumberFormat="1" applyAlignment="1">
      <alignment horizontal="right" vertical="top" wrapText="1"/>
    </xf>
    <xf numFmtId="165" fontId="0" fillId="0" borderId="10" xfId="0" applyNumberFormat="1" applyBorder="1" applyAlignment="1">
      <alignment horizontal="right" vertical="top" wrapText="1"/>
    </xf>
    <xf numFmtId="166" fontId="0" fillId="0" borderId="0" xfId="0" applyNumberFormat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68" fontId="0" fillId="0" borderId="0" xfId="0" applyNumberFormat="1"/>
    <xf numFmtId="9" fontId="0" fillId="0" borderId="0" xfId="1" applyFont="1"/>
    <xf numFmtId="168" fontId="1" fillId="0" borderId="0" xfId="3" applyNumberFormat="1"/>
    <xf numFmtId="168" fontId="1" fillId="0" borderId="0" xfId="3" applyNumberFormat="1" applyFill="1"/>
    <xf numFmtId="0" fontId="6" fillId="0" borderId="0" xfId="0" applyFont="1"/>
    <xf numFmtId="0" fontId="0" fillId="2" borderId="0" xfId="0" applyFill="1"/>
    <xf numFmtId="0" fontId="4" fillId="0" borderId="0" xfId="0" applyFont="1"/>
    <xf numFmtId="0" fontId="4" fillId="0" borderId="1" xfId="0" applyFont="1" applyBorder="1"/>
    <xf numFmtId="0" fontId="4" fillId="0" borderId="5" xfId="0" applyFont="1" applyBorder="1"/>
    <xf numFmtId="0" fontId="4" fillId="0" borderId="3" xfId="0" applyFont="1" applyBorder="1"/>
    <xf numFmtId="169" fontId="0" fillId="0" borderId="0" xfId="0" applyNumberFormat="1"/>
    <xf numFmtId="0" fontId="4" fillId="0" borderId="0" xfId="0" applyFont="1" applyBorder="1"/>
    <xf numFmtId="0" fontId="4" fillId="0" borderId="3" xfId="0" applyFont="1" applyFill="1" applyBorder="1"/>
    <xf numFmtId="168" fontId="1" fillId="0" borderId="1" xfId="3" applyNumberFormat="1" applyFill="1" applyBorder="1"/>
    <xf numFmtId="0" fontId="0" fillId="0" borderId="0" xfId="0" quotePrefix="1"/>
    <xf numFmtId="171" fontId="1" fillId="0" borderId="0" xfId="3" applyNumberFormat="1"/>
    <xf numFmtId="168" fontId="0" fillId="0" borderId="1" xfId="0" applyNumberFormat="1" applyBorder="1"/>
    <xf numFmtId="0" fontId="0" fillId="0" borderId="10" xfId="0" applyBorder="1" applyAlignment="1">
      <alignment wrapText="1"/>
    </xf>
    <xf numFmtId="172" fontId="0" fillId="0" borderId="0" xfId="0" applyNumberFormat="1" applyAlignment="1">
      <alignment wrapText="1"/>
    </xf>
    <xf numFmtId="173" fontId="0" fillId="0" borderId="0" xfId="0" applyNumberFormat="1" applyAlignment="1">
      <alignment wrapText="1"/>
    </xf>
    <xf numFmtId="174" fontId="0" fillId="0" borderId="0" xfId="0" applyNumberFormat="1" applyAlignment="1">
      <alignment wrapText="1"/>
    </xf>
    <xf numFmtId="172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72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2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wrapText="1"/>
    </xf>
    <xf numFmtId="175" fontId="0" fillId="0" borderId="0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172" fontId="0" fillId="0" borderId="0" xfId="0" applyNumberFormat="1" applyBorder="1"/>
    <xf numFmtId="170" fontId="0" fillId="0" borderId="0" xfId="0" applyNumberFormat="1"/>
    <xf numFmtId="1" fontId="0" fillId="0" borderId="0" xfId="0" applyNumberFormat="1"/>
    <xf numFmtId="3" fontId="0" fillId="0" borderId="0" xfId="0" applyNumberFormat="1"/>
    <xf numFmtId="0" fontId="9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3" xfId="0" applyBorder="1"/>
    <xf numFmtId="3" fontId="9" fillId="0" borderId="0" xfId="0" applyNumberFormat="1" applyFont="1"/>
    <xf numFmtId="0" fontId="4" fillId="0" borderId="5" xfId="0" applyFont="1" applyBorder="1" applyAlignment="1">
      <alignment vertical="top" wrapText="1"/>
    </xf>
    <xf numFmtId="178" fontId="0" fillId="0" borderId="0" xfId="0" applyNumberFormat="1"/>
    <xf numFmtId="179" fontId="0" fillId="0" borderId="0" xfId="0" applyNumberFormat="1" applyBorder="1"/>
    <xf numFmtId="178" fontId="0" fillId="0" borderId="1" xfId="0" applyNumberFormat="1" applyBorder="1"/>
    <xf numFmtId="0" fontId="0" fillId="0" borderId="0" xfId="0" applyAlignment="1">
      <alignment horizontal="left"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168" fontId="1" fillId="0" borderId="0" xfId="3" applyNumberFormat="1" applyAlignment="1">
      <alignment wrapText="1"/>
    </xf>
    <xf numFmtId="164" fontId="0" fillId="0" borderId="0" xfId="0" applyNumberFormat="1" applyBorder="1" applyAlignment="1">
      <alignment wrapText="1"/>
    </xf>
    <xf numFmtId="180" fontId="0" fillId="0" borderId="0" xfId="0" applyNumberFormat="1"/>
    <xf numFmtId="167" fontId="0" fillId="0" borderId="10" xfId="0" applyNumberFormat="1" applyBorder="1" applyAlignment="1">
      <alignment wrapText="1"/>
    </xf>
    <xf numFmtId="181" fontId="0" fillId="0" borderId="0" xfId="0" applyNumberFormat="1"/>
    <xf numFmtId="181" fontId="0" fillId="0" borderId="4" xfId="0" applyNumberFormat="1" applyBorder="1"/>
    <xf numFmtId="181" fontId="0" fillId="0" borderId="1" xfId="0" applyNumberFormat="1" applyBorder="1"/>
    <xf numFmtId="169" fontId="0" fillId="0" borderId="4" xfId="0" applyNumberFormat="1" applyBorder="1"/>
    <xf numFmtId="169" fontId="0" fillId="0" borderId="1" xfId="0" applyNumberFormat="1" applyBorder="1"/>
    <xf numFmtId="182" fontId="0" fillId="0" borderId="0" xfId="0" applyNumberFormat="1"/>
    <xf numFmtId="182" fontId="0" fillId="0" borderId="4" xfId="0" applyNumberFormat="1" applyBorder="1" applyAlignment="1">
      <alignment vertical="top"/>
    </xf>
    <xf numFmtId="182" fontId="0" fillId="0" borderId="1" xfId="0" applyNumberFormat="1" applyBorder="1" applyAlignment="1">
      <alignment vertical="top"/>
    </xf>
    <xf numFmtId="0" fontId="0" fillId="0" borderId="12" xfId="0" applyBorder="1" applyAlignment="1">
      <alignment wrapText="1"/>
    </xf>
    <xf numFmtId="166" fontId="0" fillId="0" borderId="10" xfId="0" applyNumberFormat="1" applyBorder="1" applyAlignment="1">
      <alignment horizontal="right" vertical="top" wrapText="1"/>
    </xf>
    <xf numFmtId="167" fontId="0" fillId="0" borderId="0" xfId="0" applyNumberFormat="1" applyBorder="1" applyAlignment="1">
      <alignment wrapText="1"/>
    </xf>
    <xf numFmtId="183" fontId="0" fillId="0" borderId="0" xfId="0" applyNumberFormat="1" applyAlignment="1">
      <alignment horizontal="right" vertical="top" wrapText="1"/>
    </xf>
    <xf numFmtId="183" fontId="0" fillId="0" borderId="10" xfId="0" applyNumberFormat="1" applyBorder="1" applyAlignment="1">
      <alignment horizontal="right" vertical="top" wrapText="1"/>
    </xf>
    <xf numFmtId="184" fontId="0" fillId="0" borderId="0" xfId="0" applyNumberFormat="1" applyAlignment="1">
      <alignment wrapText="1"/>
    </xf>
    <xf numFmtId="184" fontId="0" fillId="0" borderId="10" xfId="0" applyNumberFormat="1" applyBorder="1" applyAlignment="1">
      <alignment wrapText="1"/>
    </xf>
    <xf numFmtId="173" fontId="0" fillId="0" borderId="0" xfId="0" applyNumberFormat="1"/>
    <xf numFmtId="187" fontId="0" fillId="0" borderId="0" xfId="0" applyNumberFormat="1"/>
    <xf numFmtId="188" fontId="0" fillId="0" borderId="0" xfId="0" applyNumberFormat="1"/>
    <xf numFmtId="184" fontId="10" fillId="0" borderId="0" xfId="0" applyNumberFormat="1" applyFont="1" applyAlignment="1">
      <alignment wrapText="1"/>
    </xf>
    <xf numFmtId="184" fontId="10" fillId="0" borderId="10" xfId="0" applyNumberFormat="1" applyFont="1" applyBorder="1" applyAlignment="1">
      <alignment wrapText="1"/>
    </xf>
    <xf numFmtId="185" fontId="10" fillId="0" borderId="0" xfId="0" applyNumberFormat="1" applyFont="1"/>
    <xf numFmtId="185" fontId="10" fillId="0" borderId="10" xfId="0" applyNumberFormat="1" applyFont="1" applyBorder="1"/>
    <xf numFmtId="186" fontId="10" fillId="0" borderId="0" xfId="0" applyNumberFormat="1" applyFont="1"/>
    <xf numFmtId="186" fontId="10" fillId="0" borderId="10" xfId="0" applyNumberFormat="1" applyFont="1" applyBorder="1"/>
    <xf numFmtId="181" fontId="10" fillId="0" borderId="12" xfId="0" applyNumberFormat="1" applyFont="1" applyBorder="1"/>
    <xf numFmtId="181" fontId="10" fillId="0" borderId="10" xfId="0" applyNumberFormat="1" applyFont="1" applyBorder="1"/>
    <xf numFmtId="0" fontId="4" fillId="0" borderId="0" xfId="0" applyFont="1" applyAlignment="1"/>
    <xf numFmtId="168" fontId="0" fillId="0" borderId="0" xfId="0" applyNumberFormat="1" applyAlignment="1">
      <alignment wrapText="1"/>
    </xf>
    <xf numFmtId="178" fontId="0" fillId="0" borderId="0" xfId="0" applyNumberFormat="1" applyAlignment="1">
      <alignment horizontal="right"/>
    </xf>
    <xf numFmtId="182" fontId="0" fillId="0" borderId="1" xfId="0" applyNumberFormat="1" applyBorder="1"/>
    <xf numFmtId="0" fontId="4" fillId="0" borderId="8" xfId="0" applyFont="1" applyBorder="1"/>
    <xf numFmtId="182" fontId="0" fillId="0" borderId="7" xfId="0" applyNumberFormat="1" applyBorder="1"/>
    <xf numFmtId="0" fontId="4" fillId="0" borderId="14" xfId="0" applyFont="1" applyBorder="1" applyAlignment="1">
      <alignment vertical="top" wrapText="1"/>
    </xf>
    <xf numFmtId="182" fontId="0" fillId="0" borderId="13" xfId="0" applyNumberFormat="1" applyBorder="1"/>
    <xf numFmtId="182" fontId="0" fillId="0" borderId="13" xfId="0" applyNumberFormat="1" applyBorder="1" applyAlignment="1">
      <alignment vertical="top"/>
    </xf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6" xfId="0" quotePrefix="1" applyBorder="1"/>
    <xf numFmtId="0" fontId="0" fillId="0" borderId="18" xfId="0" applyBorder="1"/>
    <xf numFmtId="0" fontId="0" fillId="0" borderId="19" xfId="0" applyBorder="1"/>
    <xf numFmtId="0" fontId="0" fillId="0" borderId="16" xfId="0" applyBorder="1" applyAlignment="1">
      <alignment wrapText="1"/>
    </xf>
    <xf numFmtId="0" fontId="11" fillId="3" borderId="20" xfId="0" applyFont="1" applyFill="1" applyBorder="1"/>
    <xf numFmtId="0" fontId="0" fillId="4" borderId="6" xfId="0" applyFont="1" applyFill="1" applyBorder="1"/>
    <xf numFmtId="0" fontId="0" fillId="0" borderId="6" xfId="0" quotePrefix="1" applyFont="1" applyBorder="1"/>
    <xf numFmtId="0" fontId="0" fillId="4" borderId="6" xfId="0" quotePrefix="1" applyFont="1" applyFill="1" applyBorder="1"/>
    <xf numFmtId="0" fontId="12" fillId="0" borderId="0" xfId="0" applyFont="1"/>
    <xf numFmtId="0" fontId="0" fillId="5" borderId="16" xfId="0" applyFill="1" applyBorder="1"/>
    <xf numFmtId="0" fontId="0" fillId="5" borderId="6" xfId="0" quotePrefix="1" applyFill="1" applyBorder="1"/>
    <xf numFmtId="0" fontId="0" fillId="6" borderId="6" xfId="0" quotePrefix="1" applyFont="1" applyFill="1" applyBorder="1"/>
    <xf numFmtId="0" fontId="0" fillId="5" borderId="16" xfId="0" applyFill="1" applyBorder="1" applyAlignment="1">
      <alignment wrapText="1"/>
    </xf>
    <xf numFmtId="0" fontId="0" fillId="0" borderId="18" xfId="0" applyBorder="1" applyAlignment="1">
      <alignment wrapText="1"/>
    </xf>
    <xf numFmtId="189" fontId="0" fillId="0" borderId="16" xfId="0" applyNumberFormat="1" applyBorder="1"/>
    <xf numFmtId="190" fontId="0" fillId="0" borderId="16" xfId="0" applyNumberFormat="1" applyBorder="1"/>
    <xf numFmtId="191" fontId="0" fillId="0" borderId="18" xfId="0" applyNumberFormat="1" applyBorder="1"/>
    <xf numFmtId="0" fontId="0" fillId="0" borderId="15" xfId="0" applyBorder="1" applyAlignment="1">
      <alignment wrapText="1"/>
    </xf>
    <xf numFmtId="0" fontId="7" fillId="0" borderId="16" xfId="4" applyBorder="1" applyAlignment="1">
      <alignment wrapText="1"/>
    </xf>
    <xf numFmtId="0" fontId="7" fillId="0" borderId="0" xfId="4" applyAlignment="1">
      <alignment wrapText="1"/>
    </xf>
    <xf numFmtId="0" fontId="7" fillId="5" borderId="16" xfId="4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quotePrefix="1" applyBorder="1" applyAlignment="1">
      <alignment wrapText="1"/>
    </xf>
  </cellXfs>
  <cellStyles count="5">
    <cellStyle name="Hyperlink" xfId="4" builtinId="8"/>
    <cellStyle name="Normal" xfId="0" builtinId="0"/>
    <cellStyle name="Normal 2" xfId="3" xr:uid="{354BAD15-8B1A-4F3E-9740-567F58B461E7}"/>
    <cellStyle name="Normal 3" xfId="2" xr:uid="{F01F266F-AF8C-4554-A965-30F9C9A80044}"/>
    <cellStyle name="Percent" xfId="1" builtinId="5"/>
  </cellStyles>
  <dxfs count="2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/>
        <right/>
        <top/>
        <bottom/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i val="0"/>
        <color rgb="FF1A345E"/>
      </font>
      <fill>
        <patternFill>
          <bgColor rgb="FFBFCBD6"/>
        </patternFill>
      </fill>
      <border>
        <right/>
        <top/>
        <bottom style="thin">
          <color auto="1"/>
        </bottom>
        <horizontal style="thin">
          <color auto="1"/>
        </horizontal>
      </border>
    </dxf>
    <dxf>
      <font>
        <b/>
        <i val="0"/>
        <color theme="0"/>
      </font>
      <fill>
        <patternFill>
          <bgColor rgb="FF577087"/>
        </patternFill>
      </fill>
    </dxf>
    <dxf>
      <font>
        <b/>
        <i val="0"/>
        <color theme="0"/>
      </font>
      <fill>
        <patternFill>
          <bgColor rgb="FF577087"/>
        </patternFill>
      </fill>
    </dxf>
    <dxf>
      <font>
        <color rgb="FF1A345E"/>
      </font>
      <border>
        <left/>
        <right/>
        <top/>
        <bottom style="thin">
          <color auto="1"/>
        </bottom>
        <vertical/>
        <horizontal style="thin">
          <color auto="1"/>
        </horizontal>
      </border>
    </dxf>
  </dxfs>
  <tableStyles count="1" defaultTableStyle="TableStyleMedium2" defaultPivotStyle="PivotStyleLight16">
    <tableStyle name="Tabellenformat 1" pivot="0" count="4" xr9:uid="{8736D2FA-3F50-490B-B1FF-681E02900C4A}">
      <tableStyleElement type="wholeTable" dxfId="22"/>
      <tableStyleElement type="headerRow" dxfId="21"/>
      <tableStyleElement type="totalRow" dxfId="20"/>
      <tableStyleElement type="firstColumn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Cell productio capacity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'Cell, foil, coating market'!$C$4:$L$4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'Cell, foil, coating market'!$C$8:$L$8</c:f>
              <c:numCache>
                <c:formatCode>0\ "GWh"</c:formatCode>
                <c:ptCount val="10"/>
                <c:pt idx="0">
                  <c:v>70.600000000000009</c:v>
                </c:pt>
                <c:pt idx="1">
                  <c:v>109.4</c:v>
                </c:pt>
                <c:pt idx="2">
                  <c:v>158.4</c:v>
                </c:pt>
                <c:pt idx="3">
                  <c:v>222.20000000000002</c:v>
                </c:pt>
                <c:pt idx="4">
                  <c:v>290.60000000000002</c:v>
                </c:pt>
                <c:pt idx="5">
                  <c:v>340.20000000000005</c:v>
                </c:pt>
                <c:pt idx="6">
                  <c:v>399.6</c:v>
                </c:pt>
                <c:pt idx="7">
                  <c:v>452.20000000000005</c:v>
                </c:pt>
                <c:pt idx="8">
                  <c:v>507</c:v>
                </c:pt>
                <c:pt idx="9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8-410F-9B50-158B0C2E8D2F}"/>
            </c:ext>
          </c:extLst>
        </c:ser>
        <c:ser>
          <c:idx val="1"/>
          <c:order val="1"/>
          <c:tx>
            <c:v>High performance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'Cell, foil, coating market'!$C$12:$L$12</c:f>
              <c:numCache>
                <c:formatCode>0\ "GWh"</c:formatCode>
                <c:ptCount val="10"/>
                <c:pt idx="0">
                  <c:v>10.030000000000001</c:v>
                </c:pt>
                <c:pt idx="1">
                  <c:v>31.545999999999999</c:v>
                </c:pt>
                <c:pt idx="2">
                  <c:v>62.391999999999996</c:v>
                </c:pt>
                <c:pt idx="3">
                  <c:v>132.374</c:v>
                </c:pt>
                <c:pt idx="4">
                  <c:v>217.82600000000002</c:v>
                </c:pt>
                <c:pt idx="5">
                  <c:v>243.85000000000002</c:v>
                </c:pt>
                <c:pt idx="6">
                  <c:v>295.68400000000003</c:v>
                </c:pt>
                <c:pt idx="7">
                  <c:v>337.02600000000001</c:v>
                </c:pt>
                <c:pt idx="8">
                  <c:v>375.39</c:v>
                </c:pt>
                <c:pt idx="9">
                  <c:v>454.19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8-410F-9B50-158B0C2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659584"/>
        <c:axId val="1715659168"/>
      </c:barChart>
      <c:catAx>
        <c:axId val="17156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59168"/>
        <c:crosses val="autoZero"/>
        <c:auto val="1"/>
        <c:lblAlgn val="ctr"/>
        <c:lblOffset val="100"/>
        <c:noMultiLvlLbl val="0"/>
      </c:catAx>
      <c:valAx>
        <c:axId val="17156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G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379095</xdr:colOff>
      <xdr:row>20</xdr:row>
      <xdr:rowOff>148590</xdr:rowOff>
    </xdr:from>
    <xdr:to>
      <xdr:col>17</xdr:col>
      <xdr:colOff>570047</xdr:colOff>
      <xdr:row>23</xdr:row>
      <xdr:rowOff>91509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CA6D33-32DF-476A-AB3A-158CCAD73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4570" y="3958590"/>
          <a:ext cx="3238952" cy="499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</xdr:colOff>
      <xdr:row>2</xdr:row>
      <xdr:rowOff>87630</xdr:rowOff>
    </xdr:from>
    <xdr:to>
      <xdr:col>21</xdr:col>
      <xdr:colOff>335280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AB2AE-AC84-455F-A0E8-F0F11F7C9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46</xdr:row>
      <xdr:rowOff>85725</xdr:rowOff>
    </xdr:from>
    <xdr:to>
      <xdr:col>28</xdr:col>
      <xdr:colOff>570687</xdr:colOff>
      <xdr:row>93</xdr:row>
      <xdr:rowOff>20230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E1522F-D98E-493E-86FF-8564D40FE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39975" y="9134475"/>
          <a:ext cx="7838264" cy="84403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887475</xdr:colOff>
      <xdr:row>21</xdr:row>
      <xdr:rowOff>69445</xdr:rowOff>
    </xdr:from>
    <xdr:to>
      <xdr:col>25</xdr:col>
      <xdr:colOff>15883</xdr:colOff>
      <xdr:row>51</xdr:row>
      <xdr:rowOff>132793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B22613-E6DB-41A4-9AA4-030668DBF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0563" y="4675063"/>
          <a:ext cx="7783159" cy="54516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B7DB1-AB9D-42AF-B939-020958C4FF92}" name="Table1" displayName="Table1" ref="A1:O29" totalsRowShown="0" headerRowDxfId="18" headerRowBorderDxfId="17" tableBorderDxfId="16" totalsRowBorderDxfId="15">
  <autoFilter ref="A1:O29" xr:uid="{580B7DB1-AB9D-42AF-B939-020958C4FF92}"/>
  <tableColumns count="15">
    <tableColumn id="1" xr3:uid="{AC5F4858-A6B9-4C18-BAE4-CF7B84A58B01}" name="Name" dataDxfId="14"/>
    <tableColumn id="13" xr3:uid="{0948A8C3-3732-4564-8F28-20A363D5EE2A}" name="Code" dataDxfId="13"/>
    <tableColumn id="2" xr3:uid="{089BD62F-17CD-4296-BDD2-8A247CCAD815}" name="HQ" dataDxfId="12"/>
    <tableColumn id="3" xr3:uid="{43E0A399-9AFA-483C-A7D8-4023E829C5FC}" name="Technology name" dataDxfId="11"/>
    <tableColumn id="14" xr3:uid="{812475C1-2025-4CC8-9508-3A2C1C73E709}" name="Employees" dataDxfId="10"/>
    <tableColumn id="15" xr3:uid="{D22193F6-77FA-47B7-9B8F-B3D78ABD934C}" name="Markets" dataDxfId="9"/>
    <tableColumn id="4" xr3:uid="{BBC7E82B-6642-42CA-A1A1-D5D6441AA702}" name="Formulation" dataDxfId="8"/>
    <tableColumn id="5" xr3:uid="{D887DC10-356C-4C2F-A9E0-8D50A595BF6D}" name="Coated foil" dataDxfId="7"/>
    <tableColumn id="6" xr3:uid="{FC42FCE2-6E8C-4510-8CAE-61F200EC0FA9}" name="Customer base" dataDxfId="6"/>
    <tableColumn id="7" xr3:uid="{F7874E22-5E96-4C7B-85C8-7EA1B8909C73}" name="Revenue" dataDxfId="5"/>
    <tableColumn id="8" xr3:uid="{A0AEA6FB-9AA6-4D59-A9E2-212C8FA5D4B8}" name="Production capacity" dataDxfId="4"/>
    <tableColumn id="9" xr3:uid="{71A23314-1289-4220-A99E-EF21A1A09E34}" name="Footprint" dataDxfId="3"/>
    <tableColumn id="10" xr3:uid="{80F671EE-CDA0-469A-8F5A-7F683750A3C8}" name="Source 1" dataDxfId="2"/>
    <tableColumn id="11" xr3:uid="{E7EB00B1-8673-42B8-8D4C-7DACEFD244CE}" name="Source 2" dataDxfId="1"/>
    <tableColumn id="12" xr3:uid="{0613DEC1-9BA4-49D4-8E8D-F561248006CA}" name="Source 3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maxcn.com/carbon-coated-aluminum-foil-for-lithium-battery-cathode-electrode_p949.html" TargetMode="External"/><Relationship Id="rId18" Type="http://schemas.openxmlformats.org/officeDocument/2006/relationships/hyperlink" Target="https://www.iljin.co.kr/eng/innovation/product_view.asp?page=1&amp;searchgroup=&amp;seq=74" TargetMode="External"/><Relationship Id="rId26" Type="http://schemas.openxmlformats.org/officeDocument/2006/relationships/hyperlink" Target="https://gelonlib.en.made-in-china.com/product/KMVEcftjXwYu/China-Conductive-Carbon-Coated-Copper-Foil-for-Battery-Anode-Substrate-Gn-Cc-Cu-20.html" TargetMode="External"/><Relationship Id="rId39" Type="http://schemas.openxmlformats.org/officeDocument/2006/relationships/hyperlink" Target="https://neograf.com/products/powders-and-additives/graf-x?gclid=Cj0KCQiAmpyRBhC-ARIsABs2EAp4q1Eugn5zZidvVbmw9IMTqc1unxXYBnMQMz_Ikz83wHcQ_pd_kBQaAktLEALw_wcB" TargetMode="External"/><Relationship Id="rId21" Type="http://schemas.openxmlformats.org/officeDocument/2006/relationships/hyperlink" Target="https://ph.parker.com/de/de/cho-shield-2000-series-corrosion-resistant-conductive-coatings/52-01-2002-0000-1" TargetMode="External"/><Relationship Id="rId34" Type="http://schemas.openxmlformats.org/officeDocument/2006/relationships/hyperlink" Target="https://www.landtinst.com/product/artificial-graphite-high-energy-density/" TargetMode="External"/><Relationship Id="rId42" Type="http://schemas.openxmlformats.org/officeDocument/2006/relationships/drawing" Target="../drawings/drawing3.xml"/><Relationship Id="rId7" Type="http://schemas.openxmlformats.org/officeDocument/2006/relationships/hyperlink" Target="https://www.tobmachine.com/carbon-coated-aluminum-foil-for-lithium-ion-battery_p582.html" TargetMode="External"/><Relationship Id="rId2" Type="http://schemas.openxmlformats.org/officeDocument/2006/relationships/hyperlink" Target="https://ensafe-foil.com/benefits/" TargetMode="External"/><Relationship Id="rId16" Type="http://schemas.openxmlformats.org/officeDocument/2006/relationships/hyperlink" Target="https://www.shanghaimetal.com/carbon_coated_aluminum_foil-11817.htm" TargetMode="External"/><Relationship Id="rId29" Type="http://schemas.openxmlformats.org/officeDocument/2006/relationships/hyperlink" Target="http://asahikasei-automotive-us.com/innovations/celgard" TargetMode="External"/><Relationship Id="rId1" Type="http://schemas.openxmlformats.org/officeDocument/2006/relationships/hyperlink" Target="https://www.youtube.com/watch?v=tke-QsAUiiU" TargetMode="External"/><Relationship Id="rId6" Type="http://schemas.openxmlformats.org/officeDocument/2006/relationships/hyperlink" Target="https://www.ebsl.biz/fileadmin/user_upload/EBSL/Druckschriften/Primer_Layers_for_Batteries_RD_eng.pdf" TargetMode="External"/><Relationship Id="rId11" Type="http://schemas.openxmlformats.org/officeDocument/2006/relationships/hyperlink" Target="https://www.vonardenne.biz/en/battery-technologies/" TargetMode="External"/><Relationship Id="rId24" Type="http://schemas.openxmlformats.org/officeDocument/2006/relationships/hyperlink" Target="https://www.mtixtl.com/Carboncoated-Cu-1.aspx" TargetMode="External"/><Relationship Id="rId32" Type="http://schemas.openxmlformats.org/officeDocument/2006/relationships/hyperlink" Target="https://foil.tdk-electronics.tdk.com/download/2490412/5850709ecd31b6202c20a9f5e7fc275b/catalog.pdf" TargetMode="External"/><Relationship Id="rId37" Type="http://schemas.openxmlformats.org/officeDocument/2006/relationships/hyperlink" Target="http://www.hitachi-metals-neomaterial.co.jp/english/product/env/" TargetMode="External"/><Relationship Id="rId40" Type="http://schemas.openxmlformats.org/officeDocument/2006/relationships/hyperlink" Target="https://www.libgroup.net/product/127.html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www.tmaxcn.com/battery-carbon-coated-aluminum-foil-electrode_p948.html" TargetMode="External"/><Relationship Id="rId15" Type="http://schemas.openxmlformats.org/officeDocument/2006/relationships/hyperlink" Target="https://m.made-in-china.com/product/Battery-Electrode-Material-Carbon-Coated-Aluminum-Foil-1926289975.html" TargetMode="External"/><Relationship Id="rId23" Type="http://schemas.openxmlformats.org/officeDocument/2006/relationships/hyperlink" Target="https://www.transcontinentaladvancedcoatings.com/transcontinental-products/z-flo-conductive-films/product-constructions/conductives-current-collector/" TargetMode="External"/><Relationship Id="rId28" Type="http://schemas.openxmlformats.org/officeDocument/2006/relationships/hyperlink" Target="https://automotive.asahi-kasei.eu/wp-content/uploads/2021/03/Celgard_AABC-EU_Brochure_Insert_v3.pdf" TargetMode="External"/><Relationship Id="rId36" Type="http://schemas.openxmlformats.org/officeDocument/2006/relationships/hyperlink" Target="https://www.rolledcopperfoil.com/sale-9507231-nano-graphite-carbon-coated-aluminum-foil-12-100-m-thickness-iso-approval.html" TargetMode="External"/><Relationship Id="rId10" Type="http://schemas.openxmlformats.org/officeDocument/2006/relationships/hyperlink" Target="https://www.sdk.co.jp/english/rd/technology/abm.html" TargetMode="External"/><Relationship Id="rId19" Type="http://schemas.openxmlformats.org/officeDocument/2006/relationships/hyperlink" Target="https://www.msesupplies.com/products/carbon-coated-aluminum-foil-for-lithium-battery-cathode?variant=31828385726522" TargetMode="External"/><Relationship Id="rId31" Type="http://schemas.openxmlformats.org/officeDocument/2006/relationships/hyperlink" Target="http://www.ppgautocoatings.com/Products/Battery-Coatings.aspx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foil.tdk-electronics.tdk.com/en-it/the-technology" TargetMode="External"/><Relationship Id="rId9" Type="http://schemas.openxmlformats.org/officeDocument/2006/relationships/hyperlink" Target="http://www.foiltec.net/en/product-56-22-22-1.html" TargetMode="External"/><Relationship Id="rId14" Type="http://schemas.openxmlformats.org/officeDocument/2006/relationships/hyperlink" Target="https://www.landtinst.com/product/carbon-coated-aluminum-foil/" TargetMode="External"/><Relationship Id="rId22" Type="http://schemas.openxmlformats.org/officeDocument/2006/relationships/hyperlink" Target="https://www.tstcoatings.com/conductive" TargetMode="External"/><Relationship Id="rId27" Type="http://schemas.openxmlformats.org/officeDocument/2006/relationships/hyperlink" Target="https://www.shanghaimetal.com/nickel_plated_copper_foil-11304.htm" TargetMode="External"/><Relationship Id="rId30" Type="http://schemas.openxmlformats.org/officeDocument/2006/relationships/hyperlink" Target="https://www.dunmore.com/products/battery.html" TargetMode="External"/><Relationship Id="rId35" Type="http://schemas.openxmlformats.org/officeDocument/2006/relationships/hyperlink" Target="https://www.avocetsteel.co.uk/wp-content/uploads/2019/07/AvNANO-Aluminium-Nano-Carbon-Coated-.pdf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s://www.n-kokuen.com/e/products/codingproducts" TargetMode="External"/><Relationship Id="rId3" Type="http://schemas.openxmlformats.org/officeDocument/2006/relationships/hyperlink" Target="https://depatisnet.dpma.de/DepatisNet/depatisnet?action=pdf&amp;docid=US020210265608A1&amp;xxxfull=1" TargetMode="External"/><Relationship Id="rId12" Type="http://schemas.openxmlformats.org/officeDocument/2006/relationships/hyperlink" Target="https://www.showa-denko.com/news/sdk-to-offer-carbon-coated-aluminum-foils-for-libs/" TargetMode="External"/><Relationship Id="rId17" Type="http://schemas.openxmlformats.org/officeDocument/2006/relationships/hyperlink" Target="https://www.nanoshel.com/product/conductive-carbon-coated-aluminum-foil" TargetMode="External"/><Relationship Id="rId25" Type="http://schemas.openxmlformats.org/officeDocument/2006/relationships/hyperlink" Target="https://nanolithium.ca/product/conductive-carbon-coated-copper-foil/" TargetMode="External"/><Relationship Id="rId33" Type="http://schemas.openxmlformats.org/officeDocument/2006/relationships/hyperlink" Target="https://cam-energy.com/product/carbon-coated-aluminium-foil/" TargetMode="External"/><Relationship Id="rId38" Type="http://schemas.openxmlformats.org/officeDocument/2006/relationships/hyperlink" Target="https://www.matexcel.com/p/360/graphene-on-aluminum-foil/?gclid=Cj0KCQiAmpyRBhC-ARIsABs2EAqUyNMhPVmWipMIQBhsLzMdYcd2ExJaljTWT7g955qSHDQaCRQZEHIaAny4EALw_wcB" TargetMode="External"/><Relationship Id="rId20" Type="http://schemas.openxmlformats.org/officeDocument/2006/relationships/hyperlink" Target="https://cam-energy.com/product/carbon-coated-aluminium-foil/" TargetMode="External"/><Relationship Id="rId4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76DD-B752-40CE-B0D8-9D313D6199CC}">
  <dimension ref="A1:S62"/>
  <sheetViews>
    <sheetView showGridLines="0" workbookViewId="0">
      <selection activeCell="C46" sqref="C46"/>
    </sheetView>
  </sheetViews>
  <sheetFormatPr defaultRowHeight="14.4" x14ac:dyDescent="0.3"/>
  <cols>
    <col min="2" max="2" width="21" customWidth="1"/>
    <col min="3" max="3" width="26.21875" customWidth="1"/>
    <col min="4" max="4" width="44.5546875" customWidth="1"/>
    <col min="7" max="7" width="10" bestFit="1" customWidth="1"/>
    <col min="8" max="8" width="18.6640625" customWidth="1"/>
    <col min="9" max="11" width="12.77734375" customWidth="1"/>
  </cols>
  <sheetData>
    <row r="1" spans="1:18" s="1" customFormat="1" ht="24.6" customHeight="1" x14ac:dyDescent="0.4">
      <c r="A1" s="1" t="s">
        <v>0</v>
      </c>
    </row>
    <row r="3" spans="1:18" ht="18.600000000000001" thickBot="1" x14ac:dyDescent="0.4">
      <c r="B3" s="20" t="s">
        <v>1</v>
      </c>
      <c r="C3" s="21"/>
      <c r="D3" s="21"/>
      <c r="E3" s="2"/>
      <c r="H3" s="20" t="s">
        <v>158</v>
      </c>
      <c r="P3" s="2"/>
      <c r="Q3" s="2"/>
      <c r="R3" s="2"/>
    </row>
    <row r="4" spans="1:18" ht="14.4" customHeight="1" x14ac:dyDescent="0.3">
      <c r="B4" s="15" t="s">
        <v>3</v>
      </c>
      <c r="C4" s="15" t="s">
        <v>2</v>
      </c>
      <c r="D4" s="16" t="s">
        <v>30</v>
      </c>
      <c r="E4" s="2"/>
      <c r="H4" t="s">
        <v>159</v>
      </c>
      <c r="I4" s="94">
        <v>1</v>
      </c>
      <c r="P4" s="2"/>
      <c r="Q4" s="2"/>
      <c r="R4" s="2"/>
    </row>
    <row r="5" spans="1:18" ht="14.4" customHeight="1" x14ac:dyDescent="0.3">
      <c r="B5" s="19"/>
      <c r="C5" s="19" t="s">
        <v>5</v>
      </c>
      <c r="D5" s="26" t="s">
        <v>30</v>
      </c>
      <c r="E5" s="2"/>
      <c r="I5" s="95">
        <f>1.4/10000</f>
        <v>1.3999999999999999E-4</v>
      </c>
      <c r="O5" s="7" t="s">
        <v>22</v>
      </c>
      <c r="P5" s="27" t="s">
        <v>19</v>
      </c>
      <c r="Q5" s="27" t="s">
        <v>20</v>
      </c>
      <c r="R5" s="28" t="s">
        <v>21</v>
      </c>
    </row>
    <row r="6" spans="1:18" ht="14.4" customHeight="1" x14ac:dyDescent="0.3">
      <c r="B6" s="19"/>
      <c r="C6" s="19" t="s">
        <v>6</v>
      </c>
      <c r="D6" s="26" t="s">
        <v>31</v>
      </c>
      <c r="E6" s="2"/>
      <c r="I6" s="96">
        <f>1.4/1000000</f>
        <v>1.3999999999999999E-6</v>
      </c>
      <c r="O6" s="7"/>
      <c r="P6" s="8" t="s">
        <v>11</v>
      </c>
      <c r="Q6" s="8" t="s">
        <v>14</v>
      </c>
      <c r="R6" s="9" t="s">
        <v>15</v>
      </c>
    </row>
    <row r="7" spans="1:18" ht="14.4" customHeight="1" thickBot="1" x14ac:dyDescent="0.35">
      <c r="B7" s="17"/>
      <c r="C7" s="17" t="s">
        <v>37</v>
      </c>
      <c r="D7" s="18" t="s">
        <v>38</v>
      </c>
      <c r="E7" s="2"/>
      <c r="H7" t="s">
        <v>160</v>
      </c>
      <c r="I7" s="77">
        <v>1.8</v>
      </c>
      <c r="J7" t="s">
        <v>162</v>
      </c>
      <c r="O7" s="4" t="s">
        <v>8</v>
      </c>
      <c r="P7" s="5">
        <v>56627</v>
      </c>
      <c r="Q7" s="5">
        <v>657</v>
      </c>
      <c r="R7" s="12">
        <f>Q7/P7</f>
        <v>1.160223921450898E-2</v>
      </c>
    </row>
    <row r="8" spans="1:18" ht="14.4" customHeight="1" x14ac:dyDescent="0.3">
      <c r="B8" s="15" t="s">
        <v>4</v>
      </c>
      <c r="C8" s="15" t="s">
        <v>2</v>
      </c>
      <c r="D8" s="16" t="s">
        <v>12</v>
      </c>
      <c r="E8" s="2"/>
      <c r="H8" t="s">
        <v>161</v>
      </c>
      <c r="I8" s="77">
        <v>1.1000000000000001</v>
      </c>
      <c r="O8" s="4" t="s">
        <v>9</v>
      </c>
      <c r="P8" s="5">
        <v>17041</v>
      </c>
      <c r="Q8" s="5">
        <v>286</v>
      </c>
      <c r="R8" s="12">
        <f t="shared" ref="R8:R9" si="0">Q8/P8</f>
        <v>1.6783052637756E-2</v>
      </c>
    </row>
    <row r="9" spans="1:18" ht="14.4" customHeight="1" thickBot="1" x14ac:dyDescent="0.35">
      <c r="B9" s="17"/>
      <c r="C9" s="17" t="s">
        <v>39</v>
      </c>
      <c r="D9" s="18" t="s">
        <v>13</v>
      </c>
      <c r="E9" s="2"/>
      <c r="H9" t="s">
        <v>163</v>
      </c>
      <c r="O9" s="10" t="s">
        <v>10</v>
      </c>
      <c r="P9" s="11">
        <v>1089</v>
      </c>
      <c r="Q9" s="11">
        <v>17.52</v>
      </c>
      <c r="R9" s="13">
        <f t="shared" si="0"/>
        <v>1.6088154269972451E-2</v>
      </c>
    </row>
    <row r="10" spans="1:18" ht="14.4" customHeight="1" x14ac:dyDescent="0.3">
      <c r="B10" s="15" t="s">
        <v>17</v>
      </c>
      <c r="C10" s="15" t="s">
        <v>2</v>
      </c>
      <c r="D10" s="16" t="s">
        <v>25</v>
      </c>
      <c r="E10" s="2"/>
      <c r="O10" s="6" t="s">
        <v>16</v>
      </c>
      <c r="P10" s="3"/>
      <c r="Q10" s="3"/>
      <c r="R10" s="14">
        <f>AVERAGE(R7:R9)</f>
        <v>1.4824482040745809E-2</v>
      </c>
    </row>
    <row r="11" spans="1:18" ht="14.4" customHeight="1" thickBot="1" x14ac:dyDescent="0.35">
      <c r="B11" s="17" t="s">
        <v>79</v>
      </c>
      <c r="C11" s="17" t="s">
        <v>39</v>
      </c>
      <c r="D11" s="18" t="s">
        <v>18</v>
      </c>
      <c r="E11" s="2"/>
    </row>
    <row r="12" spans="1:18" ht="14.4" customHeight="1" x14ac:dyDescent="0.3">
      <c r="B12" s="15" t="s">
        <v>7</v>
      </c>
      <c r="C12" s="15" t="s">
        <v>2</v>
      </c>
      <c r="D12" s="23">
        <f>R18</f>
        <v>7.8000000000000005E-3</v>
      </c>
      <c r="E12" s="2"/>
    </row>
    <row r="13" spans="1:18" ht="14.4" customHeight="1" thickBot="1" x14ac:dyDescent="0.35">
      <c r="B13" s="17"/>
      <c r="C13" s="17" t="s">
        <v>39</v>
      </c>
      <c r="D13" s="24">
        <f>R10</f>
        <v>1.4824482040745809E-2</v>
      </c>
      <c r="O13" s="7" t="s">
        <v>2</v>
      </c>
      <c r="P13" s="27" t="s">
        <v>19</v>
      </c>
      <c r="Q13" s="27" t="s">
        <v>20</v>
      </c>
      <c r="R13" s="28" t="s">
        <v>21</v>
      </c>
    </row>
    <row r="14" spans="1:18" ht="14.4" customHeight="1" x14ac:dyDescent="0.3">
      <c r="B14" t="s">
        <v>29</v>
      </c>
      <c r="C14" s="15" t="s">
        <v>2</v>
      </c>
      <c r="D14" s="25">
        <f>1/D12</f>
        <v>128.2051282051282</v>
      </c>
      <c r="O14" s="7"/>
      <c r="P14" s="8" t="s">
        <v>11</v>
      </c>
      <c r="Q14" s="8" t="s">
        <v>14</v>
      </c>
      <c r="R14" s="9" t="s">
        <v>15</v>
      </c>
    </row>
    <row r="15" spans="1:18" ht="14.4" customHeight="1" thickBot="1" x14ac:dyDescent="0.35">
      <c r="B15" s="11"/>
      <c r="C15" s="17" t="s">
        <v>39</v>
      </c>
      <c r="D15" s="88">
        <f>1/D13</f>
        <v>67.455982424981286</v>
      </c>
      <c r="E15" s="2" t="s">
        <v>28</v>
      </c>
      <c r="F15">
        <f>10000/1000000000</f>
        <v>1.0000000000000001E-5</v>
      </c>
      <c r="O15" s="4" t="s">
        <v>23</v>
      </c>
      <c r="P15" s="5"/>
      <c r="Q15" s="5"/>
      <c r="R15" s="12">
        <v>7.9000000000000008E-3</v>
      </c>
    </row>
    <row r="16" spans="1:18" ht="14.4" customHeight="1" x14ac:dyDescent="0.3">
      <c r="B16" t="s">
        <v>155</v>
      </c>
      <c r="C16" s="15" t="s">
        <v>2</v>
      </c>
      <c r="D16" s="90">
        <f>D14*1000</f>
        <v>128205.1282051282</v>
      </c>
      <c r="E16" s="2"/>
      <c r="O16" s="4" t="s">
        <v>24</v>
      </c>
      <c r="P16" s="5"/>
      <c r="Q16" s="5"/>
      <c r="R16" s="12">
        <v>7.7000000000000002E-3</v>
      </c>
    </row>
    <row r="17" spans="2:19" ht="14.4" customHeight="1" thickBot="1" x14ac:dyDescent="0.35">
      <c r="B17" s="11"/>
      <c r="C17" s="17" t="s">
        <v>39</v>
      </c>
      <c r="D17" s="91">
        <f>D15*1000</f>
        <v>67455.982424981281</v>
      </c>
      <c r="E17" s="2"/>
      <c r="O17" s="10"/>
      <c r="P17" s="11"/>
      <c r="Q17" s="11"/>
      <c r="R17" s="13"/>
    </row>
    <row r="18" spans="2:19" ht="14.4" customHeight="1" x14ac:dyDescent="0.3">
      <c r="B18" s="56" t="s">
        <v>27</v>
      </c>
      <c r="C18" s="56" t="s">
        <v>2</v>
      </c>
      <c r="D18" s="89">
        <f>D14/$F$15</f>
        <v>12820512.82051282</v>
      </c>
      <c r="E18" s="2"/>
      <c r="O18" s="6" t="s">
        <v>16</v>
      </c>
      <c r="P18" s="3"/>
      <c r="Q18" s="3"/>
      <c r="R18" s="14">
        <f>AVERAGE(R15:R17)</f>
        <v>7.8000000000000005E-3</v>
      </c>
      <c r="S18" s="22" t="s">
        <v>26</v>
      </c>
    </row>
    <row r="19" spans="2:19" ht="14.4" customHeight="1" thickBot="1" x14ac:dyDescent="0.35">
      <c r="B19" s="46"/>
      <c r="C19" s="46" t="s">
        <v>39</v>
      </c>
      <c r="D19" s="78">
        <f>D15/$F$15</f>
        <v>6745598.2424981277</v>
      </c>
      <c r="E19" s="2"/>
    </row>
    <row r="20" spans="2:19" ht="14.4" customHeight="1" x14ac:dyDescent="0.3">
      <c r="B20" s="2" t="s">
        <v>150</v>
      </c>
      <c r="C20" s="2" t="s">
        <v>2</v>
      </c>
      <c r="D20" s="92">
        <f>D14*$I$5*2</f>
        <v>3.5897435897435895E-2</v>
      </c>
      <c r="E20" t="s">
        <v>156</v>
      </c>
    </row>
    <row r="21" spans="2:19" ht="15" thickBot="1" x14ac:dyDescent="0.35">
      <c r="B21" s="46"/>
      <c r="C21" s="46" t="s">
        <v>39</v>
      </c>
      <c r="D21" s="93">
        <f>D15*$I$5*2*2</f>
        <v>3.7775350157989517E-2</v>
      </c>
      <c r="E21" t="s">
        <v>157</v>
      </c>
    </row>
    <row r="22" spans="2:19" x14ac:dyDescent="0.3">
      <c r="B22" s="2" t="s">
        <v>151</v>
      </c>
      <c r="C22" s="87" t="s">
        <v>2</v>
      </c>
      <c r="D22" s="97">
        <f>D14*$I$5*$I$7/$I$8*2</f>
        <v>5.8741258741258739E-2</v>
      </c>
      <c r="E22" t="s">
        <v>164</v>
      </c>
    </row>
    <row r="23" spans="2:19" ht="15" thickBot="1" x14ac:dyDescent="0.35">
      <c r="B23" s="46"/>
      <c r="C23" s="46" t="s">
        <v>39</v>
      </c>
      <c r="D23" s="98">
        <f>D15*$I$5*$I$7/$I$8*2*2</f>
        <v>6.1814209349437384E-2</v>
      </c>
    </row>
    <row r="24" spans="2:19" x14ac:dyDescent="0.3">
      <c r="B24" t="s">
        <v>152</v>
      </c>
      <c r="C24" s="87" t="s">
        <v>2</v>
      </c>
      <c r="D24" s="99">
        <f>D22*$I$8</f>
        <v>6.4615384615384616E-2</v>
      </c>
    </row>
    <row r="25" spans="2:19" ht="15" thickBot="1" x14ac:dyDescent="0.35">
      <c r="B25" s="11"/>
      <c r="C25" s="46" t="s">
        <v>39</v>
      </c>
      <c r="D25" s="100">
        <f>D23*$I$8</f>
        <v>6.7995630284381131E-2</v>
      </c>
      <c r="N25">
        <v>1.0900000000000001</v>
      </c>
      <c r="O25" t="s">
        <v>165</v>
      </c>
    </row>
    <row r="26" spans="2:19" x14ac:dyDescent="0.3">
      <c r="B26" t="s">
        <v>153</v>
      </c>
      <c r="C26" s="87" t="s">
        <v>2</v>
      </c>
      <c r="D26" s="101">
        <f>D24*1000</f>
        <v>64.615384615384613</v>
      </c>
      <c r="I26" t="s">
        <v>47</v>
      </c>
    </row>
    <row r="27" spans="2:19" ht="15" thickBot="1" x14ac:dyDescent="0.35">
      <c r="B27" s="11"/>
      <c r="C27" s="46" t="s">
        <v>39</v>
      </c>
      <c r="D27" s="102">
        <f>D25*1000</f>
        <v>67.995630284381136</v>
      </c>
      <c r="I27" t="s">
        <v>113</v>
      </c>
      <c r="J27" t="s">
        <v>78</v>
      </c>
    </row>
    <row r="28" spans="2:19" x14ac:dyDescent="0.3">
      <c r="B28" t="s">
        <v>154</v>
      </c>
      <c r="C28" s="87" t="s">
        <v>2</v>
      </c>
      <c r="D28" s="103">
        <f>D26*$C$38/1000</f>
        <v>0.76763076923076923</v>
      </c>
    </row>
    <row r="29" spans="2:19" ht="13.8" customHeight="1" thickBot="1" x14ac:dyDescent="0.35">
      <c r="B29" s="11"/>
      <c r="C29" s="46" t="s">
        <v>39</v>
      </c>
      <c r="D29" s="104">
        <f>D27*$C$38/1000</f>
        <v>0.80778808777844791</v>
      </c>
      <c r="I29" t="s">
        <v>110</v>
      </c>
      <c r="J29" s="61">
        <f>C44/R10*1000</f>
        <v>5200856.2449660571</v>
      </c>
      <c r="K29" t="s">
        <v>111</v>
      </c>
    </row>
    <row r="30" spans="2:19" x14ac:dyDescent="0.3">
      <c r="I30" t="s">
        <v>112</v>
      </c>
      <c r="J30" s="60">
        <f>J29*I5</f>
        <v>728.11987429524788</v>
      </c>
      <c r="K30" t="s">
        <v>114</v>
      </c>
    </row>
    <row r="31" spans="2:19" x14ac:dyDescent="0.3">
      <c r="J31" s="60">
        <f>J30*2</f>
        <v>1456.2397485904958</v>
      </c>
      <c r="K31" t="s">
        <v>115</v>
      </c>
    </row>
    <row r="32" spans="2:19" x14ac:dyDescent="0.3">
      <c r="J32" s="60">
        <f>J31*1.8</f>
        <v>2621.2315474628926</v>
      </c>
      <c r="K32" t="s">
        <v>129</v>
      </c>
      <c r="L32" t="s">
        <v>139</v>
      </c>
    </row>
    <row r="33" spans="2:12" x14ac:dyDescent="0.3">
      <c r="J33" s="60">
        <f>J32/I8*I7</f>
        <v>4289.2879867574602</v>
      </c>
      <c r="K33" t="s">
        <v>129</v>
      </c>
      <c r="L33" t="s">
        <v>140</v>
      </c>
    </row>
    <row r="34" spans="2:12" s="34" customFormat="1" ht="21" x14ac:dyDescent="0.4">
      <c r="B34" s="1" t="s">
        <v>166</v>
      </c>
    </row>
    <row r="36" spans="2:12" x14ac:dyDescent="0.3">
      <c r="B36" s="105" t="s">
        <v>167</v>
      </c>
      <c r="C36" s="2"/>
      <c r="D36" s="2"/>
      <c r="E36" s="2"/>
    </row>
    <row r="37" spans="2:12" ht="18.600000000000001" thickBot="1" x14ac:dyDescent="0.4">
      <c r="B37" s="20" t="s">
        <v>83</v>
      </c>
      <c r="C37" s="46"/>
      <c r="D37" s="46"/>
      <c r="E37" s="2"/>
    </row>
    <row r="38" spans="2:12" x14ac:dyDescent="0.3">
      <c r="B38" s="2" t="s">
        <v>84</v>
      </c>
      <c r="C38" s="47">
        <v>11.88</v>
      </c>
      <c r="D38" s="2"/>
      <c r="E38" s="2"/>
    </row>
    <row r="39" spans="2:12" x14ac:dyDescent="0.3">
      <c r="B39" t="s">
        <v>105</v>
      </c>
      <c r="C39" s="55" t="s">
        <v>106</v>
      </c>
      <c r="D39" s="60">
        <v>2.6</v>
      </c>
      <c r="E39" s="2"/>
    </row>
    <row r="40" spans="2:12" x14ac:dyDescent="0.3">
      <c r="B40" s="2" t="s">
        <v>85</v>
      </c>
      <c r="C40" s="47">
        <f>D39*C38</f>
        <v>30.888000000000002</v>
      </c>
      <c r="D40" s="47">
        <f>D39*C38</f>
        <v>30.888000000000002</v>
      </c>
      <c r="E40" s="2"/>
    </row>
    <row r="41" spans="2:12" x14ac:dyDescent="0.3">
      <c r="B41" s="2" t="s">
        <v>86</v>
      </c>
      <c r="C41" s="48">
        <v>1</v>
      </c>
      <c r="D41" s="2"/>
      <c r="E41" s="2"/>
    </row>
    <row r="42" spans="2:12" x14ac:dyDescent="0.3">
      <c r="B42" s="2" t="s">
        <v>87</v>
      </c>
      <c r="C42" s="49">
        <v>2.4</v>
      </c>
      <c r="D42" s="2"/>
      <c r="E42" s="2"/>
    </row>
    <row r="43" spans="2:12" x14ac:dyDescent="0.3">
      <c r="B43" s="2" t="s">
        <v>88</v>
      </c>
      <c r="C43" s="2">
        <v>960</v>
      </c>
      <c r="D43" s="2"/>
      <c r="E43" s="2"/>
    </row>
    <row r="44" spans="2:12" x14ac:dyDescent="0.3">
      <c r="B44" s="56" t="s">
        <v>89</v>
      </c>
      <c r="C44" s="57">
        <v>77.099999999999994</v>
      </c>
      <c r="D44" s="76">
        <f>2.6/C44</f>
        <v>3.3722438391699097E-2</v>
      </c>
      <c r="E44" s="2" t="s">
        <v>136</v>
      </c>
    </row>
    <row r="45" spans="2:12" x14ac:dyDescent="0.3">
      <c r="B45" s="58" t="s">
        <v>107</v>
      </c>
      <c r="C45" s="59">
        <f>D39*C38/C44</f>
        <v>0.40062256809338526</v>
      </c>
      <c r="D45" s="5"/>
      <c r="E45" s="2"/>
    </row>
    <row r="46" spans="2:12" x14ac:dyDescent="0.3">
      <c r="B46" s="51" t="s">
        <v>90</v>
      </c>
      <c r="C46" s="50">
        <f>C45</f>
        <v>0.40062256809338526</v>
      </c>
      <c r="D46" s="2" t="s">
        <v>91</v>
      </c>
    </row>
    <row r="47" spans="2:12" ht="43.2" x14ac:dyDescent="0.3">
      <c r="B47" s="53" t="s">
        <v>90</v>
      </c>
      <c r="C47" s="52">
        <f>C46*(D13/D12)/2</f>
        <v>0.3807065426806317</v>
      </c>
      <c r="D47" s="15" t="s">
        <v>92</v>
      </c>
    </row>
    <row r="51" spans="1:5" ht="21" x14ac:dyDescent="0.4">
      <c r="A51" s="34"/>
      <c r="B51" s="1" t="s">
        <v>168</v>
      </c>
      <c r="C51" s="34"/>
      <c r="D51" s="34"/>
      <c r="E51" s="34"/>
    </row>
    <row r="53" spans="1:5" x14ac:dyDescent="0.3">
      <c r="B53" s="105" t="s">
        <v>169</v>
      </c>
      <c r="C53" s="2"/>
      <c r="D53" s="2"/>
      <c r="E53" s="2"/>
    </row>
    <row r="54" spans="1:5" ht="18.600000000000001" thickBot="1" x14ac:dyDescent="0.4">
      <c r="B54" s="20" t="s">
        <v>83</v>
      </c>
      <c r="C54" s="46"/>
      <c r="D54" s="46"/>
      <c r="E54" s="2"/>
    </row>
    <row r="55" spans="1:5" ht="28.8" x14ac:dyDescent="0.3">
      <c r="B55" s="2" t="s">
        <v>170</v>
      </c>
      <c r="C55" s="106">
        <v>150</v>
      </c>
      <c r="D55" s="2"/>
      <c r="E55" s="2"/>
    </row>
    <row r="56" spans="1:5" x14ac:dyDescent="0.3">
      <c r="B56" t="s">
        <v>171</v>
      </c>
      <c r="C56" s="107">
        <v>92515000</v>
      </c>
      <c r="D56" s="60">
        <v>3</v>
      </c>
      <c r="E56" s="2"/>
    </row>
    <row r="57" spans="1:5" x14ac:dyDescent="0.3">
      <c r="B57" s="58" t="s">
        <v>107</v>
      </c>
      <c r="C57" s="59">
        <f>C56/C55/1000000</f>
        <v>0.61676666666666657</v>
      </c>
      <c r="D57" s="5"/>
      <c r="E57" s="2"/>
    </row>
    <row r="58" spans="1:5" x14ac:dyDescent="0.3">
      <c r="B58" s="51" t="s">
        <v>90</v>
      </c>
      <c r="C58" s="50">
        <f>C57</f>
        <v>0.61676666666666657</v>
      </c>
      <c r="D58" s="2" t="s">
        <v>91</v>
      </c>
      <c r="E58" s="2"/>
    </row>
    <row r="59" spans="1:5" ht="43.2" x14ac:dyDescent="0.3">
      <c r="B59" s="53" t="s">
        <v>90</v>
      </c>
      <c r="C59" s="52">
        <f>C58*(D20/D21)</f>
        <v>0.58610553675196508</v>
      </c>
      <c r="D59" s="15" t="s">
        <v>92</v>
      </c>
      <c r="E59" s="2"/>
    </row>
    <row r="60" spans="1:5" x14ac:dyDescent="0.3">
      <c r="B60" s="2"/>
      <c r="C60" s="2"/>
      <c r="D60" s="2"/>
      <c r="E60" s="2"/>
    </row>
    <row r="61" spans="1:5" x14ac:dyDescent="0.3">
      <c r="B61" s="56"/>
      <c r="C61" s="57"/>
      <c r="D61" s="76"/>
      <c r="E61" s="2"/>
    </row>
    <row r="62" spans="1:5" x14ac:dyDescent="0.3">
      <c r="E6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C777-A5C6-4866-9B82-C2AF580EC6B9}">
  <dimension ref="A1:T56"/>
  <sheetViews>
    <sheetView showGridLines="0" workbookViewId="0">
      <selection activeCell="G33" sqref="G33"/>
    </sheetView>
  </sheetViews>
  <sheetFormatPr defaultRowHeight="14.4" x14ac:dyDescent="0.3"/>
  <cols>
    <col min="2" max="2" width="21.77734375" customWidth="1"/>
    <col min="3" max="12" width="12.77734375" customWidth="1"/>
    <col min="15" max="15" width="11" bestFit="1" customWidth="1"/>
  </cols>
  <sheetData>
    <row r="1" spans="1:13" s="1" customFormat="1" ht="24.6" customHeight="1" x14ac:dyDescent="0.4">
      <c r="A1" s="1" t="s">
        <v>32</v>
      </c>
    </row>
    <row r="4" spans="1:13" x14ac:dyDescent="0.3">
      <c r="B4" s="37" t="s">
        <v>33</v>
      </c>
      <c r="C4" s="36">
        <v>2021</v>
      </c>
      <c r="D4" s="36">
        <v>2022</v>
      </c>
      <c r="E4" s="36">
        <v>2023</v>
      </c>
      <c r="F4" s="36">
        <v>2024</v>
      </c>
      <c r="G4" s="36">
        <v>2025</v>
      </c>
      <c r="H4" s="36">
        <v>2026</v>
      </c>
      <c r="I4" s="36">
        <v>2027</v>
      </c>
      <c r="J4" s="36">
        <v>2028</v>
      </c>
      <c r="K4" s="36">
        <v>2029</v>
      </c>
      <c r="L4" s="36">
        <v>2030</v>
      </c>
    </row>
    <row r="5" spans="1:13" x14ac:dyDescent="0.3">
      <c r="B5" s="38" t="s">
        <v>34</v>
      </c>
      <c r="C5" s="29">
        <v>353</v>
      </c>
      <c r="D5" s="29">
        <v>547</v>
      </c>
      <c r="E5" s="29">
        <v>792</v>
      </c>
      <c r="F5" s="29">
        <v>1111</v>
      </c>
      <c r="G5" s="29">
        <v>1453</v>
      </c>
      <c r="H5" s="29">
        <v>1701</v>
      </c>
      <c r="I5" s="29">
        <v>1998</v>
      </c>
      <c r="J5" s="29">
        <v>2261</v>
      </c>
      <c r="K5" s="29">
        <v>2535</v>
      </c>
      <c r="L5" s="29">
        <v>2945</v>
      </c>
      <c r="M5" s="33" t="s">
        <v>43</v>
      </c>
    </row>
    <row r="6" spans="1:13" x14ac:dyDescent="0.3">
      <c r="B6" s="36" t="s">
        <v>80</v>
      </c>
      <c r="C6" s="45">
        <f>C5-C8-C9-C10-C11</f>
        <v>272.37</v>
      </c>
      <c r="D6" s="45">
        <f t="shared" ref="D6:L6" si="0">D5-D8-D9-D10-D11</f>
        <v>406.05400000000003</v>
      </c>
      <c r="E6" s="45">
        <f t="shared" si="0"/>
        <v>571.20800000000008</v>
      </c>
      <c r="F6" s="45">
        <f t="shared" si="0"/>
        <v>756.42599999999993</v>
      </c>
      <c r="G6" s="45">
        <f t="shared" si="0"/>
        <v>944.57400000000018</v>
      </c>
      <c r="H6" s="45">
        <f t="shared" si="0"/>
        <v>1116.95</v>
      </c>
      <c r="I6" s="45">
        <f t="shared" si="0"/>
        <v>1302.7160000000001</v>
      </c>
      <c r="J6" s="45">
        <f t="shared" si="0"/>
        <v>1471.7739999999999</v>
      </c>
      <c r="K6" s="45">
        <f t="shared" si="0"/>
        <v>1652.6100000000001</v>
      </c>
      <c r="L6" s="45">
        <f t="shared" si="0"/>
        <v>1901.8100000000002</v>
      </c>
    </row>
    <row r="7" spans="1:13" x14ac:dyDescent="0.3">
      <c r="B7" s="38" t="s">
        <v>35</v>
      </c>
      <c r="C7" s="30">
        <v>0.2</v>
      </c>
      <c r="D7" s="30">
        <v>0.2</v>
      </c>
      <c r="E7" s="30">
        <v>0.2</v>
      </c>
      <c r="F7" s="30">
        <v>0.2</v>
      </c>
      <c r="G7" s="30">
        <v>0.2</v>
      </c>
      <c r="H7" s="30">
        <v>0.2</v>
      </c>
      <c r="I7" s="30">
        <v>0.2</v>
      </c>
      <c r="J7" s="30">
        <v>0.2</v>
      </c>
      <c r="K7" s="30">
        <v>0.2</v>
      </c>
      <c r="L7" s="30">
        <v>0.2</v>
      </c>
      <c r="M7" s="33" t="s">
        <v>43</v>
      </c>
    </row>
    <row r="8" spans="1:13" x14ac:dyDescent="0.3">
      <c r="B8" s="38" t="s">
        <v>36</v>
      </c>
      <c r="C8" s="29">
        <f t="shared" ref="C8:L8" si="1">C7*C5</f>
        <v>70.600000000000009</v>
      </c>
      <c r="D8" s="29">
        <f t="shared" si="1"/>
        <v>109.4</v>
      </c>
      <c r="E8" s="29">
        <f t="shared" si="1"/>
        <v>158.4</v>
      </c>
      <c r="F8" s="29">
        <f t="shared" si="1"/>
        <v>222.20000000000002</v>
      </c>
      <c r="G8" s="29">
        <f t="shared" si="1"/>
        <v>290.60000000000002</v>
      </c>
      <c r="H8" s="29">
        <f t="shared" si="1"/>
        <v>340.20000000000005</v>
      </c>
      <c r="I8" s="29">
        <f t="shared" si="1"/>
        <v>399.6</v>
      </c>
      <c r="J8" s="29">
        <f t="shared" si="1"/>
        <v>452.20000000000005</v>
      </c>
      <c r="K8" s="29">
        <f t="shared" si="1"/>
        <v>507</v>
      </c>
      <c r="L8" s="29">
        <f t="shared" si="1"/>
        <v>589</v>
      </c>
    </row>
    <row r="9" spans="1:13" x14ac:dyDescent="0.3">
      <c r="B9" s="38" t="s">
        <v>174</v>
      </c>
      <c r="C9" s="31">
        <v>5</v>
      </c>
      <c r="D9" s="31">
        <v>20</v>
      </c>
      <c r="E9" s="31">
        <v>40</v>
      </c>
      <c r="F9" s="31">
        <v>90</v>
      </c>
      <c r="G9" s="31">
        <v>150</v>
      </c>
      <c r="H9" s="31">
        <v>150</v>
      </c>
      <c r="I9" s="31">
        <v>160</v>
      </c>
      <c r="J9" s="31">
        <v>160</v>
      </c>
      <c r="K9" s="31">
        <v>160</v>
      </c>
      <c r="L9" s="31">
        <v>160</v>
      </c>
      <c r="M9" s="33" t="s">
        <v>42</v>
      </c>
    </row>
    <row r="10" spans="1:13" x14ac:dyDescent="0.3">
      <c r="B10" s="38" t="s">
        <v>40</v>
      </c>
      <c r="C10" s="31">
        <v>1.5</v>
      </c>
      <c r="D10" s="31">
        <v>1.7</v>
      </c>
      <c r="E10" s="31">
        <v>1.8</v>
      </c>
      <c r="F10" s="31">
        <v>4.5999999999999996</v>
      </c>
      <c r="G10" s="31">
        <v>6.8</v>
      </c>
      <c r="H10" s="31">
        <v>8.8000000000000007</v>
      </c>
      <c r="I10" s="31">
        <v>19.799999999999997</v>
      </c>
      <c r="J10" s="31">
        <v>27.799999999999997</v>
      </c>
      <c r="K10" s="31">
        <v>27.799999999999997</v>
      </c>
      <c r="L10" s="31">
        <v>52.7</v>
      </c>
      <c r="M10" s="33" t="s">
        <v>41</v>
      </c>
    </row>
    <row r="11" spans="1:13" x14ac:dyDescent="0.3">
      <c r="B11" s="37" t="s">
        <v>81</v>
      </c>
      <c r="C11" s="42">
        <f>C5*0.01</f>
        <v>3.5300000000000002</v>
      </c>
      <c r="D11" s="42">
        <f>D5*0.018</f>
        <v>9.8460000000000001</v>
      </c>
      <c r="E11" s="42">
        <f>E5*0.026</f>
        <v>20.591999999999999</v>
      </c>
      <c r="F11" s="42">
        <f>F5*0.034</f>
        <v>37.774000000000001</v>
      </c>
      <c r="G11" s="42">
        <f>G5*0.042</f>
        <v>61.026000000000003</v>
      </c>
      <c r="H11" s="42">
        <f>H5*0.05</f>
        <v>85.050000000000011</v>
      </c>
      <c r="I11" s="42">
        <f>I5*0.058</f>
        <v>115.884</v>
      </c>
      <c r="J11" s="42">
        <f>J5*0.066</f>
        <v>149.226</v>
      </c>
      <c r="K11" s="42">
        <f>K5*0.074</f>
        <v>187.59</v>
      </c>
      <c r="L11" s="42">
        <f>L5*0.082</f>
        <v>241.49</v>
      </c>
      <c r="M11" s="33" t="s">
        <v>82</v>
      </c>
    </row>
    <row r="12" spans="1:13" x14ac:dyDescent="0.3">
      <c r="B12" s="41" t="s">
        <v>57</v>
      </c>
      <c r="C12" s="29">
        <f>SUM(C9:C11)</f>
        <v>10.030000000000001</v>
      </c>
      <c r="D12" s="29">
        <f t="shared" ref="D12:L12" si="2">SUM(D9:D11)</f>
        <v>31.545999999999999</v>
      </c>
      <c r="E12" s="29">
        <f t="shared" si="2"/>
        <v>62.391999999999996</v>
      </c>
      <c r="F12" s="29">
        <f t="shared" si="2"/>
        <v>132.374</v>
      </c>
      <c r="G12" s="29">
        <f t="shared" si="2"/>
        <v>217.82600000000002</v>
      </c>
      <c r="H12" s="29">
        <f t="shared" si="2"/>
        <v>243.85000000000002</v>
      </c>
      <c r="I12" s="29">
        <f t="shared" si="2"/>
        <v>295.68400000000003</v>
      </c>
      <c r="J12" s="29">
        <f t="shared" si="2"/>
        <v>337.02600000000001</v>
      </c>
      <c r="K12" s="29">
        <f t="shared" si="2"/>
        <v>375.39</v>
      </c>
      <c r="L12" s="29">
        <f t="shared" si="2"/>
        <v>454.19</v>
      </c>
    </row>
    <row r="15" spans="1:13" s="34" customFormat="1" ht="24.75" customHeight="1" x14ac:dyDescent="0.4">
      <c r="A15" s="1" t="s">
        <v>56</v>
      </c>
    </row>
    <row r="17" spans="1:20" x14ac:dyDescent="0.3">
      <c r="L17" s="31"/>
    </row>
    <row r="18" spans="1:20" x14ac:dyDescent="0.3">
      <c r="B18" s="37" t="s">
        <v>33</v>
      </c>
      <c r="C18" s="36">
        <v>2021</v>
      </c>
      <c r="D18" s="36">
        <v>2022</v>
      </c>
      <c r="E18" s="36">
        <v>2023</v>
      </c>
      <c r="F18" s="36">
        <v>2024</v>
      </c>
      <c r="G18" s="36">
        <v>2025</v>
      </c>
      <c r="H18" s="36">
        <v>2026</v>
      </c>
      <c r="I18" s="36">
        <v>2027</v>
      </c>
      <c r="J18" s="36">
        <v>2028</v>
      </c>
      <c r="K18" s="36">
        <v>2029</v>
      </c>
      <c r="L18" s="36">
        <v>2030</v>
      </c>
      <c r="O18" s="33" t="s">
        <v>55</v>
      </c>
      <c r="P18" s="33"/>
      <c r="Q18" s="33"/>
      <c r="R18" s="33"/>
      <c r="S18" s="33"/>
      <c r="T18" s="33"/>
    </row>
    <row r="19" spans="1:20" x14ac:dyDescent="0.3">
      <c r="A19" s="35"/>
      <c r="B19" s="38" t="s">
        <v>2</v>
      </c>
      <c r="C19" s="39">
        <f>C8*Premises!$D$18/1000000</f>
        <v>905.1282051282052</v>
      </c>
      <c r="D19" s="39">
        <f>D8*Premises!$D$18/1000000</f>
        <v>1402.5641025641025</v>
      </c>
      <c r="E19" s="39">
        <f>E8*Premises!$D$18/1000000</f>
        <v>2030.7692307692309</v>
      </c>
      <c r="F19" s="39">
        <f>F8*Premises!$D$18/1000000</f>
        <v>2848.7179487179487</v>
      </c>
      <c r="G19" s="39">
        <f>G8*Premises!$D$18/1000000</f>
        <v>3725.6410256410259</v>
      </c>
      <c r="H19" s="39">
        <f>H8*Premises!$D$18/1000000</f>
        <v>4361.5384615384619</v>
      </c>
      <c r="I19" s="39">
        <f>I8*Premises!$D$18/1000000</f>
        <v>5123.0769230769238</v>
      </c>
      <c r="J19" s="39">
        <f>J8*Premises!$D$18/1000000</f>
        <v>5797.4358974358975</v>
      </c>
      <c r="K19" s="39">
        <f>K8*Premises!$D$18/1000000</f>
        <v>6500</v>
      </c>
      <c r="L19" s="39">
        <f>L8*Premises!$D$18/1000000</f>
        <v>7551.2820512820508</v>
      </c>
      <c r="M19" s="33"/>
      <c r="O19">
        <v>250000000</v>
      </c>
      <c r="P19" t="s">
        <v>44</v>
      </c>
      <c r="Q19" t="s">
        <v>50</v>
      </c>
      <c r="R19">
        <v>8960</v>
      </c>
      <c r="S19" t="s">
        <v>45</v>
      </c>
      <c r="T19" t="s">
        <v>49</v>
      </c>
    </row>
    <row r="20" spans="1:20" x14ac:dyDescent="0.3">
      <c r="B20" s="38" t="s">
        <v>174</v>
      </c>
      <c r="C20" s="39">
        <f>C9*Premises!$D$19/1000000</f>
        <v>33.727991212490643</v>
      </c>
      <c r="D20" s="39">
        <f>D9*Premises!$D$19/1000000</f>
        <v>134.91196484996257</v>
      </c>
      <c r="E20" s="39">
        <f>E9*Premises!$D$19/1000000</f>
        <v>269.82392969992515</v>
      </c>
      <c r="F20" s="39">
        <f>F9*Premises!$D$19/1000000</f>
        <v>607.10384182483153</v>
      </c>
      <c r="G20" s="39">
        <f>G9*Premises!$D$19/1000000</f>
        <v>1011.8397363747191</v>
      </c>
      <c r="H20" s="39">
        <f>H9*Premises!$D$19/1000000</f>
        <v>1011.8397363747191</v>
      </c>
      <c r="I20" s="39">
        <f>I9*Premises!$D$19/1000000</f>
        <v>1079.2957187997006</v>
      </c>
      <c r="J20" s="39">
        <f>J9*Premises!$D$19/1000000</f>
        <v>1079.2957187997006</v>
      </c>
      <c r="K20" s="39">
        <f>K9*Premises!$D$19/1000000</f>
        <v>1079.2957187997006</v>
      </c>
      <c r="L20" s="39">
        <f>L9*Premises!$D$19/1000000</f>
        <v>1079.2957187997006</v>
      </c>
      <c r="M20" s="33"/>
      <c r="O20">
        <f>O19/R19</f>
        <v>27901.785714285714</v>
      </c>
      <c r="P20" t="s">
        <v>46</v>
      </c>
      <c r="Q20" t="s">
        <v>51</v>
      </c>
      <c r="R20">
        <f>8/1000000</f>
        <v>7.9999999999999996E-6</v>
      </c>
      <c r="S20" t="s">
        <v>47</v>
      </c>
      <c r="T20" t="s">
        <v>48</v>
      </c>
    </row>
    <row r="21" spans="1:20" x14ac:dyDescent="0.3">
      <c r="B21" s="38" t="s">
        <v>40</v>
      </c>
      <c r="C21" s="39">
        <f>C10*Premises!$D$19/1000000</f>
        <v>10.11839736374719</v>
      </c>
      <c r="D21" s="39">
        <f>D10*Premises!$D$19/1000000</f>
        <v>11.467517012246818</v>
      </c>
      <c r="E21" s="39">
        <f>E10*Premises!$D$19/1000000</f>
        <v>12.142076836496631</v>
      </c>
      <c r="F21" s="39">
        <f>F10*Premises!$D$19/1000000</f>
        <v>31.029751915491385</v>
      </c>
      <c r="G21" s="39">
        <f>G10*Premises!$D$19/1000000</f>
        <v>45.870068048987271</v>
      </c>
      <c r="H21" s="39">
        <f>H10*Premises!$D$19/1000000</f>
        <v>59.36126453398353</v>
      </c>
      <c r="I21" s="39">
        <f>I10*Premises!$D$19/1000000</f>
        <v>133.56284520146292</v>
      </c>
      <c r="J21" s="39">
        <f>J10*Premises!$D$19/1000000</f>
        <v>187.52763114144793</v>
      </c>
      <c r="K21" s="39">
        <f>K10*Premises!$D$19/1000000</f>
        <v>187.52763114144793</v>
      </c>
      <c r="L21" s="39">
        <f>L10*Premises!$D$19/1000000</f>
        <v>355.49302737965138</v>
      </c>
      <c r="O21">
        <f>O20/R20</f>
        <v>3487723214.2857141</v>
      </c>
      <c r="P21" t="s">
        <v>53</v>
      </c>
      <c r="Q21" t="s">
        <v>52</v>
      </c>
    </row>
    <row r="22" spans="1:20" x14ac:dyDescent="0.3">
      <c r="B22" s="37" t="s">
        <v>81</v>
      </c>
      <c r="C22" s="82">
        <f>C11*Premises!$D$19/1000000</f>
        <v>23.811961796018391</v>
      </c>
      <c r="D22" s="83">
        <f>D11*Premises!$D$19/1000000</f>
        <v>66.417160295636563</v>
      </c>
      <c r="E22" s="83">
        <f>E11*Premises!$D$19/1000000</f>
        <v>138.90535900952142</v>
      </c>
      <c r="F22" s="83">
        <f>F11*Premises!$D$19/1000000</f>
        <v>254.80822801212426</v>
      </c>
      <c r="G22" s="83">
        <f>G11*Premises!$D$19/1000000</f>
        <v>411.65687834669075</v>
      </c>
      <c r="H22" s="83">
        <f>H11*Premises!$D$19/1000000</f>
        <v>573.71313052446578</v>
      </c>
      <c r="I22" s="83">
        <f>I11*Premises!$D$19/1000000</f>
        <v>781.70690673365311</v>
      </c>
      <c r="J22" s="83">
        <f>J11*Premises!$D$19/1000000</f>
        <v>1006.6186433350256</v>
      </c>
      <c r="K22" s="83">
        <f>K11*Premises!$D$19/1000000</f>
        <v>1265.4067743102239</v>
      </c>
      <c r="L22" s="83">
        <f>L11*Premises!$D$19/1000000</f>
        <v>1628.994519580873</v>
      </c>
      <c r="O22">
        <f>O21/1000000</f>
        <v>3487.7232142857142</v>
      </c>
      <c r="P22" t="s">
        <v>54</v>
      </c>
    </row>
    <row r="23" spans="1:20" x14ac:dyDescent="0.3">
      <c r="B23" s="38"/>
      <c r="C23" s="39">
        <f>SUM(C19:C22)</f>
        <v>972.78655550046142</v>
      </c>
      <c r="D23" s="39">
        <f t="shared" ref="D23:L23" si="3">SUM(D19:D22)</f>
        <v>1615.3607447219483</v>
      </c>
      <c r="E23" s="39">
        <f t="shared" si="3"/>
        <v>2451.6405963151738</v>
      </c>
      <c r="F23" s="39">
        <f t="shared" si="3"/>
        <v>3741.6597704703959</v>
      </c>
      <c r="G23" s="39">
        <f t="shared" si="3"/>
        <v>5195.0077084114237</v>
      </c>
      <c r="H23" s="39">
        <f t="shared" si="3"/>
        <v>6006.4525929716301</v>
      </c>
      <c r="I23" s="39">
        <f t="shared" si="3"/>
        <v>7117.6423938117405</v>
      </c>
      <c r="J23" s="39">
        <f t="shared" si="3"/>
        <v>8070.8778907120723</v>
      </c>
      <c r="K23" s="39">
        <f t="shared" si="3"/>
        <v>9032.2301242513731</v>
      </c>
      <c r="L23" s="39">
        <f t="shared" si="3"/>
        <v>10615.065317042274</v>
      </c>
      <c r="M23" s="33"/>
    </row>
    <row r="24" spans="1:20" x14ac:dyDescent="0.3">
      <c r="B24" s="40"/>
      <c r="M24" s="33"/>
    </row>
    <row r="25" spans="1:20" x14ac:dyDescent="0.3">
      <c r="B25" s="40"/>
      <c r="C25" s="32"/>
      <c r="D25" s="32"/>
      <c r="E25" s="32"/>
      <c r="F25" s="32"/>
      <c r="G25" s="32"/>
      <c r="H25" s="32"/>
      <c r="I25" s="32"/>
      <c r="J25" s="32"/>
      <c r="K25" s="32"/>
      <c r="L25" s="32"/>
    </row>
    <row r="26" spans="1:20" s="34" customFormat="1" ht="24.75" customHeight="1" x14ac:dyDescent="0.4">
      <c r="A26" s="1" t="s">
        <v>172</v>
      </c>
    </row>
    <row r="29" spans="1:20" x14ac:dyDescent="0.3">
      <c r="B29" s="37" t="s">
        <v>33</v>
      </c>
      <c r="C29" s="36">
        <v>2021</v>
      </c>
      <c r="D29" s="36">
        <v>2022</v>
      </c>
      <c r="E29" s="36">
        <v>2023</v>
      </c>
      <c r="F29" s="36">
        <v>2024</v>
      </c>
      <c r="G29" s="36">
        <v>2025</v>
      </c>
      <c r="H29" s="36">
        <v>2026</v>
      </c>
      <c r="I29" s="36">
        <v>2027</v>
      </c>
      <c r="J29" s="36">
        <v>2028</v>
      </c>
      <c r="K29" s="36">
        <v>2029</v>
      </c>
      <c r="L29" s="36">
        <v>2030</v>
      </c>
    </row>
    <row r="30" spans="1:20" x14ac:dyDescent="0.3">
      <c r="B30" s="38" t="s">
        <v>109</v>
      </c>
      <c r="C30" s="79">
        <f>Premises!C46</f>
        <v>0.40062256809338526</v>
      </c>
      <c r="D30" s="79">
        <f>C30</f>
        <v>0.40062256809338526</v>
      </c>
      <c r="E30" s="79">
        <f>D30*0.98</f>
        <v>0.39261011673151752</v>
      </c>
      <c r="F30" s="79">
        <f t="shared" ref="F30:L30" si="4">E30*0.98</f>
        <v>0.38475791439688717</v>
      </c>
      <c r="G30" s="79">
        <f t="shared" si="4"/>
        <v>0.3770627561089494</v>
      </c>
      <c r="H30" s="79">
        <f t="shared" si="4"/>
        <v>0.36952150098677039</v>
      </c>
      <c r="I30" s="79">
        <f t="shared" si="4"/>
        <v>0.36213107096703495</v>
      </c>
      <c r="J30" s="79">
        <f t="shared" si="4"/>
        <v>0.35488844954769427</v>
      </c>
      <c r="K30" s="79">
        <f t="shared" si="4"/>
        <v>0.34779068055674039</v>
      </c>
      <c r="L30" s="79">
        <f t="shared" si="4"/>
        <v>0.34083486694560561</v>
      </c>
    </row>
    <row r="31" spans="1:20" x14ac:dyDescent="0.3">
      <c r="B31" s="37" t="s">
        <v>149</v>
      </c>
      <c r="C31" s="80">
        <f>Premises!C47</f>
        <v>0.3807065426806317</v>
      </c>
      <c r="D31" s="81">
        <f>C31</f>
        <v>0.3807065426806317</v>
      </c>
      <c r="E31" s="81">
        <f>D31*0.98</f>
        <v>0.37309241182701908</v>
      </c>
      <c r="F31" s="81">
        <f t="shared" ref="F31:L31" si="5">E31*0.98</f>
        <v>0.36563056359047869</v>
      </c>
      <c r="G31" s="81">
        <f t="shared" si="5"/>
        <v>0.35831795231866909</v>
      </c>
      <c r="H31" s="81">
        <f t="shared" si="5"/>
        <v>0.35115159327229573</v>
      </c>
      <c r="I31" s="81">
        <f t="shared" si="5"/>
        <v>0.34412856140684983</v>
      </c>
      <c r="J31" s="81">
        <f t="shared" si="5"/>
        <v>0.33724599017871282</v>
      </c>
      <c r="K31" s="81">
        <f t="shared" si="5"/>
        <v>0.33050107037513854</v>
      </c>
      <c r="L31" s="81">
        <f t="shared" si="5"/>
        <v>0.32389104896763576</v>
      </c>
      <c r="P31" s="44"/>
    </row>
    <row r="32" spans="1:20" x14ac:dyDescent="0.3">
      <c r="B32" s="109" t="s">
        <v>2</v>
      </c>
      <c r="C32" s="110">
        <f>C31*C8</f>
        <v>26.877881913252601</v>
      </c>
      <c r="D32" s="110">
        <f t="shared" ref="D32:L32" si="6">D31*D8</f>
        <v>41.649295769261109</v>
      </c>
      <c r="E32" s="110">
        <f t="shared" si="6"/>
        <v>59.097838033399825</v>
      </c>
      <c r="F32" s="110">
        <f t="shared" si="6"/>
        <v>81.24311122980437</v>
      </c>
      <c r="G32" s="110">
        <f t="shared" si="6"/>
        <v>104.12719694380525</v>
      </c>
      <c r="H32" s="110">
        <f t="shared" si="6"/>
        <v>119.46177203123503</v>
      </c>
      <c r="I32" s="110">
        <f t="shared" si="6"/>
        <v>137.51377313817721</v>
      </c>
      <c r="J32" s="110">
        <f t="shared" si="6"/>
        <v>152.50263675881396</v>
      </c>
      <c r="K32" s="110">
        <f t="shared" si="6"/>
        <v>167.56404268019523</v>
      </c>
      <c r="L32" s="110">
        <f t="shared" si="6"/>
        <v>190.77182784193747</v>
      </c>
    </row>
    <row r="33" spans="1:16" x14ac:dyDescent="0.3">
      <c r="B33" s="38" t="s">
        <v>174</v>
      </c>
      <c r="C33" s="84">
        <f>C9*C30</f>
        <v>2.0031128404669261</v>
      </c>
      <c r="D33" s="84">
        <f t="shared" ref="D33:L33" si="7">D9*D30</f>
        <v>8.0124513618677042</v>
      </c>
      <c r="E33" s="84">
        <f t="shared" si="7"/>
        <v>15.7044046692607</v>
      </c>
      <c r="F33" s="84">
        <f t="shared" si="7"/>
        <v>34.628212295719848</v>
      </c>
      <c r="G33" s="84">
        <f t="shared" si="7"/>
        <v>56.559413416342409</v>
      </c>
      <c r="H33" s="84">
        <f t="shared" si="7"/>
        <v>55.428225148015557</v>
      </c>
      <c r="I33" s="84">
        <f>I9*I30</f>
        <v>57.94097135472559</v>
      </c>
      <c r="J33" s="84">
        <f t="shared" si="7"/>
        <v>56.782151927631084</v>
      </c>
      <c r="K33" s="84">
        <f t="shared" si="7"/>
        <v>55.646508889078461</v>
      </c>
      <c r="L33" s="84">
        <f t="shared" si="7"/>
        <v>54.533578711296897</v>
      </c>
    </row>
    <row r="34" spans="1:16" x14ac:dyDescent="0.3">
      <c r="B34" s="38" t="s">
        <v>40</v>
      </c>
      <c r="C34" s="84">
        <f>C10*C30</f>
        <v>0.60093385214007788</v>
      </c>
      <c r="D34" s="84">
        <f t="shared" ref="D34:L34" si="8">D10*D30</f>
        <v>0.68105836575875489</v>
      </c>
      <c r="E34" s="84">
        <f t="shared" si="8"/>
        <v>0.70669821011673151</v>
      </c>
      <c r="F34" s="84">
        <f t="shared" si="8"/>
        <v>1.7698864062256809</v>
      </c>
      <c r="G34" s="84">
        <f t="shared" si="8"/>
        <v>2.564026741540856</v>
      </c>
      <c r="H34" s="84">
        <f t="shared" si="8"/>
        <v>3.2517892086835798</v>
      </c>
      <c r="I34" s="84">
        <f t="shared" si="8"/>
        <v>7.1701952051472908</v>
      </c>
      <c r="J34" s="84">
        <f t="shared" si="8"/>
        <v>9.8658988974259003</v>
      </c>
      <c r="K34" s="84">
        <f t="shared" si="8"/>
        <v>9.6685809194773817</v>
      </c>
      <c r="L34" s="84">
        <f t="shared" si="8"/>
        <v>17.961997488033415</v>
      </c>
      <c r="P34" s="84"/>
    </row>
    <row r="35" spans="1:16" ht="28.8" x14ac:dyDescent="0.3">
      <c r="B35" s="68" t="s">
        <v>81</v>
      </c>
      <c r="C35" s="85">
        <f>C11*C30</f>
        <v>1.41419766536965</v>
      </c>
      <c r="D35" s="86">
        <f t="shared" ref="D35:L35" si="9">D11*D30</f>
        <v>3.9445298054474711</v>
      </c>
      <c r="E35" s="86">
        <f t="shared" si="9"/>
        <v>8.0846275237354082</v>
      </c>
      <c r="F35" s="86">
        <f t="shared" si="9"/>
        <v>14.533845458428017</v>
      </c>
      <c r="G35" s="86">
        <f t="shared" si="9"/>
        <v>23.010631754304747</v>
      </c>
      <c r="H35" s="86">
        <f t="shared" si="9"/>
        <v>31.427803658924827</v>
      </c>
      <c r="I35" s="86">
        <f t="shared" si="9"/>
        <v>41.96519702794388</v>
      </c>
      <c r="J35" s="86">
        <f t="shared" si="9"/>
        <v>52.958583772204229</v>
      </c>
      <c r="K35" s="86">
        <f t="shared" si="9"/>
        <v>65.242053765638929</v>
      </c>
      <c r="L35" s="86">
        <f t="shared" si="9"/>
        <v>82.308212018694306</v>
      </c>
    </row>
    <row r="36" spans="1:16" ht="17.399999999999999" customHeight="1" thickBot="1" x14ac:dyDescent="0.35">
      <c r="B36" s="111" t="s">
        <v>177</v>
      </c>
      <c r="C36" s="113">
        <f>SUM(C33:C35)</f>
        <v>4.0182443579766538</v>
      </c>
      <c r="D36" s="113">
        <f t="shared" ref="D36:L36" si="10">SUM(D33:D35)</f>
        <v>12.638039533073931</v>
      </c>
      <c r="E36" s="113">
        <f t="shared" si="10"/>
        <v>24.495730403112837</v>
      </c>
      <c r="F36" s="113">
        <f t="shared" si="10"/>
        <v>50.931944160373547</v>
      </c>
      <c r="G36" s="113">
        <f t="shared" si="10"/>
        <v>82.134071912188006</v>
      </c>
      <c r="H36" s="113">
        <f t="shared" si="10"/>
        <v>90.107818015623963</v>
      </c>
      <c r="I36" s="113">
        <f t="shared" si="10"/>
        <v>107.07636358781676</v>
      </c>
      <c r="J36" s="113">
        <f t="shared" si="10"/>
        <v>119.60663459726121</v>
      </c>
      <c r="K36" s="113">
        <f t="shared" si="10"/>
        <v>130.55714357419475</v>
      </c>
      <c r="L36" s="113">
        <f t="shared" si="10"/>
        <v>154.80378821802464</v>
      </c>
    </row>
    <row r="37" spans="1:16" x14ac:dyDescent="0.3">
      <c r="B37" s="41" t="s">
        <v>130</v>
      </c>
      <c r="C37" s="84">
        <f>SUM(C32:C35)</f>
        <v>30.896126271229253</v>
      </c>
      <c r="D37" s="84">
        <f t="shared" ref="D37:L37" si="11">SUM(D32:D35)</f>
        <v>54.287335302335038</v>
      </c>
      <c r="E37" s="84">
        <f t="shared" si="11"/>
        <v>83.593568436512655</v>
      </c>
      <c r="F37" s="84">
        <f t="shared" si="11"/>
        <v>132.1750553901779</v>
      </c>
      <c r="G37" s="84">
        <f t="shared" si="11"/>
        <v>186.26126885599325</v>
      </c>
      <c r="H37" s="84">
        <f t="shared" si="11"/>
        <v>209.56959004685902</v>
      </c>
      <c r="I37" s="84">
        <f t="shared" si="11"/>
        <v>244.59013672599397</v>
      </c>
      <c r="J37" s="84">
        <f t="shared" si="11"/>
        <v>272.10927135607517</v>
      </c>
      <c r="K37" s="84">
        <f t="shared" si="11"/>
        <v>298.12118625439001</v>
      </c>
      <c r="L37" s="84">
        <f t="shared" si="11"/>
        <v>345.5756160599621</v>
      </c>
    </row>
    <row r="40" spans="1:16" s="34" customFormat="1" ht="24.75" customHeight="1" x14ac:dyDescent="0.4">
      <c r="A40" s="1" t="s">
        <v>173</v>
      </c>
    </row>
    <row r="43" spans="1:16" x14ac:dyDescent="0.3">
      <c r="B43" s="37" t="s">
        <v>33</v>
      </c>
      <c r="C43" s="36">
        <v>2021</v>
      </c>
      <c r="D43" s="36">
        <v>2022</v>
      </c>
      <c r="E43" s="36">
        <v>2023</v>
      </c>
      <c r="F43" s="36">
        <v>2024</v>
      </c>
      <c r="G43" s="36">
        <v>2025</v>
      </c>
      <c r="H43" s="36">
        <v>2026</v>
      </c>
      <c r="I43" s="36">
        <v>2027</v>
      </c>
      <c r="J43" s="36">
        <v>2028</v>
      </c>
      <c r="K43" s="36">
        <v>2029</v>
      </c>
      <c r="L43" s="36">
        <v>2030</v>
      </c>
    </row>
    <row r="44" spans="1:16" x14ac:dyDescent="0.3">
      <c r="B44" s="38" t="s">
        <v>109</v>
      </c>
      <c r="C44" s="79">
        <f>Premises!$C$58</f>
        <v>0.61676666666666657</v>
      </c>
      <c r="D44" s="79">
        <f>Premises!$C$58</f>
        <v>0.61676666666666657</v>
      </c>
      <c r="E44" s="79">
        <f>Premises!$C$58</f>
        <v>0.61676666666666657</v>
      </c>
      <c r="F44" s="79">
        <f>Premises!$C$58</f>
        <v>0.61676666666666657</v>
      </c>
      <c r="G44" s="79">
        <f>Premises!$C$58</f>
        <v>0.61676666666666657</v>
      </c>
      <c r="H44" s="79">
        <f t="shared" ref="H44:H45" si="12">G44*0.98</f>
        <v>0.60443133333333321</v>
      </c>
      <c r="I44" s="79">
        <f t="shared" ref="I44:I45" si="13">H44*0.98</f>
        <v>0.59234270666666655</v>
      </c>
      <c r="J44" s="79">
        <f t="shared" ref="J44:J45" si="14">I44*0.98</f>
        <v>0.58049585253333325</v>
      </c>
      <c r="K44" s="79">
        <f t="shared" ref="K44:K45" si="15">J44*0.98</f>
        <v>0.56888593548266653</v>
      </c>
      <c r="L44" s="79">
        <f t="shared" ref="L44:L45" si="16">K44*0.98</f>
        <v>0.55750821677301321</v>
      </c>
    </row>
    <row r="45" spans="1:16" x14ac:dyDescent="0.3">
      <c r="B45" s="37" t="s">
        <v>149</v>
      </c>
      <c r="C45" s="81">
        <f>Premises!$C$59</f>
        <v>0.58610553675196508</v>
      </c>
      <c r="D45" s="81">
        <f>Premises!$C$59</f>
        <v>0.58610553675196508</v>
      </c>
      <c r="E45" s="81">
        <f>Premises!$C$59</f>
        <v>0.58610553675196508</v>
      </c>
      <c r="F45" s="81">
        <f>Premises!$C$59</f>
        <v>0.58610553675196508</v>
      </c>
      <c r="G45" s="81">
        <f>Premises!$C$59</f>
        <v>0.58610553675196508</v>
      </c>
      <c r="H45" s="81">
        <f t="shared" si="12"/>
        <v>0.57438342601692582</v>
      </c>
      <c r="I45" s="81">
        <f t="shared" si="13"/>
        <v>0.56289575749658727</v>
      </c>
      <c r="J45" s="81">
        <f t="shared" si="14"/>
        <v>0.55163784234665547</v>
      </c>
      <c r="K45" s="81">
        <f t="shared" si="15"/>
        <v>0.5406050854997223</v>
      </c>
      <c r="L45" s="81">
        <f t="shared" si="16"/>
        <v>0.52979298378972783</v>
      </c>
      <c r="P45" s="44"/>
    </row>
    <row r="46" spans="1:16" x14ac:dyDescent="0.3">
      <c r="B46" s="109" t="s">
        <v>2</v>
      </c>
      <c r="C46" s="110">
        <f>C45*C8</f>
        <v>41.379050894688739</v>
      </c>
      <c r="D46" s="110">
        <f t="shared" ref="D46:L46" si="17">D45*D8</f>
        <v>64.119945720664987</v>
      </c>
      <c r="E46" s="110">
        <f t="shared" si="17"/>
        <v>92.839117021511271</v>
      </c>
      <c r="F46" s="110">
        <f t="shared" si="17"/>
        <v>130.23265026628664</v>
      </c>
      <c r="G46" s="110">
        <f t="shared" si="17"/>
        <v>170.32226898012107</v>
      </c>
      <c r="H46" s="110">
        <f t="shared" si="17"/>
        <v>195.40524153095819</v>
      </c>
      <c r="I46" s="110">
        <f t="shared" si="17"/>
        <v>224.93314469563629</v>
      </c>
      <c r="J46" s="110">
        <f t="shared" si="17"/>
        <v>249.45063230915764</v>
      </c>
      <c r="K46" s="110">
        <f t="shared" si="17"/>
        <v>274.08677834835919</v>
      </c>
      <c r="L46" s="110">
        <f t="shared" si="17"/>
        <v>312.04806745214967</v>
      </c>
    </row>
    <row r="47" spans="1:16" x14ac:dyDescent="0.3">
      <c r="B47" s="38" t="s">
        <v>174</v>
      </c>
      <c r="C47" s="84">
        <f>C44*C9</f>
        <v>3.0838333333333328</v>
      </c>
      <c r="D47" s="84">
        <f t="shared" ref="D47:L47" si="18">D44*D9</f>
        <v>12.335333333333331</v>
      </c>
      <c r="E47" s="84">
        <f t="shared" si="18"/>
        <v>24.670666666666662</v>
      </c>
      <c r="F47" s="84">
        <f t="shared" si="18"/>
        <v>55.508999999999993</v>
      </c>
      <c r="G47" s="84">
        <f t="shared" si="18"/>
        <v>92.514999999999986</v>
      </c>
      <c r="H47" s="84">
        <f t="shared" si="18"/>
        <v>90.664699999999982</v>
      </c>
      <c r="I47" s="84">
        <f t="shared" si="18"/>
        <v>94.774833066666645</v>
      </c>
      <c r="J47" s="84">
        <f t="shared" si="18"/>
        <v>92.879336405333319</v>
      </c>
      <c r="K47" s="84">
        <f t="shared" si="18"/>
        <v>91.021749677226637</v>
      </c>
      <c r="L47" s="84">
        <f t="shared" si="18"/>
        <v>89.201314683682114</v>
      </c>
    </row>
    <row r="48" spans="1:16" x14ac:dyDescent="0.3">
      <c r="B48" s="38" t="s">
        <v>40</v>
      </c>
      <c r="C48" s="84">
        <f>C44*C10</f>
        <v>0.92514999999999992</v>
      </c>
      <c r="D48" s="84">
        <f t="shared" ref="D48:L48" si="19">D44*D10</f>
        <v>1.0485033333333331</v>
      </c>
      <c r="E48" s="84">
        <f t="shared" si="19"/>
        <v>1.1101799999999999</v>
      </c>
      <c r="F48" s="84">
        <f t="shared" si="19"/>
        <v>2.8371266666666659</v>
      </c>
      <c r="G48" s="84">
        <f t="shared" si="19"/>
        <v>4.1940133333333325</v>
      </c>
      <c r="H48" s="84">
        <f t="shared" si="19"/>
        <v>5.3189957333333329</v>
      </c>
      <c r="I48" s="84">
        <f t="shared" si="19"/>
        <v>11.728385591999997</v>
      </c>
      <c r="J48" s="84">
        <f t="shared" si="19"/>
        <v>16.137784700426664</v>
      </c>
      <c r="K48" s="84">
        <f t="shared" si="19"/>
        <v>15.815029006418127</v>
      </c>
      <c r="L48" s="84">
        <f t="shared" si="19"/>
        <v>29.380683023937799</v>
      </c>
      <c r="P48" s="84"/>
    </row>
    <row r="49" spans="2:12" ht="28.8" x14ac:dyDescent="0.3">
      <c r="B49" s="68" t="s">
        <v>81</v>
      </c>
      <c r="C49" s="108">
        <f>C44*C11</f>
        <v>2.1771863333333332</v>
      </c>
      <c r="D49" s="108">
        <f t="shared" ref="D49:L49" si="20">D44*D11</f>
        <v>6.0726845999999988</v>
      </c>
      <c r="E49" s="108">
        <f t="shared" si="20"/>
        <v>12.700459199999997</v>
      </c>
      <c r="F49" s="108">
        <f t="shared" si="20"/>
        <v>23.297744066666663</v>
      </c>
      <c r="G49" s="108">
        <f t="shared" si="20"/>
        <v>37.638802599999998</v>
      </c>
      <c r="H49" s="108">
        <f t="shared" si="20"/>
        <v>51.406884899999994</v>
      </c>
      <c r="I49" s="108">
        <f t="shared" si="20"/>
        <v>68.643042219359984</v>
      </c>
      <c r="J49" s="108">
        <f t="shared" si="20"/>
        <v>86.625074090139179</v>
      </c>
      <c r="K49" s="108">
        <f t="shared" si="20"/>
        <v>106.71731263719342</v>
      </c>
      <c r="L49" s="108">
        <f t="shared" si="20"/>
        <v>134.63265926851497</v>
      </c>
    </row>
    <row r="50" spans="2:12" ht="15.6" customHeight="1" thickBot="1" x14ac:dyDescent="0.35">
      <c r="B50" s="111" t="s">
        <v>177</v>
      </c>
      <c r="C50" s="112">
        <f>SUM(C47:C49)</f>
        <v>6.1861696666666663</v>
      </c>
      <c r="D50" s="112">
        <f t="shared" ref="D50:L50" si="21">SUM(D47:D49)</f>
        <v>19.456521266666662</v>
      </c>
      <c r="E50" s="112">
        <f t="shared" si="21"/>
        <v>38.481305866666659</v>
      </c>
      <c r="F50" s="112">
        <f t="shared" si="21"/>
        <v>81.643870733333316</v>
      </c>
      <c r="G50" s="112">
        <f t="shared" si="21"/>
        <v>134.34781593333332</v>
      </c>
      <c r="H50" s="112">
        <f t="shared" si="21"/>
        <v>147.39058063333331</v>
      </c>
      <c r="I50" s="112">
        <f t="shared" si="21"/>
        <v>175.14626087802662</v>
      </c>
      <c r="J50" s="112">
        <f t="shared" si="21"/>
        <v>195.64219519589915</v>
      </c>
      <c r="K50" s="112">
        <f t="shared" si="21"/>
        <v>213.55409132083818</v>
      </c>
      <c r="L50" s="112">
        <f t="shared" si="21"/>
        <v>253.21465697613488</v>
      </c>
    </row>
    <row r="51" spans="2:12" x14ac:dyDescent="0.3">
      <c r="B51" s="41" t="s">
        <v>130</v>
      </c>
      <c r="C51" s="84">
        <f>SUM(C46:C49)</f>
        <v>47.565220561355403</v>
      </c>
      <c r="D51" s="84">
        <f t="shared" ref="D51:L51" si="22">SUM(D46:D49)</f>
        <v>83.576466987331642</v>
      </c>
      <c r="E51" s="84">
        <f t="shared" si="22"/>
        <v>131.32042288817792</v>
      </c>
      <c r="F51" s="84">
        <f t="shared" si="22"/>
        <v>211.87652099961997</v>
      </c>
      <c r="G51" s="84">
        <f t="shared" si="22"/>
        <v>304.67008491345439</v>
      </c>
      <c r="H51" s="84">
        <f t="shared" si="22"/>
        <v>342.79582216429151</v>
      </c>
      <c r="I51" s="84">
        <f t="shared" si="22"/>
        <v>400.07940557366288</v>
      </c>
      <c r="J51" s="84">
        <f t="shared" si="22"/>
        <v>445.09282750505679</v>
      </c>
      <c r="K51" s="84">
        <f t="shared" si="22"/>
        <v>487.64086966919734</v>
      </c>
      <c r="L51" s="84">
        <f t="shared" si="22"/>
        <v>565.26272442828451</v>
      </c>
    </row>
    <row r="56" spans="2:12" x14ac:dyDescent="0.3">
      <c r="B56" t="s">
        <v>178</v>
      </c>
      <c r="C56" s="60">
        <f>C51-C37</f>
        <v>16.66909429012615</v>
      </c>
      <c r="D56" s="60">
        <f t="shared" ref="D56:L56" si="23">D51-D37</f>
        <v>29.289131684996605</v>
      </c>
      <c r="E56" s="60">
        <f t="shared" si="23"/>
        <v>47.726854451665261</v>
      </c>
      <c r="F56" s="60">
        <f t="shared" si="23"/>
        <v>79.701465609442067</v>
      </c>
      <c r="G56" s="60">
        <f t="shared" si="23"/>
        <v>118.40881605746114</v>
      </c>
      <c r="H56" s="60">
        <f t="shared" si="23"/>
        <v>133.22623211743249</v>
      </c>
      <c r="I56" s="60">
        <f t="shared" si="23"/>
        <v>155.48926884766891</v>
      </c>
      <c r="J56" s="60">
        <f t="shared" si="23"/>
        <v>172.98355614898162</v>
      </c>
      <c r="K56" s="60">
        <f t="shared" si="23"/>
        <v>189.51968341480733</v>
      </c>
      <c r="L56" s="60">
        <f t="shared" si="23"/>
        <v>219.68710836832241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D8DA-65FA-4C4C-85E3-1638B1A55CDD}">
  <dimension ref="A1:P1048572"/>
  <sheetViews>
    <sheetView showGridLines="0" tabSelected="1" topLeftCell="A16" zoomScale="85" zoomScaleNormal="85" workbookViewId="0">
      <pane xSplit="1" topLeftCell="B1" activePane="topRight" state="frozen"/>
      <selection activeCell="A4" sqref="A4"/>
      <selection pane="topRight" activeCell="B22" sqref="B22"/>
    </sheetView>
  </sheetViews>
  <sheetFormatPr defaultRowHeight="14.4" x14ac:dyDescent="0.3"/>
  <cols>
    <col min="1" max="1" width="19.44140625" customWidth="1"/>
    <col min="2" max="2" width="16.77734375" customWidth="1"/>
    <col min="3" max="3" width="22.77734375" bestFit="1" customWidth="1"/>
    <col min="4" max="4" width="28.33203125" bestFit="1" customWidth="1"/>
    <col min="5" max="5" width="15.77734375" customWidth="1"/>
    <col min="6" max="6" width="29.5546875" customWidth="1"/>
    <col min="7" max="9" width="15.77734375" customWidth="1"/>
    <col min="10" max="10" width="21.5546875" bestFit="1" customWidth="1"/>
    <col min="11" max="12" width="15.77734375" customWidth="1"/>
    <col min="13" max="13" width="34" style="2" customWidth="1"/>
    <col min="14" max="14" width="15.5546875" customWidth="1"/>
    <col min="15" max="15" width="19.33203125" customWidth="1"/>
    <col min="16" max="16" width="31.21875" bestFit="1" customWidth="1"/>
  </cols>
  <sheetData>
    <row r="1" spans="1:16" x14ac:dyDescent="0.3">
      <c r="A1" s="114" t="s">
        <v>280</v>
      </c>
      <c r="B1" s="114" t="s">
        <v>233</v>
      </c>
      <c r="C1" s="115" t="s">
        <v>58</v>
      </c>
      <c r="D1" s="115" t="s">
        <v>63</v>
      </c>
      <c r="E1" s="115" t="s">
        <v>94</v>
      </c>
      <c r="F1" s="115" t="s">
        <v>96</v>
      </c>
      <c r="G1" s="115" t="s">
        <v>59</v>
      </c>
      <c r="H1" s="115" t="s">
        <v>175</v>
      </c>
      <c r="I1" s="115" t="s">
        <v>60</v>
      </c>
      <c r="J1" s="115" t="s">
        <v>61</v>
      </c>
      <c r="K1" s="115" t="s">
        <v>62</v>
      </c>
      <c r="L1" s="115" t="s">
        <v>69</v>
      </c>
      <c r="M1" s="134" t="s">
        <v>75</v>
      </c>
      <c r="N1" s="115" t="s">
        <v>74</v>
      </c>
      <c r="O1" s="6" t="s">
        <v>76</v>
      </c>
      <c r="P1" s="121" t="s">
        <v>207</v>
      </c>
    </row>
    <row r="2" spans="1:16" ht="72" x14ac:dyDescent="0.3">
      <c r="A2" s="28" t="s">
        <v>67</v>
      </c>
      <c r="B2" s="28"/>
      <c r="C2" s="116" t="s">
        <v>68</v>
      </c>
      <c r="D2" s="116" t="s">
        <v>64</v>
      </c>
      <c r="E2" s="116">
        <v>2000</v>
      </c>
      <c r="F2" s="116" t="s">
        <v>97</v>
      </c>
      <c r="G2" s="116" t="s">
        <v>65</v>
      </c>
      <c r="H2" s="116" t="s">
        <v>65</v>
      </c>
      <c r="I2" s="116" t="s">
        <v>93</v>
      </c>
      <c r="J2" s="116" t="s">
        <v>95</v>
      </c>
      <c r="K2" s="116" t="s">
        <v>66</v>
      </c>
      <c r="L2" s="116" t="s">
        <v>71</v>
      </c>
      <c r="M2" s="135" t="s">
        <v>72</v>
      </c>
      <c r="N2" s="135" t="s">
        <v>73</v>
      </c>
      <c r="O2" s="7"/>
      <c r="P2" s="122"/>
    </row>
    <row r="3" spans="1:16" ht="57.6" x14ac:dyDescent="0.3">
      <c r="A3" s="28" t="s">
        <v>70</v>
      </c>
      <c r="B3" s="28"/>
      <c r="C3" s="116" t="s">
        <v>226</v>
      </c>
      <c r="D3" s="116" t="s">
        <v>227</v>
      </c>
      <c r="E3" s="116">
        <v>100</v>
      </c>
      <c r="F3" s="120" t="s">
        <v>228</v>
      </c>
      <c r="G3" s="116" t="s">
        <v>93</v>
      </c>
      <c r="H3" s="116" t="s">
        <v>65</v>
      </c>
      <c r="I3" s="116"/>
      <c r="J3" s="116" t="s">
        <v>229</v>
      </c>
      <c r="K3" s="116"/>
      <c r="L3" s="116"/>
      <c r="M3" s="135" t="s">
        <v>176</v>
      </c>
      <c r="N3" s="136" t="s">
        <v>198</v>
      </c>
      <c r="O3" s="117" t="s">
        <v>77</v>
      </c>
      <c r="P3" s="123" t="s">
        <v>77</v>
      </c>
    </row>
    <row r="4" spans="1:16" ht="28.8" x14ac:dyDescent="0.3">
      <c r="A4" s="28" t="s">
        <v>98</v>
      </c>
      <c r="B4" s="28"/>
      <c r="C4" s="116"/>
      <c r="D4" s="116"/>
      <c r="E4" s="116"/>
      <c r="F4" s="120"/>
      <c r="G4" s="116" t="s">
        <v>217</v>
      </c>
      <c r="H4" s="116" t="s">
        <v>217</v>
      </c>
      <c r="I4" s="116"/>
      <c r="J4" s="116"/>
      <c r="K4" s="116"/>
      <c r="L4" s="116"/>
      <c r="M4" s="136" t="s">
        <v>203</v>
      </c>
      <c r="N4" s="120"/>
      <c r="O4" s="117" t="s">
        <v>77</v>
      </c>
      <c r="P4" s="124" t="s">
        <v>77</v>
      </c>
    </row>
    <row r="5" spans="1:16" ht="43.2" x14ac:dyDescent="0.3">
      <c r="A5" s="28" t="s">
        <v>99</v>
      </c>
      <c r="B5" s="28" t="s">
        <v>99</v>
      </c>
      <c r="C5" s="116" t="s">
        <v>251</v>
      </c>
      <c r="D5" s="116"/>
      <c r="E5" s="116">
        <v>49300</v>
      </c>
      <c r="F5" s="120" t="s">
        <v>252</v>
      </c>
      <c r="G5" s="116" t="s">
        <v>217</v>
      </c>
      <c r="H5" s="116" t="s">
        <v>93</v>
      </c>
      <c r="I5" s="116"/>
      <c r="J5" s="131">
        <v>16801999872</v>
      </c>
      <c r="K5" s="116"/>
      <c r="L5" s="116"/>
      <c r="M5" s="135" t="s">
        <v>100</v>
      </c>
      <c r="N5" s="136" t="s">
        <v>204</v>
      </c>
      <c r="O5" s="117" t="s">
        <v>77</v>
      </c>
      <c r="P5" s="123" t="s">
        <v>77</v>
      </c>
    </row>
    <row r="6" spans="1:16" ht="72" x14ac:dyDescent="0.3">
      <c r="A6" s="28" t="s">
        <v>101</v>
      </c>
      <c r="B6" s="28" t="s">
        <v>253</v>
      </c>
      <c r="C6" s="116" t="s">
        <v>242</v>
      </c>
      <c r="D6" s="116" t="s">
        <v>206</v>
      </c>
      <c r="E6" s="116">
        <v>116613</v>
      </c>
      <c r="F6" s="120" t="s">
        <v>243</v>
      </c>
      <c r="G6" s="116" t="s">
        <v>93</v>
      </c>
      <c r="H6" s="116" t="s">
        <v>217</v>
      </c>
      <c r="I6" s="116"/>
      <c r="J6" s="132">
        <v>1786065977344</v>
      </c>
      <c r="K6" s="116"/>
      <c r="L6" s="116"/>
      <c r="M6" s="135" t="s">
        <v>102</v>
      </c>
      <c r="N6" s="136" t="s">
        <v>205</v>
      </c>
      <c r="O6" s="117" t="s">
        <v>77</v>
      </c>
      <c r="P6" s="124" t="s">
        <v>77</v>
      </c>
    </row>
    <row r="7" spans="1:16" ht="86.4" x14ac:dyDescent="0.3">
      <c r="A7" s="28" t="s">
        <v>103</v>
      </c>
      <c r="B7" s="28"/>
      <c r="C7" s="116" t="s">
        <v>254</v>
      </c>
      <c r="D7" s="116" t="s">
        <v>255</v>
      </c>
      <c r="E7" s="116">
        <v>100</v>
      </c>
      <c r="F7" s="120" t="s">
        <v>256</v>
      </c>
      <c r="G7" s="116" t="s">
        <v>93</v>
      </c>
      <c r="H7" s="116" t="s">
        <v>217</v>
      </c>
      <c r="I7" s="116"/>
      <c r="J7" s="116"/>
      <c r="K7" s="116"/>
      <c r="L7" s="116"/>
      <c r="M7" s="135" t="s">
        <v>104</v>
      </c>
      <c r="N7" s="135" t="s">
        <v>104</v>
      </c>
      <c r="O7" s="117" t="s">
        <v>77</v>
      </c>
      <c r="P7" s="123" t="s">
        <v>77</v>
      </c>
    </row>
    <row r="8" spans="1:16" ht="43.2" x14ac:dyDescent="0.3">
      <c r="A8" s="138" t="s">
        <v>118</v>
      </c>
      <c r="B8" s="138"/>
      <c r="C8" s="126"/>
      <c r="D8" s="126" t="s">
        <v>116</v>
      </c>
      <c r="E8" s="126"/>
      <c r="F8" s="129"/>
      <c r="G8" s="126"/>
      <c r="H8" s="126"/>
      <c r="I8" s="126"/>
      <c r="J8" s="126"/>
      <c r="K8" s="126"/>
      <c r="L8" s="126"/>
      <c r="M8" s="137" t="s">
        <v>117</v>
      </c>
      <c r="N8" s="137" t="s">
        <v>145</v>
      </c>
      <c r="O8" s="127" t="s">
        <v>77</v>
      </c>
      <c r="P8" s="128" t="s">
        <v>208</v>
      </c>
    </row>
    <row r="9" spans="1:16" ht="129.6" x14ac:dyDescent="0.3">
      <c r="A9" s="28" t="s">
        <v>120</v>
      </c>
      <c r="B9" s="28"/>
      <c r="C9" s="116" t="s">
        <v>254</v>
      </c>
      <c r="D9" s="116" t="s">
        <v>257</v>
      </c>
      <c r="E9" s="116"/>
      <c r="F9" s="120" t="s">
        <v>258</v>
      </c>
      <c r="G9" s="116" t="s">
        <v>93</v>
      </c>
      <c r="H9" s="116" t="s">
        <v>65</v>
      </c>
      <c r="I9" s="116"/>
      <c r="J9" s="116"/>
      <c r="K9" s="116"/>
      <c r="L9" s="116"/>
      <c r="M9" s="135" t="s">
        <v>121</v>
      </c>
      <c r="N9" s="135" t="s">
        <v>148</v>
      </c>
      <c r="O9" s="117" t="s">
        <v>77</v>
      </c>
      <c r="P9" s="123" t="s">
        <v>77</v>
      </c>
    </row>
    <row r="10" spans="1:16" ht="57.6" x14ac:dyDescent="0.3">
      <c r="A10" s="28" t="s">
        <v>122</v>
      </c>
      <c r="B10" s="28" t="s">
        <v>234</v>
      </c>
      <c r="C10" s="116" t="s">
        <v>242</v>
      </c>
      <c r="D10" s="116"/>
      <c r="E10" s="116">
        <v>228</v>
      </c>
      <c r="F10" s="120" t="s">
        <v>244</v>
      </c>
      <c r="G10" s="116" t="s">
        <v>93</v>
      </c>
      <c r="H10" s="116" t="s">
        <v>217</v>
      </c>
      <c r="I10" s="116"/>
      <c r="J10" s="132">
        <v>90000000</v>
      </c>
      <c r="K10" s="116"/>
      <c r="L10" s="116"/>
      <c r="M10" s="135" t="s">
        <v>123</v>
      </c>
      <c r="N10" s="140" t="s">
        <v>77</v>
      </c>
      <c r="O10" s="117" t="s">
        <v>77</v>
      </c>
      <c r="P10" s="124" t="s">
        <v>77</v>
      </c>
    </row>
    <row r="11" spans="1:16" ht="43.2" x14ac:dyDescent="0.3">
      <c r="A11" s="28" t="s">
        <v>141</v>
      </c>
      <c r="B11" s="28"/>
      <c r="C11" s="116" t="s">
        <v>259</v>
      </c>
      <c r="D11" s="116"/>
      <c r="E11" s="116"/>
      <c r="F11" s="120"/>
      <c r="G11" s="116" t="s">
        <v>93</v>
      </c>
      <c r="H11" s="116" t="s">
        <v>217</v>
      </c>
      <c r="I11" s="116"/>
      <c r="J11" s="116"/>
      <c r="K11" s="116"/>
      <c r="L11" s="116"/>
      <c r="M11" s="135" t="s">
        <v>142</v>
      </c>
      <c r="N11" s="140" t="s">
        <v>77</v>
      </c>
      <c r="O11" s="117" t="s">
        <v>77</v>
      </c>
      <c r="P11" s="123" t="s">
        <v>223</v>
      </c>
    </row>
    <row r="12" spans="1:16" ht="115.2" x14ac:dyDescent="0.3">
      <c r="A12" s="28" t="s">
        <v>143</v>
      </c>
      <c r="B12" s="28" t="s">
        <v>235</v>
      </c>
      <c r="C12" s="116" t="s">
        <v>242</v>
      </c>
      <c r="D12" s="116"/>
      <c r="E12" s="116">
        <v>26054</v>
      </c>
      <c r="F12" s="120" t="s">
        <v>245</v>
      </c>
      <c r="G12" s="116" t="s">
        <v>93</v>
      </c>
      <c r="H12" s="116" t="s">
        <v>217</v>
      </c>
      <c r="I12" s="116"/>
      <c r="J12" s="132">
        <v>1419635064832</v>
      </c>
      <c r="K12" s="116"/>
      <c r="L12" s="116"/>
      <c r="M12" s="135" t="s">
        <v>144</v>
      </c>
      <c r="N12" s="135" t="s">
        <v>146</v>
      </c>
      <c r="O12" s="117" t="s">
        <v>77</v>
      </c>
      <c r="P12" s="124" t="s">
        <v>232</v>
      </c>
    </row>
    <row r="13" spans="1:16" ht="72" x14ac:dyDescent="0.3">
      <c r="A13" s="28" t="s">
        <v>209</v>
      </c>
      <c r="B13" s="139"/>
      <c r="C13" s="28" t="s">
        <v>261</v>
      </c>
      <c r="D13" s="116"/>
      <c r="E13" s="116"/>
      <c r="F13" s="120"/>
      <c r="G13" s="116" t="s">
        <v>217</v>
      </c>
      <c r="H13" s="116" t="s">
        <v>217</v>
      </c>
      <c r="I13" s="116"/>
      <c r="J13" s="116"/>
      <c r="K13" s="116"/>
      <c r="L13" s="116"/>
      <c r="M13" s="135" t="s">
        <v>147</v>
      </c>
      <c r="N13" s="136" t="s">
        <v>210</v>
      </c>
      <c r="O13" s="117" t="s">
        <v>77</v>
      </c>
      <c r="P13" s="123" t="s">
        <v>260</v>
      </c>
    </row>
    <row r="14" spans="1:16" ht="57.6" x14ac:dyDescent="0.3">
      <c r="A14" s="139" t="s">
        <v>263</v>
      </c>
      <c r="B14" s="139" t="s">
        <v>236</v>
      </c>
      <c r="C14" s="118" t="s">
        <v>262</v>
      </c>
      <c r="D14" s="116"/>
      <c r="E14" s="118">
        <v>350864</v>
      </c>
      <c r="F14" s="130" t="s">
        <v>246</v>
      </c>
      <c r="G14" s="118" t="s">
        <v>217</v>
      </c>
      <c r="H14" s="118" t="s">
        <v>217</v>
      </c>
      <c r="I14" s="118"/>
      <c r="J14" s="132">
        <v>10096860987392</v>
      </c>
      <c r="K14" s="118"/>
      <c r="L14" s="118"/>
      <c r="M14" s="136" t="s">
        <v>216</v>
      </c>
      <c r="N14" s="130"/>
      <c r="O14" s="119"/>
      <c r="P14" s="124" t="s">
        <v>225</v>
      </c>
    </row>
    <row r="15" spans="1:16" ht="57.6" x14ac:dyDescent="0.3">
      <c r="A15" s="139" t="s">
        <v>264</v>
      </c>
      <c r="B15" s="139"/>
      <c r="C15" s="118" t="s">
        <v>266</v>
      </c>
      <c r="D15" s="118"/>
      <c r="E15" s="118">
        <v>40</v>
      </c>
      <c r="F15" s="130" t="s">
        <v>265</v>
      </c>
      <c r="G15" s="118" t="s">
        <v>217</v>
      </c>
      <c r="H15" s="118" t="s">
        <v>65</v>
      </c>
      <c r="I15" s="118"/>
      <c r="J15" s="131">
        <v>39000000</v>
      </c>
      <c r="K15" s="118"/>
      <c r="L15" s="118"/>
      <c r="M15" s="136" t="s">
        <v>179</v>
      </c>
      <c r="N15" s="130"/>
      <c r="O15" s="119"/>
      <c r="P15" s="123"/>
    </row>
    <row r="16" spans="1:16" ht="86.4" x14ac:dyDescent="0.3">
      <c r="A16" s="139" t="s">
        <v>181</v>
      </c>
      <c r="B16" s="139" t="s">
        <v>237</v>
      </c>
      <c r="C16" s="118" t="s">
        <v>247</v>
      </c>
      <c r="D16" s="118" t="s">
        <v>267</v>
      </c>
      <c r="E16" s="118">
        <v>14</v>
      </c>
      <c r="F16" s="130" t="s">
        <v>248</v>
      </c>
      <c r="G16" s="118"/>
      <c r="H16" s="118" t="s">
        <v>65</v>
      </c>
      <c r="I16" s="118"/>
      <c r="J16" s="133">
        <v>1100773982208</v>
      </c>
      <c r="K16" s="118"/>
      <c r="L16" s="118"/>
      <c r="M16" s="136" t="s">
        <v>180</v>
      </c>
      <c r="N16" s="130"/>
      <c r="O16" s="119"/>
      <c r="P16" s="124"/>
    </row>
    <row r="17" spans="1:16" ht="57.6" x14ac:dyDescent="0.3">
      <c r="A17" s="139" t="s">
        <v>182</v>
      </c>
      <c r="B17" s="139"/>
      <c r="C17" s="118" t="s">
        <v>269</v>
      </c>
      <c r="D17" s="118"/>
      <c r="E17" s="118"/>
      <c r="F17" s="130" t="s">
        <v>268</v>
      </c>
      <c r="G17" s="118" t="s">
        <v>217</v>
      </c>
      <c r="H17" s="118" t="s">
        <v>65</v>
      </c>
      <c r="I17" s="118"/>
      <c r="J17" s="118"/>
      <c r="K17" s="118"/>
      <c r="L17" s="118"/>
      <c r="M17" s="136" t="s">
        <v>190</v>
      </c>
      <c r="N17" s="130"/>
      <c r="O17" s="119"/>
      <c r="P17" s="123"/>
    </row>
    <row r="18" spans="1:16" ht="86.4" x14ac:dyDescent="0.3">
      <c r="A18" s="139" t="s">
        <v>183</v>
      </c>
      <c r="B18" s="139"/>
      <c r="C18" s="118"/>
      <c r="D18" s="118"/>
      <c r="E18" s="118"/>
      <c r="F18" s="130"/>
      <c r="G18" s="118" t="s">
        <v>217</v>
      </c>
      <c r="H18" s="118" t="s">
        <v>217</v>
      </c>
      <c r="I18" s="118"/>
      <c r="J18" s="118"/>
      <c r="K18" s="118"/>
      <c r="L18" s="118"/>
      <c r="M18" s="136" t="s">
        <v>191</v>
      </c>
      <c r="N18" s="135" t="s">
        <v>119</v>
      </c>
      <c r="O18" s="119"/>
      <c r="P18" s="124"/>
    </row>
    <row r="19" spans="1:16" ht="57.6" x14ac:dyDescent="0.3">
      <c r="A19" s="139" t="s">
        <v>184</v>
      </c>
      <c r="B19" s="139" t="s">
        <v>238</v>
      </c>
      <c r="C19" s="118" t="s">
        <v>249</v>
      </c>
      <c r="D19" s="118"/>
      <c r="E19" s="118">
        <v>54640</v>
      </c>
      <c r="F19" s="130"/>
      <c r="G19" s="118" t="s">
        <v>65</v>
      </c>
      <c r="H19" s="118"/>
      <c r="I19" s="118"/>
      <c r="J19" s="131">
        <v>15292583936</v>
      </c>
      <c r="K19" s="118"/>
      <c r="L19" s="118"/>
      <c r="M19" s="136" t="s">
        <v>192</v>
      </c>
      <c r="N19" s="130"/>
      <c r="O19" s="119"/>
      <c r="P19" s="123"/>
    </row>
    <row r="20" spans="1:16" ht="28.8" x14ac:dyDescent="0.3">
      <c r="A20" s="139" t="s">
        <v>185</v>
      </c>
      <c r="B20" s="139"/>
      <c r="C20" s="118"/>
      <c r="D20" s="118"/>
      <c r="E20" s="118"/>
      <c r="F20" s="130"/>
      <c r="G20" s="118" t="s">
        <v>217</v>
      </c>
      <c r="H20" s="118"/>
      <c r="I20" s="118"/>
      <c r="J20" s="118"/>
      <c r="K20" s="118"/>
      <c r="L20" s="118"/>
      <c r="M20" s="136" t="s">
        <v>193</v>
      </c>
      <c r="N20" s="130"/>
      <c r="O20" s="119"/>
      <c r="P20" s="124"/>
    </row>
    <row r="21" spans="1:16" ht="100.8" x14ac:dyDescent="0.3">
      <c r="A21" s="139" t="s">
        <v>186</v>
      </c>
      <c r="B21" s="139" t="s">
        <v>281</v>
      </c>
      <c r="C21" s="118" t="s">
        <v>271</v>
      </c>
      <c r="D21" s="118" t="s">
        <v>273</v>
      </c>
      <c r="E21" s="118">
        <v>8000</v>
      </c>
      <c r="F21" s="130" t="s">
        <v>272</v>
      </c>
      <c r="G21" s="118" t="s">
        <v>217</v>
      </c>
      <c r="H21" s="118" t="s">
        <v>217</v>
      </c>
      <c r="I21" s="118"/>
      <c r="J21" s="118" t="s">
        <v>270</v>
      </c>
      <c r="K21" s="118"/>
      <c r="L21" s="118"/>
      <c r="M21" s="136" t="s">
        <v>194</v>
      </c>
      <c r="N21" s="130"/>
      <c r="O21" s="119"/>
      <c r="P21" s="123"/>
    </row>
    <row r="22" spans="1:16" ht="28.8" x14ac:dyDescent="0.3">
      <c r="A22" s="139" t="s">
        <v>187</v>
      </c>
      <c r="B22" s="139"/>
      <c r="C22" s="118"/>
      <c r="D22" s="118"/>
      <c r="E22" s="118"/>
      <c r="F22" s="130" t="s">
        <v>274</v>
      </c>
      <c r="G22" s="118"/>
      <c r="H22" s="118" t="s">
        <v>217</v>
      </c>
      <c r="I22" s="118"/>
      <c r="J22" s="118" t="s">
        <v>275</v>
      </c>
      <c r="K22" s="118"/>
      <c r="L22" s="118"/>
      <c r="M22" s="136" t="s">
        <v>195</v>
      </c>
      <c r="N22" s="130"/>
      <c r="O22" s="119"/>
      <c r="P22" s="124"/>
    </row>
    <row r="23" spans="1:16" ht="28.8" x14ac:dyDescent="0.3">
      <c r="A23" s="139" t="s">
        <v>188</v>
      </c>
      <c r="B23" s="139"/>
      <c r="C23" s="118"/>
      <c r="D23" s="118"/>
      <c r="E23" s="118"/>
      <c r="F23" s="130"/>
      <c r="G23" s="118"/>
      <c r="H23" s="118" t="s">
        <v>217</v>
      </c>
      <c r="I23" s="118"/>
      <c r="J23" s="118"/>
      <c r="K23" s="118"/>
      <c r="L23" s="118"/>
      <c r="M23" s="136" t="s">
        <v>196</v>
      </c>
      <c r="N23" s="130"/>
      <c r="O23" s="119"/>
      <c r="P23" s="123"/>
    </row>
    <row r="24" spans="1:16" ht="72" x14ac:dyDescent="0.3">
      <c r="A24" s="139" t="s">
        <v>189</v>
      </c>
      <c r="B24" s="139"/>
      <c r="C24" s="118"/>
      <c r="D24" s="118"/>
      <c r="E24" s="118"/>
      <c r="F24" s="130"/>
      <c r="G24" s="118"/>
      <c r="H24" s="118" t="s">
        <v>217</v>
      </c>
      <c r="I24" s="118"/>
      <c r="J24" s="118"/>
      <c r="K24" s="118"/>
      <c r="L24" s="118"/>
      <c r="M24" s="136" t="s">
        <v>197</v>
      </c>
      <c r="N24" s="136" t="s">
        <v>276</v>
      </c>
      <c r="O24" s="119"/>
      <c r="P24" s="124"/>
    </row>
    <row r="25" spans="1:16" ht="57.6" x14ac:dyDescent="0.3">
      <c r="A25" s="139" t="s">
        <v>199</v>
      </c>
      <c r="B25" s="139" t="s">
        <v>239</v>
      </c>
      <c r="C25" s="118" t="s">
        <v>242</v>
      </c>
      <c r="D25" s="118" t="s">
        <v>200</v>
      </c>
      <c r="E25" s="118">
        <v>44497</v>
      </c>
      <c r="F25" s="130" t="s">
        <v>250</v>
      </c>
      <c r="G25" s="118"/>
      <c r="H25" s="118" t="s">
        <v>65</v>
      </c>
      <c r="I25" s="118"/>
      <c r="J25" s="132">
        <v>2394143064064</v>
      </c>
      <c r="K25" s="118"/>
      <c r="L25" s="118"/>
      <c r="M25" s="136" t="s">
        <v>201</v>
      </c>
      <c r="N25" s="136" t="s">
        <v>202</v>
      </c>
      <c r="O25" s="119"/>
      <c r="P25" s="123"/>
    </row>
    <row r="26" spans="1:16" ht="28.8" x14ac:dyDescent="0.3">
      <c r="A26" s="139" t="s">
        <v>211</v>
      </c>
      <c r="B26" s="139"/>
      <c r="C26" s="118"/>
      <c r="D26" s="118"/>
      <c r="E26" s="118"/>
      <c r="F26" s="130"/>
      <c r="G26" s="118"/>
      <c r="H26" s="118" t="s">
        <v>217</v>
      </c>
      <c r="I26" s="118"/>
      <c r="J26" s="118"/>
      <c r="K26" s="118"/>
      <c r="L26" s="118"/>
      <c r="M26" s="136" t="s">
        <v>212</v>
      </c>
      <c r="N26" s="130"/>
      <c r="O26" s="119"/>
      <c r="P26" s="124"/>
    </row>
    <row r="27" spans="1:16" ht="43.2" x14ac:dyDescent="0.3">
      <c r="A27" s="139" t="s">
        <v>213</v>
      </c>
      <c r="B27" s="139"/>
      <c r="C27" s="118"/>
      <c r="D27" s="118" t="s">
        <v>215</v>
      </c>
      <c r="E27" s="118"/>
      <c r="F27" s="130"/>
      <c r="G27" s="118"/>
      <c r="H27" s="118" t="s">
        <v>217</v>
      </c>
      <c r="I27" s="118"/>
      <c r="J27" s="118"/>
      <c r="K27" s="118" t="s">
        <v>277</v>
      </c>
      <c r="L27" s="118"/>
      <c r="M27" s="136" t="s">
        <v>214</v>
      </c>
      <c r="N27" s="130"/>
      <c r="O27" s="119"/>
      <c r="P27" s="123"/>
    </row>
    <row r="28" spans="1:16" ht="43.2" x14ac:dyDescent="0.3">
      <c r="A28" s="139" t="s">
        <v>218</v>
      </c>
      <c r="B28" s="139"/>
      <c r="C28" s="118"/>
      <c r="D28" s="118" t="s">
        <v>220</v>
      </c>
      <c r="E28" s="118"/>
      <c r="F28" s="130" t="s">
        <v>278</v>
      </c>
      <c r="G28" s="118"/>
      <c r="H28" s="118" t="s">
        <v>217</v>
      </c>
      <c r="I28" s="118"/>
      <c r="J28" s="118"/>
      <c r="K28" s="118"/>
      <c r="L28" s="118"/>
      <c r="M28" s="136" t="s">
        <v>219</v>
      </c>
      <c r="N28" s="130"/>
      <c r="O28" s="119"/>
      <c r="P28" s="124"/>
    </row>
    <row r="29" spans="1:16" ht="43.2" x14ac:dyDescent="0.3">
      <c r="A29" s="139" t="s">
        <v>279</v>
      </c>
      <c r="B29" s="139"/>
      <c r="C29" s="118" t="s">
        <v>241</v>
      </c>
      <c r="D29" s="118" t="s">
        <v>221</v>
      </c>
      <c r="E29" s="118"/>
      <c r="F29" s="130" t="s">
        <v>240</v>
      </c>
      <c r="G29" s="118" t="s">
        <v>217</v>
      </c>
      <c r="H29" s="118"/>
      <c r="I29" s="118"/>
      <c r="J29" s="118"/>
      <c r="K29" s="118"/>
      <c r="L29" s="118"/>
      <c r="M29" s="136" t="s">
        <v>222</v>
      </c>
      <c r="N29" s="130"/>
      <c r="O29" s="119"/>
      <c r="P29" s="123" t="s">
        <v>224</v>
      </c>
    </row>
    <row r="1048572" spans="16:16" x14ac:dyDescent="0.3">
      <c r="P1048572" s="43" t="s">
        <v>77</v>
      </c>
    </row>
  </sheetData>
  <phoneticPr fontId="8" type="noConversion"/>
  <hyperlinks>
    <hyperlink ref="M2" r:id="rId1" display="https://www.youtube.com/watch?v=tke-QsAUiiU" xr:uid="{7060A4D7-A03A-45DD-83FC-2F2AA0F79C10}"/>
    <hyperlink ref="N2" r:id="rId2" location="benefits-adhesion" display="https://ensafe-foil.com/benefits/ - benefits-adhesion" xr:uid="{4B24B23F-41CC-4211-BB8D-FDD9236A75B7}"/>
    <hyperlink ref="M5" r:id="rId3" display="https://depatisnet.dpma.de/DepatisNet/depatisnet?action=pdf&amp;docid=US020210265608A1&amp;xxxfull=1" xr:uid="{FA2A6248-BEBB-44C4-B2AF-3934D990D7B5}"/>
    <hyperlink ref="M6" r:id="rId4" display="https://foil.tdk-electronics.tdk.com/en-it/the-technology" xr:uid="{14E10B12-A3DD-45A3-9A9C-7FD585375D18}"/>
    <hyperlink ref="M7" r:id="rId5" display="https://www.tmaxcn.com/battery-carbon-coated-aluminum-foil-electrode_p948.html" xr:uid="{7EB14A9F-00F5-4229-95EF-B727EF6F0388}"/>
    <hyperlink ref="M8" r:id="rId6" display="https://www.ebsl.biz/fileadmin/user_upload/EBSL/Druckschriften/Primer_Layers_for_Batteries_RD_eng.pdf" xr:uid="{57471159-8ABA-4512-998C-4BB231E61898}"/>
    <hyperlink ref="M9" r:id="rId7" display="https://www.tobmachine.com/carbon-coated-aluminum-foil-for-lithium-ion-battery_p582.html" xr:uid="{0504D8EC-2443-49DB-96FD-6BFF0CC5CC11}"/>
    <hyperlink ref="M10" r:id="rId8" display="https://www.n-kokuen.com/e/products/codingproducts" xr:uid="{5B7C3124-FE57-4037-A55B-E11256E0E993}"/>
    <hyperlink ref="M11" r:id="rId9" display="http://www.foiltec.net/en/product-56-22-22-1.html" xr:uid="{36B1306C-8D74-4315-B037-754FD0A60C8A}"/>
    <hyperlink ref="M12" r:id="rId10" location="category9-2" display="https://www.sdk.co.jp/english/rd/technology/abm.html - category9-2" xr:uid="{EE9D4957-881D-4EB4-B9C1-5B88114B1E38}"/>
    <hyperlink ref="N8" r:id="rId11" display="https://www.vonardenne.biz/en/battery-technologies/" xr:uid="{BB8AF408-C59F-42C0-AF6D-104C619C4A72}"/>
    <hyperlink ref="N12" r:id="rId12" display="https://www.showa-denko.com/news/sdk-to-offer-carbon-coated-aluminum-foils-for-libs/" xr:uid="{673D9A6F-4827-4388-BC53-1A72CD46827C}"/>
    <hyperlink ref="N7" r:id="rId13" display="https://www.tmaxcn.com/carbon-coated-aluminum-foil-for-lithium-battery-cathode-electrode_p949.html" xr:uid="{891B734D-C38B-4E30-A5F5-7A83BCBC2D8B}"/>
    <hyperlink ref="M13" r:id="rId14" display="https://www.landtinst.com/product/carbon-coated-aluminum-foil/" xr:uid="{317AF28C-9056-443F-B32A-9BF6636D9A4E}"/>
    <hyperlink ref="N9" r:id="rId15" display="https://m.made-in-china.com/product/Battery-Electrode-Material-Carbon-Coated-Aluminum-Foil-1926289975.html" xr:uid="{E3688EFE-75F6-4224-BBF2-E3FAD8B421DD}"/>
    <hyperlink ref="M3" r:id="rId16" display="https://www.shanghaimetal.com/carbon_coated_aluminum_foil-11817.htm" xr:uid="{6EF8F4EE-8DCA-412F-A042-B844E9871740}"/>
    <hyperlink ref="M15" r:id="rId17" display="https://www.nanoshel.com/product/conductive-carbon-coated-aluminum-foil" xr:uid="{6E6EFB86-7BB9-474B-8D4D-C5E1B9D19A03}"/>
    <hyperlink ref="M16" r:id="rId18" display="https://www.iljin.co.kr/eng/innovation/product_view.asp?page=1&amp;searchgroup=&amp;seq=74" xr:uid="{42B0642F-62F5-448A-A5DB-39AE65C05AD8}"/>
    <hyperlink ref="M17" r:id="rId19" xr:uid="{C70559CC-3363-4252-BDD2-4F47249FEA54}"/>
    <hyperlink ref="M18" r:id="rId20" xr:uid="{873DCF3D-B412-4F0C-AA64-2A20AF258B26}"/>
    <hyperlink ref="M19" r:id="rId21" xr:uid="{C966BEE4-1D49-4FC9-A8F9-E86741AB58F4}"/>
    <hyperlink ref="M20" r:id="rId22" xr:uid="{800085A2-21B0-41E4-8146-86877E95E02C}"/>
    <hyperlink ref="M21" r:id="rId23" xr:uid="{34621E61-8F18-4537-A37A-79945980D528}"/>
    <hyperlink ref="M22" r:id="rId24" xr:uid="{6E932D1B-9FC0-48CE-924C-B27DEF07FAA3}"/>
    <hyperlink ref="M23" r:id="rId25" xr:uid="{5296DB5B-D15B-4DC9-A969-414899805B69}"/>
    <hyperlink ref="M24" r:id="rId26" xr:uid="{6A1CF25C-349C-490C-97EA-A10FC016B24F}"/>
    <hyperlink ref="N3" r:id="rId27" display="https://www.shanghaimetal.com/nickel_plated_copper_foil-11304.htm" xr:uid="{1071AE4C-5A65-42C9-AB7B-3C5924AA6F54}"/>
    <hyperlink ref="M25" r:id="rId28" display="https://automotive.asahi-kasei.eu/wp-content/uploads/2021/03/Celgard_AABC-EU_Brochure_Insert_v3.pdf" xr:uid="{D3264B44-EA3B-4D5B-AB5B-FC204D35330F}"/>
    <hyperlink ref="N25" r:id="rId29" display="http://asahikasei-automotive-us.com/innovations/celgard" xr:uid="{4868A230-A62F-41EB-934A-19DE0D5F01B4}"/>
    <hyperlink ref="M4" r:id="rId30" display="https://www.dunmore.com/products/battery.html" xr:uid="{0DB691F4-39FB-4215-A74A-82024ED884EE}"/>
    <hyperlink ref="N5" r:id="rId31" display="http://www.ppgautocoatings.com/Products/Battery-Coatings.aspx" xr:uid="{BB2BB6B5-48FE-4BC2-AEFC-35FCFEA5DD69}"/>
    <hyperlink ref="N6" r:id="rId32" display="https://foil.tdk-electronics.tdk.com/download/2490412/5850709ecd31b6202c20a9f5e7fc275b/catalog.pdf" xr:uid="{1791C94A-8E33-484C-B62B-C346699182F5}"/>
    <hyperlink ref="N18" r:id="rId33" display="https://cam-energy.com/product/carbon-coated-aluminium-foil/" xr:uid="{2F2F7F1F-35FB-469E-A9D9-B39CBE299C54}"/>
    <hyperlink ref="N13" r:id="rId34" display="https://www.landtinst.com/product/artificial-graphite-high-energy-density/" xr:uid="{0B60BF9F-C94B-4B0A-B367-8137242931E2}"/>
    <hyperlink ref="M26" r:id="rId35" display="https://www.avocetsteel.co.uk/wp-content/uploads/2019/07/AvNANO-Aluminium-Nano-Carbon-Coated-.pdf" xr:uid="{FD5948E5-CC66-4516-B548-88DA2F3224EF}"/>
    <hyperlink ref="M27" r:id="rId36" display="https://www.rolledcopperfoil.com/sale-9507231-nano-graphite-carbon-coated-aluminum-foil-12-100-m-thickness-iso-approval.html" xr:uid="{6AADF752-1F25-4AB6-9295-62170BD74DA7}"/>
    <hyperlink ref="M14" r:id="rId37" display="http://www.hitachi-metals-neomaterial.co.jp/english/product/env/" xr:uid="{2213896B-9717-420C-BAF0-9BA4D5F39E9A}"/>
    <hyperlink ref="M28" r:id="rId38" display="https://www.matexcel.com/p/360/graphene-on-aluminum-foil/?gclid=Cj0KCQiAmpyRBhC-ARIsABs2EAqUyNMhPVmWipMIQBhsLzMdYcd2ExJaljTWT7g955qSHDQaCRQZEHIaAny4EALw_wcB" xr:uid="{5092C58E-3020-4394-ABDF-54EFEC19E0F8}"/>
    <hyperlink ref="M29" r:id="rId39" display="https://neograf.com/products/powders-and-additives/graf-x?gclid=Cj0KCQiAmpyRBhC-ARIsABs2EAp4q1Eugn5zZidvVbmw9IMTqc1unxXYBnMQMz_Ikz83wHcQ_pd_kBQaAktLEALw_wcB" xr:uid="{CCD23437-B3F0-4B5F-B54E-E5E6ADA34401}"/>
    <hyperlink ref="N24" r:id="rId40" display="https://www.libgroup.net/product/127.html" xr:uid="{DC7A6E60-B3B8-4CE6-82D4-C9E2F8B323D4}"/>
  </hyperlinks>
  <pageMargins left="0.7" right="0.7" top="0.75" bottom="0.75" header="0.3" footer="0.3"/>
  <pageSetup paperSize="9" orientation="portrait" r:id="rId41"/>
  <drawing r:id="rId42"/>
  <legacyDrawing r:id="rId43"/>
  <tableParts count="1">
    <tablePart r:id="rId4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F89C-4728-4E57-9AFF-F301F38B43DB}">
  <dimension ref="A5:N26"/>
  <sheetViews>
    <sheetView zoomScale="85" zoomScaleNormal="85" workbookViewId="0">
      <selection activeCell="E44" sqref="E44"/>
    </sheetView>
  </sheetViews>
  <sheetFormatPr defaultRowHeight="14.4" x14ac:dyDescent="0.3"/>
  <cols>
    <col min="1" max="1" width="26.44140625" customWidth="1"/>
    <col min="2" max="2" width="27.6640625" customWidth="1"/>
    <col min="3" max="11" width="14.77734375" customWidth="1"/>
    <col min="12" max="12" width="10.44140625" bestFit="1" customWidth="1"/>
    <col min="13" max="13" width="13.77734375" customWidth="1"/>
    <col min="14" max="14" width="15.44140625" customWidth="1"/>
  </cols>
  <sheetData>
    <row r="5" spans="1:14" ht="24" customHeight="1" x14ac:dyDescent="0.3">
      <c r="A5" s="72" t="s">
        <v>132</v>
      </c>
      <c r="B5" s="3"/>
      <c r="C5" s="36">
        <v>2020</v>
      </c>
      <c r="D5" s="36">
        <v>2021</v>
      </c>
      <c r="E5" s="36">
        <v>2022</v>
      </c>
      <c r="F5" s="36">
        <v>2023</v>
      </c>
      <c r="G5" s="36">
        <v>2024</v>
      </c>
      <c r="H5" s="36">
        <v>2025</v>
      </c>
      <c r="I5" s="36">
        <v>2026</v>
      </c>
      <c r="J5" s="36">
        <v>2027</v>
      </c>
      <c r="K5" s="36">
        <v>2028</v>
      </c>
      <c r="L5" t="s">
        <v>124</v>
      </c>
      <c r="M5" s="64">
        <v>85</v>
      </c>
    </row>
    <row r="6" spans="1:14" x14ac:dyDescent="0.3">
      <c r="B6" s="73" t="s">
        <v>230</v>
      </c>
      <c r="C6" s="67">
        <v>510221</v>
      </c>
      <c r="D6" s="67">
        <v>930208</v>
      </c>
      <c r="E6" s="67">
        <v>1230055</v>
      </c>
      <c r="F6" s="67">
        <v>1382901</v>
      </c>
      <c r="G6" s="67">
        <v>1522392</v>
      </c>
      <c r="H6" s="67">
        <v>1738162</v>
      </c>
      <c r="I6" s="67">
        <v>1837956</v>
      </c>
      <c r="J6" s="67">
        <v>1971582</v>
      </c>
      <c r="K6" s="67">
        <v>2022987</v>
      </c>
      <c r="L6" t="s">
        <v>126</v>
      </c>
      <c r="M6" s="63">
        <f>Premises!D39</f>
        <v>2.6</v>
      </c>
      <c r="N6" t="s">
        <v>127</v>
      </c>
    </row>
    <row r="7" spans="1:14" x14ac:dyDescent="0.3">
      <c r="B7" s="73" t="s">
        <v>125</v>
      </c>
      <c r="C7" s="65">
        <f>C6*$M$5/1000000</f>
        <v>43.368785000000003</v>
      </c>
      <c r="D7" s="65">
        <f t="shared" ref="D7:K7" si="0">D6*$M$5/1000000</f>
        <v>79.067679999999996</v>
      </c>
      <c r="E7" s="65">
        <f t="shared" si="0"/>
        <v>104.554675</v>
      </c>
      <c r="F7" s="65">
        <f t="shared" si="0"/>
        <v>117.54658499999999</v>
      </c>
      <c r="G7" s="65">
        <f t="shared" si="0"/>
        <v>129.40332000000001</v>
      </c>
      <c r="H7" s="65">
        <f t="shared" si="0"/>
        <v>147.74377000000001</v>
      </c>
      <c r="I7" s="65">
        <f t="shared" si="0"/>
        <v>156.22626</v>
      </c>
      <c r="J7" s="65">
        <f t="shared" si="0"/>
        <v>167.58447000000001</v>
      </c>
      <c r="K7" s="65">
        <f t="shared" si="0"/>
        <v>171.95389499999999</v>
      </c>
      <c r="L7" t="s">
        <v>108</v>
      </c>
      <c r="M7">
        <f>Premises!C38</f>
        <v>11.88</v>
      </c>
    </row>
    <row r="8" spans="1:14" ht="28.8" x14ac:dyDescent="0.3">
      <c r="B8" s="73" t="s">
        <v>128</v>
      </c>
      <c r="C8" s="70">
        <f>C6*$M$6</f>
        <v>1326574.6000000001</v>
      </c>
      <c r="D8" s="70">
        <f t="shared" ref="D8:K8" si="1">D6*$M$6</f>
        <v>2418540.8000000003</v>
      </c>
      <c r="E8" s="70">
        <f t="shared" si="1"/>
        <v>3198143</v>
      </c>
      <c r="F8" s="70">
        <f t="shared" si="1"/>
        <v>3595542.6</v>
      </c>
      <c r="G8" s="70">
        <f t="shared" si="1"/>
        <v>3958219.2</v>
      </c>
      <c r="H8" s="70">
        <f t="shared" si="1"/>
        <v>4519221.2</v>
      </c>
      <c r="I8" s="70">
        <f t="shared" si="1"/>
        <v>4778685.6000000006</v>
      </c>
      <c r="J8" s="70">
        <f t="shared" si="1"/>
        <v>5126113.2</v>
      </c>
      <c r="K8" s="70">
        <f t="shared" si="1"/>
        <v>5259766.2</v>
      </c>
    </row>
    <row r="9" spans="1:14" ht="28.8" x14ac:dyDescent="0.3">
      <c r="B9" s="74" t="s">
        <v>138</v>
      </c>
      <c r="C9" s="71">
        <f>C6*$M$6*$M$7</f>
        <v>15759706.248000002</v>
      </c>
      <c r="D9" s="71">
        <f t="shared" ref="D9:K9" si="2">D6*$M$6*$M$7</f>
        <v>28732264.704000004</v>
      </c>
      <c r="E9" s="71">
        <f t="shared" si="2"/>
        <v>37993938.840000004</v>
      </c>
      <c r="F9" s="71">
        <f t="shared" si="2"/>
        <v>42715046.088000007</v>
      </c>
      <c r="G9" s="71">
        <f t="shared" si="2"/>
        <v>47023644.096000008</v>
      </c>
      <c r="H9" s="71">
        <f t="shared" si="2"/>
        <v>53688347.856000006</v>
      </c>
      <c r="I9" s="71">
        <f t="shared" si="2"/>
        <v>56770784.928000011</v>
      </c>
      <c r="J9" s="71">
        <f t="shared" si="2"/>
        <v>60898224.816000007</v>
      </c>
      <c r="K9" s="71">
        <f t="shared" si="2"/>
        <v>62486022.456000008</v>
      </c>
    </row>
    <row r="10" spans="1:14" x14ac:dyDescent="0.3">
      <c r="B10" s="73" t="s">
        <v>231</v>
      </c>
      <c r="C10" s="69">
        <v>667000</v>
      </c>
      <c r="D10" s="69">
        <v>6585000</v>
      </c>
      <c r="E10" s="69">
        <v>45480000</v>
      </c>
      <c r="F10" s="69">
        <v>76179000</v>
      </c>
      <c r="G10" s="69">
        <v>88686000</v>
      </c>
      <c r="H10" s="69">
        <v>92515000</v>
      </c>
    </row>
    <row r="11" spans="1:14" x14ac:dyDescent="0.3">
      <c r="B11" s="73"/>
    </row>
    <row r="12" spans="1:14" x14ac:dyDescent="0.3">
      <c r="B12" s="73" t="s">
        <v>231</v>
      </c>
      <c r="C12" s="69">
        <v>667000</v>
      </c>
      <c r="D12" s="69">
        <v>6585000</v>
      </c>
      <c r="E12" s="69">
        <v>45480000</v>
      </c>
      <c r="F12" s="69">
        <v>76179000</v>
      </c>
      <c r="G12" s="69">
        <v>88686000</v>
      </c>
      <c r="H12" s="69">
        <v>92515000</v>
      </c>
    </row>
    <row r="13" spans="1:14" ht="28.8" x14ac:dyDescent="0.3">
      <c r="B13" s="73" t="s">
        <v>134</v>
      </c>
      <c r="C13" s="62">
        <f>C12/Premises!$D$39/Premises!$C$38</f>
        <v>21594.14659414659</v>
      </c>
      <c r="D13" s="62">
        <f>D12/Premises!$D$39/Premises!$C$38</f>
        <v>213189.58818958816</v>
      </c>
      <c r="E13" s="62">
        <f>E12/Premises!$D$39/Premises!$C$38</f>
        <v>1472416.4724164724</v>
      </c>
      <c r="F13" s="62">
        <f>F12/Premises!$D$39/Premises!$C$38</f>
        <v>2466297.5912975911</v>
      </c>
      <c r="G13" s="62">
        <f>G12/Premises!$D$39/Premises!$C$38</f>
        <v>2871212.1212121211</v>
      </c>
      <c r="H13" s="62">
        <f>H12/Premises!$D$39/Premises!$C$38</f>
        <v>2995176.1201761197</v>
      </c>
    </row>
    <row r="14" spans="1:14" x14ac:dyDescent="0.3">
      <c r="B14" s="73" t="s">
        <v>135</v>
      </c>
      <c r="C14" s="69">
        <f>C12-C9</f>
        <v>-15092706.248000002</v>
      </c>
      <c r="D14" s="69">
        <f t="shared" ref="D14:H14" si="3">D12-D9</f>
        <v>-22147264.704000004</v>
      </c>
      <c r="E14" s="69">
        <f t="shared" si="3"/>
        <v>7486061.1599999964</v>
      </c>
      <c r="F14" s="69">
        <f t="shared" si="3"/>
        <v>33463953.911999993</v>
      </c>
      <c r="G14" s="69">
        <f t="shared" si="3"/>
        <v>41662355.903999992</v>
      </c>
      <c r="H14" s="69">
        <f t="shared" si="3"/>
        <v>38826652.143999994</v>
      </c>
    </row>
    <row r="15" spans="1:14" x14ac:dyDescent="0.3">
      <c r="B15" s="73"/>
    </row>
    <row r="16" spans="1:14" x14ac:dyDescent="0.3">
      <c r="B16" s="73" t="s">
        <v>131</v>
      </c>
    </row>
    <row r="17" spans="1:13" ht="28.8" x14ac:dyDescent="0.3">
      <c r="A17" s="72" t="s">
        <v>133</v>
      </c>
      <c r="B17" s="73"/>
    </row>
    <row r="18" spans="1:13" x14ac:dyDescent="0.3">
      <c r="A18" t="s">
        <v>137</v>
      </c>
      <c r="B18" s="66"/>
      <c r="D18" s="75">
        <v>5</v>
      </c>
      <c r="E18" s="31">
        <v>20</v>
      </c>
      <c r="F18" s="31">
        <v>40</v>
      </c>
      <c r="G18" s="31">
        <v>60</v>
      </c>
      <c r="H18" s="31">
        <v>90</v>
      </c>
      <c r="I18" s="31">
        <v>150</v>
      </c>
      <c r="J18" s="31">
        <v>160</v>
      </c>
      <c r="K18" s="31">
        <v>160</v>
      </c>
      <c r="L18" s="31">
        <v>160</v>
      </c>
      <c r="M18" s="31">
        <v>160</v>
      </c>
    </row>
    <row r="19" spans="1:13" x14ac:dyDescent="0.3">
      <c r="A19" s="56" t="s">
        <v>138</v>
      </c>
      <c r="B19" s="66"/>
      <c r="D19" s="47">
        <f>D18*Premises!$D$44*Premises!$C$38*1000000</f>
        <v>2003112.8404669266</v>
      </c>
      <c r="E19" s="47">
        <f>E18*Premises!$D$44*Premises!$C$38*1000000</f>
        <v>8012451.3618677063</v>
      </c>
      <c r="F19" s="47">
        <f>F18*Premises!$D$44*Premises!$C$38*1000000</f>
        <v>16024902.723735413</v>
      </c>
      <c r="G19" s="47">
        <f>G18*Premises!$D$44*Premises!$C$38*1000000</f>
        <v>24037354.085603122</v>
      </c>
      <c r="H19" s="47">
        <f>H18*Premises!$D$44*Premises!$C$38*1000000</f>
        <v>36056031.128404677</v>
      </c>
      <c r="I19" s="47"/>
      <c r="J19" s="47"/>
      <c r="K19" s="47"/>
      <c r="L19" s="47"/>
      <c r="M19" s="47"/>
    </row>
    <row r="20" spans="1:13" x14ac:dyDescent="0.3">
      <c r="B20" s="73" t="s">
        <v>135</v>
      </c>
      <c r="D20" s="54">
        <f>D19-D12</f>
        <v>-4581887.1595330732</v>
      </c>
      <c r="E20" s="54">
        <f t="shared" ref="E20:H20" si="4">E19-E12</f>
        <v>-37467548.638132297</v>
      </c>
      <c r="F20" s="54">
        <f t="shared" si="4"/>
        <v>-60154097.276264586</v>
      </c>
      <c r="G20" s="54">
        <f t="shared" si="4"/>
        <v>-64648645.914396882</v>
      </c>
      <c r="H20" s="54">
        <f t="shared" si="4"/>
        <v>-56458968.871595323</v>
      </c>
      <c r="I20" s="54"/>
      <c r="J20" s="54"/>
      <c r="K20" s="54"/>
      <c r="L20" s="54"/>
      <c r="M20" s="54"/>
    </row>
    <row r="21" spans="1:13" x14ac:dyDescent="0.3">
      <c r="B21" s="66"/>
    </row>
    <row r="26" spans="1:13" x14ac:dyDescent="0.3">
      <c r="C26" s="125">
        <v>510221</v>
      </c>
      <c r="D26" s="125">
        <v>930208</v>
      </c>
      <c r="E26" s="125">
        <v>1230055</v>
      </c>
      <c r="F26" s="125">
        <v>1382901</v>
      </c>
      <c r="G26" s="125">
        <v>1522392</v>
      </c>
      <c r="H26" s="125">
        <v>1738162</v>
      </c>
      <c r="I26" s="125">
        <v>1837956</v>
      </c>
      <c r="J26" s="125">
        <v>1971582</v>
      </c>
      <c r="K26" s="125">
        <v>2022987</v>
      </c>
    </row>
  </sheetData>
  <conditionalFormatting sqref="C1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4C14A9607A0F4A93004D8826DDA56E" ma:contentTypeVersion="8" ma:contentTypeDescription="Create a new document." ma:contentTypeScope="" ma:versionID="abb4cc5ff041effaa4ff84fc1874bbee">
  <xsd:schema xmlns:xsd="http://www.w3.org/2001/XMLSchema" xmlns:xs="http://www.w3.org/2001/XMLSchema" xmlns:p="http://schemas.microsoft.com/office/2006/metadata/properties" xmlns:ns2="d036f241-6923-45ed-a1c7-35d98b6f6acd" xmlns:ns3="4f2b7a69-40c5-4671-a493-8bb6441feeae" targetNamespace="http://schemas.microsoft.com/office/2006/metadata/properties" ma:root="true" ma:fieldsID="a8a9a097451627c9cef594d386b62460" ns2:_="" ns3:_="">
    <xsd:import namespace="d036f241-6923-45ed-a1c7-35d98b6f6acd"/>
    <xsd:import namespace="4f2b7a69-40c5-4671-a493-8bb6441fe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f241-6923-45ed-a1c7-35d98b6f6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b7a69-40c5-4671-a493-8bb6441fe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72f792e8-4dad-42c1-ad63-44982727bf4d" ContentTypeId="0x01" PreviousValue="false"/>
</file>

<file path=customXml/itemProps1.xml><?xml version="1.0" encoding="utf-8"?>
<ds:datastoreItem xmlns:ds="http://schemas.openxmlformats.org/officeDocument/2006/customXml" ds:itemID="{79F72503-B90D-4258-A7FC-3D308B0C2D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BE337F-8E9D-4518-87DE-7465C33DE7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079A81-CD89-41ED-99C2-69D06CEE8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f241-6923-45ed-a1c7-35d98b6f6acd"/>
    <ds:schemaRef ds:uri="4f2b7a69-40c5-4671-a493-8bb6441fe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4F9CB50-2F89-4AAB-BE6B-A6899181E3DA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Premises</vt:lpstr>
      <vt:lpstr>Cell, foil, coating market</vt:lpstr>
      <vt:lpstr>Market insights</vt:lpstr>
      <vt:lpstr>Frontier Sales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Knecht</dc:creator>
  <cp:lastModifiedBy>Taekyu Kim</cp:lastModifiedBy>
  <dcterms:created xsi:type="dcterms:W3CDTF">2022-02-21T08:18:22Z</dcterms:created>
  <dcterms:modified xsi:type="dcterms:W3CDTF">2022-03-28T06:41:55Z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0x0101009C4C14A9607A0F4A93004D8826DDA56E</vt:lpwstr>
  </property>
</Properties>
</file>