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6" sheetId="1" r:id="rId3"/>
    <sheet state="visible" name="2017-2020" sheetId="2" r:id="rId4"/>
    <sheet state="visible" name="Home purchese" sheetId="3" r:id="rId5"/>
    <sheet state="visible" name="Devident" sheetId="4" r:id="rId6"/>
    <sheet state="visible" name="DivCal" sheetId="5" r:id="rId7"/>
    <sheet state="visible" name="A" sheetId="6" r:id="rId8"/>
    <sheet state="visible" name="2020" sheetId="7" r:id="rId9"/>
  </sheets>
  <definedNames/>
  <calcPr/>
</workbook>
</file>

<file path=xl/sharedStrings.xml><?xml version="1.0" encoding="utf-8"?>
<sst xmlns="http://schemas.openxmlformats.org/spreadsheetml/2006/main" count="291" uniqueCount="189">
  <si>
    <t>SMED</t>
  </si>
  <si>
    <t>o</t>
  </si>
  <si>
    <t>n</t>
  </si>
  <si>
    <t>RRSP</t>
  </si>
  <si>
    <t>Checking/Saving</t>
  </si>
  <si>
    <t>TFSA</t>
  </si>
  <si>
    <t>NLTX</t>
  </si>
  <si>
    <t>RRSP non-in</t>
  </si>
  <si>
    <t>SNDX</t>
  </si>
  <si>
    <t>d</t>
  </si>
  <si>
    <t>buss</t>
  </si>
  <si>
    <t>j</t>
  </si>
  <si>
    <t>Spar</t>
  </si>
  <si>
    <t>sym</t>
  </si>
  <si>
    <t>quantity</t>
  </si>
  <si>
    <t>price</t>
  </si>
  <si>
    <t>RRSP ready</t>
  </si>
  <si>
    <t>bought all</t>
  </si>
  <si>
    <t>sold</t>
  </si>
  <si>
    <t>lost/gain</t>
  </si>
  <si>
    <t>right now price</t>
  </si>
  <si>
    <t>right now gain</t>
  </si>
  <si>
    <t>500k</t>
  </si>
  <si>
    <t>100k</t>
  </si>
  <si>
    <t>f</t>
  </si>
  <si>
    <t>right now</t>
  </si>
  <si>
    <t>totla price</t>
  </si>
  <si>
    <t>RRSP investment</t>
  </si>
  <si>
    <t>aapl</t>
  </si>
  <si>
    <t>*</t>
  </si>
  <si>
    <t>APPS</t>
  </si>
  <si>
    <t>DGICA</t>
  </si>
  <si>
    <t>Income now</t>
  </si>
  <si>
    <t>528k</t>
  </si>
  <si>
    <t>105k</t>
  </si>
  <si>
    <t>m</t>
  </si>
  <si>
    <t>ELMD</t>
  </si>
  <si>
    <t>560k</t>
  </si>
  <si>
    <t>113k</t>
  </si>
  <si>
    <t>a</t>
  </si>
  <si>
    <t>XAIR</t>
  </si>
  <si>
    <t>126k</t>
  </si>
  <si>
    <t>VSTO</t>
  </si>
  <si>
    <t>Buss</t>
  </si>
  <si>
    <t>Total Now</t>
  </si>
  <si>
    <t>Leftover</t>
  </si>
  <si>
    <t>Total</t>
  </si>
  <si>
    <t>ama</t>
  </si>
  <si>
    <t>How many percent</t>
  </si>
  <si>
    <t xml:space="preserve">2years backup </t>
  </si>
  <si>
    <t xml:space="preserve">Projection </t>
  </si>
  <si>
    <t>amz</t>
  </si>
  <si>
    <t>goog</t>
  </si>
  <si>
    <t>How Much is the place</t>
  </si>
  <si>
    <t>LandTransferTax</t>
  </si>
  <si>
    <t>Total needed</t>
  </si>
  <si>
    <t>nflx</t>
  </si>
  <si>
    <t>Total Needed</t>
  </si>
  <si>
    <t>After paying</t>
  </si>
  <si>
    <t>tsl</t>
  </si>
  <si>
    <t>Cash on Hand</t>
  </si>
  <si>
    <t>mu</t>
  </si>
  <si>
    <t>tsla</t>
  </si>
  <si>
    <t>cgc</t>
  </si>
  <si>
    <t>cron</t>
  </si>
  <si>
    <t>Date</t>
  </si>
  <si>
    <t># Shares</t>
  </si>
  <si>
    <t xml:space="preserve">Price </t>
  </si>
  <si>
    <t>Total Price</t>
  </si>
  <si>
    <t># Sahres</t>
  </si>
  <si>
    <t>Right Now Price</t>
  </si>
  <si>
    <t>googl</t>
  </si>
  <si>
    <t>lulu(aug28)</t>
  </si>
  <si>
    <t>google</t>
  </si>
  <si>
    <t xml:space="preserve">tlry </t>
  </si>
  <si>
    <t>Total # Shares</t>
  </si>
  <si>
    <t>TFSA Gain</t>
  </si>
  <si>
    <t>RRSP Gain</t>
  </si>
  <si>
    <t>goole</t>
  </si>
  <si>
    <t>fb</t>
  </si>
  <si>
    <t>lost to recover</t>
  </si>
  <si>
    <t>los per share</t>
  </si>
  <si>
    <t>righnow money in hand</t>
  </si>
  <si>
    <t>sne</t>
  </si>
  <si>
    <t>Devident</t>
  </si>
  <si>
    <t>amzn(aug17)(aug28)</t>
  </si>
  <si>
    <t>amzn</t>
  </si>
  <si>
    <t>lulu(aug31)</t>
  </si>
  <si>
    <t>Total Money</t>
  </si>
  <si>
    <t>lulu</t>
  </si>
  <si>
    <t>crwd</t>
  </si>
  <si>
    <t>Total Gain</t>
  </si>
  <si>
    <t>Yearly</t>
  </si>
  <si>
    <t>apha</t>
  </si>
  <si>
    <t>Devidant/M</t>
  </si>
  <si>
    <t>baba</t>
  </si>
  <si>
    <t>amd</t>
  </si>
  <si>
    <t>mdb</t>
  </si>
  <si>
    <t>trst</t>
  </si>
  <si>
    <t>Roku</t>
  </si>
  <si>
    <t>RVLV</t>
  </si>
  <si>
    <t>Sum</t>
  </si>
  <si>
    <t>BA</t>
  </si>
  <si>
    <t>FB</t>
  </si>
  <si>
    <t>msft</t>
  </si>
  <si>
    <t>CCL</t>
  </si>
  <si>
    <t>RCL</t>
  </si>
  <si>
    <t>ww</t>
  </si>
  <si>
    <t>ADT</t>
  </si>
  <si>
    <t>MU</t>
  </si>
  <si>
    <t>ctst</t>
  </si>
  <si>
    <t>acb</t>
  </si>
  <si>
    <t>-</t>
  </si>
  <si>
    <t>UAL</t>
  </si>
  <si>
    <t>Uber</t>
  </si>
  <si>
    <t>MSFT</t>
  </si>
  <si>
    <t>emh</t>
  </si>
  <si>
    <t>AC</t>
  </si>
  <si>
    <t>CHR</t>
  </si>
  <si>
    <t xml:space="preserve">Overal </t>
  </si>
  <si>
    <t>Total money in</t>
  </si>
  <si>
    <t>Gain</t>
  </si>
  <si>
    <t xml:space="preserve">Percent </t>
  </si>
  <si>
    <t>Numbers of shares</t>
  </si>
  <si>
    <t>Payout/M</t>
  </si>
  <si>
    <t>Total D/Y</t>
  </si>
  <si>
    <t>Payout/q</t>
  </si>
  <si>
    <t xml:space="preserve">XEI </t>
  </si>
  <si>
    <t>ZDV</t>
  </si>
  <si>
    <t>edb</t>
  </si>
  <si>
    <t>TD</t>
  </si>
  <si>
    <t>CM</t>
  </si>
  <si>
    <t>Telus</t>
  </si>
  <si>
    <t>BNS</t>
  </si>
  <si>
    <t>NA</t>
  </si>
  <si>
    <t>BMO</t>
  </si>
  <si>
    <t>Total:</t>
  </si>
  <si>
    <t>q</t>
  </si>
  <si>
    <t>enb</t>
  </si>
  <si>
    <t>pow</t>
  </si>
  <si>
    <t>CIBC</t>
  </si>
  <si>
    <t>CWB</t>
  </si>
  <si>
    <t>MFC</t>
  </si>
  <si>
    <t>TOTAL</t>
  </si>
  <si>
    <t>cash</t>
  </si>
  <si>
    <t>numer</t>
  </si>
  <si>
    <t>dev calc</t>
  </si>
  <si>
    <t>Total RRSP</t>
  </si>
  <si>
    <t>num</t>
  </si>
  <si>
    <t>dev price</t>
  </si>
  <si>
    <t xml:space="preserve">Total </t>
  </si>
  <si>
    <t>month</t>
  </si>
  <si>
    <t>overall</t>
  </si>
  <si>
    <t>SPY</t>
  </si>
  <si>
    <t>Total TFSA US</t>
  </si>
  <si>
    <t>Total TFSA Cad</t>
  </si>
  <si>
    <t>sell at</t>
  </si>
  <si>
    <t>fee</t>
  </si>
  <si>
    <t>Total shares</t>
  </si>
  <si>
    <t>avrage</t>
  </si>
  <si>
    <t>gain</t>
  </si>
  <si>
    <t>Final TFSA in CAD</t>
  </si>
  <si>
    <t>if become</t>
  </si>
  <si>
    <t>FAS</t>
  </si>
  <si>
    <t>make</t>
  </si>
  <si>
    <t>How much</t>
  </si>
  <si>
    <t xml:space="preserve">How many </t>
  </si>
  <si>
    <t>If it's</t>
  </si>
  <si>
    <t>How much I made</t>
  </si>
  <si>
    <t xml:space="preserve">How much </t>
  </si>
  <si>
    <t>Stock price</t>
  </si>
  <si>
    <t>drop calc</t>
  </si>
  <si>
    <t>%</t>
  </si>
  <si>
    <t>Final RRPS in CAD</t>
  </si>
  <si>
    <t>Final Total in CAD</t>
  </si>
  <si>
    <t>buy price</t>
  </si>
  <si>
    <t>sell price</t>
  </si>
  <si>
    <t>Totall &amp;SPX</t>
  </si>
  <si>
    <t>SPXL</t>
  </si>
  <si>
    <t xml:space="preserve"> </t>
  </si>
  <si>
    <t>Avrage down</t>
  </si>
  <si>
    <t>After round</t>
  </si>
  <si>
    <t>#shares</t>
  </si>
  <si>
    <t>total</t>
  </si>
  <si>
    <t>Q/M</t>
  </si>
  <si>
    <t>USD</t>
  </si>
  <si>
    <t>Cad/m</t>
  </si>
  <si>
    <t>Devidend</t>
  </si>
  <si>
    <t xml:space="preserve">if become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</si>
</sst>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 mmm"/>
    <numFmt numFmtId="165" formatCode="mmmm dd"/>
    <numFmt numFmtId="166" formatCode="mmmm d"/>
    <numFmt numFmtId="167" formatCode="mmmd"/>
    <numFmt numFmtId="168" formatCode="yyyy/m"/>
  </numFmts>
  <fonts count="41">
    <font>
      <sz val="10.0"/>
      <color rgb="FF000000"/>
      <name val="Arial"/>
    </font>
    <font/>
    <font>
      <name val="Arial"/>
    </font>
    <font>
      <sz val="10.0"/>
      <name val="Arial"/>
    </font>
    <font>
      <sz val="12.0"/>
    </font>
    <font>
      <sz val="11.0"/>
      <color rgb="FF000000"/>
      <name val="Inconsolata"/>
    </font>
    <font>
      <color rgb="FF000000"/>
      <name val="Arial"/>
    </font>
    <font>
      <sz val="9.0"/>
      <color rgb="FF000000"/>
      <name val="Arial"/>
    </font>
    <font>
      <color rgb="FF999999"/>
      <name val="Arial"/>
    </font>
    <font>
      <color rgb="FF999999"/>
    </font>
    <font>
      <color rgb="FFB7B7B7"/>
    </font>
    <font>
      <color rgb="FF000000"/>
    </font>
    <font>
      <sz val="9.0"/>
      <color rgb="FF000000"/>
      <name val="Helvetica"/>
    </font>
    <font>
      <b/>
    </font>
    <font>
      <sz val="11.0"/>
      <color rgb="FF000000"/>
      <name val="Arial"/>
    </font>
    <font>
      <color rgb="FFF3F3F3"/>
    </font>
    <font>
      <color rgb="FFF3F3F3"/>
      <name val="Arial"/>
    </font>
    <font>
      <sz val="9.0"/>
      <color rgb="FFF3F3F3"/>
      <name val="Arial"/>
    </font>
    <font>
      <sz val="9.0"/>
      <color rgb="FFF3F3F3"/>
      <name val="Helvetica"/>
    </font>
    <font>
      <sz val="10.0"/>
      <color rgb="FFF3F3F3"/>
      <name val="Arial"/>
    </font>
    <font>
      <b/>
      <color rgb="FF000000"/>
      <name val="Arial"/>
    </font>
    <font>
      <b/>
      <color rgb="FFEFEFEF"/>
    </font>
    <font>
      <color rgb="FFEFEFEF"/>
      <name val="Arial"/>
    </font>
    <font>
      <sz val="9.0"/>
      <color rgb="FFEFEFEF"/>
      <name val="Arial"/>
    </font>
    <font>
      <sz val="9.0"/>
      <color rgb="FFEFEFEF"/>
      <name val="Helvetica"/>
    </font>
    <font>
      <color rgb="FFEFEFEF"/>
    </font>
    <font>
      <sz val="10.0"/>
      <color rgb="FFEFEFEF"/>
      <name val="Arial"/>
    </font>
    <font>
      <sz val="11.0"/>
      <color rgb="FF3A3A3A"/>
      <name val="Arial"/>
    </font>
    <font>
      <b/>
      <sz val="10.0"/>
      <name val="Arial"/>
    </font>
    <font>
      <b/>
      <name val="Arial"/>
    </font>
    <font>
      <b/>
      <color rgb="FFD9D9D9"/>
    </font>
    <font>
      <color rgb="FFD9D9D9"/>
      <name val="Arial"/>
    </font>
    <font>
      <sz val="9.0"/>
      <color rgb="FFD9D9D9"/>
      <name val="Arial"/>
    </font>
    <font>
      <sz val="9.0"/>
      <color rgb="FFD9D9D9"/>
      <name val="Helvetica"/>
    </font>
    <font>
      <color rgb="FFD9D9D9"/>
    </font>
    <font>
      <sz val="10.0"/>
      <color rgb="FFFFFFFF"/>
      <name val="Arial"/>
    </font>
    <font>
      <b/>
      <color rgb="FFEFEFEF"/>
      <name val="Arial"/>
    </font>
    <font>
      <color rgb="FFCCCCCC"/>
    </font>
    <font>
      <color rgb="FFCCCCCC"/>
      <name val="Arial"/>
    </font>
    <font>
      <sz val="9.0"/>
      <color rgb="FFCCCCCC"/>
      <name val="Arial"/>
    </font>
    <font>
      <sz val="9.0"/>
      <color rgb="FFCCCCCC"/>
      <name val="Helvetic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2" fontId="5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 shrinkToFit="0" vertical="bottom" wrapText="0"/>
    </xf>
    <xf borderId="0" fillId="0" fontId="7" numFmtId="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6" numFmtId="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0" fontId="0" numFmtId="4" xfId="0" applyAlignment="1" applyFont="1" applyNumberFormat="1">
      <alignment horizontal="center" readingOrder="0"/>
    </xf>
    <xf borderId="0" fillId="0" fontId="0" numFmtId="4" xfId="0" applyAlignment="1" applyFont="1" applyNumberFormat="1">
      <alignment horizontal="center" readingOrder="0" shrinkToFit="0" vertical="bottom" wrapText="0"/>
    </xf>
    <xf borderId="0" fillId="0" fontId="0" numFmtId="4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6" numFmtId="4" xfId="0" applyAlignment="1" applyFont="1" applyNumberFormat="1">
      <alignment horizontal="center" readingOrder="0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0" fontId="12" numFmtId="4" xfId="0" applyAlignment="1" applyFont="1" applyNumberFormat="1">
      <alignment horizontal="center" readingOrder="0"/>
    </xf>
    <xf borderId="0" fillId="0" fontId="13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3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0" numFmtId="4" xfId="0" applyAlignment="1" applyFont="1" applyNumberFormat="1">
      <alignment horizontal="center" readingOrder="0" vertical="top"/>
    </xf>
    <xf borderId="0" fillId="0" fontId="13" numFmtId="0" xfId="0" applyAlignment="1" applyFont="1">
      <alignment horizontal="left" readingOrder="0"/>
    </xf>
    <xf borderId="0" fillId="0" fontId="11" numFmtId="0" xfId="0" applyFont="1"/>
    <xf borderId="0" fillId="3" fontId="13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7" numFmtId="4" xfId="0" applyAlignment="1" applyFont="1" applyNumberFormat="1">
      <alignment horizontal="center" readingOrder="0"/>
    </xf>
    <xf borderId="0" fillId="0" fontId="18" numFmtId="4" xfId="0" applyAlignment="1" applyFont="1" applyNumberFormat="1">
      <alignment horizontal="center" readingOrder="0"/>
    </xf>
    <xf borderId="0" fillId="0" fontId="16" numFmtId="4" xfId="0" applyAlignment="1" applyFont="1" applyNumberFormat="1">
      <alignment horizontal="center"/>
    </xf>
    <xf borderId="0" fillId="0" fontId="15" numFmtId="4" xfId="0" applyAlignment="1" applyFont="1" applyNumberFormat="1">
      <alignment horizontal="center"/>
    </xf>
    <xf borderId="0" fillId="0" fontId="15" numFmtId="0" xfId="0" applyFont="1"/>
    <xf borderId="0" fillId="0" fontId="16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0" fontId="16" numFmtId="0" xfId="0" applyAlignment="1" applyFont="1">
      <alignment horizontal="center" readingOrder="0" vertical="bottom"/>
    </xf>
    <xf borderId="0" fillId="0" fontId="17" numFmtId="4" xfId="0" applyAlignment="1" applyFont="1" applyNumberFormat="1">
      <alignment horizontal="center" readingOrder="0" vertical="bottom"/>
    </xf>
    <xf borderId="0" fillId="0" fontId="18" numFmtId="4" xfId="0" applyAlignment="1" applyFont="1" applyNumberFormat="1">
      <alignment horizontal="center" vertical="bottom"/>
    </xf>
    <xf borderId="0" fillId="0" fontId="16" numFmtId="4" xfId="0" applyAlignment="1" applyFont="1" applyNumberFormat="1">
      <alignment vertical="bottom"/>
    </xf>
    <xf borderId="0" fillId="0" fontId="16" numFmtId="4" xfId="0" applyAlignment="1" applyFont="1" applyNumberFormat="1">
      <alignment horizontal="center" vertical="bottom"/>
    </xf>
    <xf borderId="0" fillId="0" fontId="16" numFmtId="0" xfId="0" applyAlignment="1" applyFont="1">
      <alignment horizontal="center" vertical="bottom"/>
    </xf>
    <xf borderId="0" fillId="0" fontId="19" numFmtId="0" xfId="0" applyAlignment="1" applyFont="1">
      <alignment horizontal="center"/>
    </xf>
    <xf borderId="0" fillId="0" fontId="19" numFmtId="4" xfId="0" applyAlignment="1" applyFont="1" applyNumberFormat="1">
      <alignment horizontal="center" readingOrder="0" vertical="top"/>
    </xf>
    <xf borderId="0" fillId="2" fontId="12" numFmtId="4" xfId="0" applyAlignment="1" applyFont="1" applyNumberFormat="1">
      <alignment horizontal="center" readingOrder="0"/>
    </xf>
    <xf borderId="0" fillId="0" fontId="11" numFmtId="0" xfId="0" applyAlignment="1" applyFont="1">
      <alignment readingOrder="0"/>
    </xf>
    <xf borderId="0" fillId="0" fontId="20" numFmtId="0" xfId="0" applyAlignment="1" applyFont="1">
      <alignment horizontal="center" readingOrder="0"/>
    </xf>
    <xf borderId="0" fillId="0" fontId="11" numFmtId="4" xfId="0" applyAlignment="1" applyFont="1" applyNumberFormat="1">
      <alignment horizontal="center"/>
    </xf>
    <xf borderId="0" fillId="0" fontId="21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borderId="0" fillId="0" fontId="23" numFmtId="4" xfId="0" applyAlignment="1" applyFont="1" applyNumberFormat="1">
      <alignment horizontal="center" readingOrder="0"/>
    </xf>
    <xf borderId="0" fillId="0" fontId="24" numFmtId="4" xfId="0" applyAlignment="1" applyFont="1" applyNumberFormat="1">
      <alignment horizontal="center" readingOrder="0"/>
    </xf>
    <xf borderId="0" fillId="0" fontId="22" numFmtId="4" xfId="0" applyAlignment="1" applyFont="1" applyNumberFormat="1">
      <alignment horizontal="center"/>
    </xf>
    <xf borderId="0" fillId="0" fontId="25" numFmtId="0" xfId="0" applyAlignment="1" applyFont="1">
      <alignment horizontal="center"/>
    </xf>
    <xf borderId="0" fillId="0" fontId="25" numFmtId="4" xfId="0" applyAlignment="1" applyFont="1" applyNumberFormat="1">
      <alignment horizontal="center"/>
    </xf>
    <xf borderId="0" fillId="0" fontId="25" numFmtId="0" xfId="0" applyFont="1"/>
    <xf borderId="0" fillId="0" fontId="25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0" fillId="0" fontId="22" numFmtId="4" xfId="0" applyAlignment="1" applyFont="1" applyNumberFormat="1">
      <alignment horizontal="center" readingOrder="0"/>
    </xf>
    <xf borderId="0" fillId="0" fontId="26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2" fontId="6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2" fontId="6" numFmtId="0" xfId="0" applyAlignment="1" applyFont="1">
      <alignment horizontal="center" vertical="bottom"/>
    </xf>
    <xf borderId="0" fillId="2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 vertical="bottom"/>
    </xf>
    <xf borderId="0" fillId="0" fontId="27" numFmtId="0" xfId="0" applyAlignment="1" applyFont="1">
      <alignment horizontal="center" readingOrder="0" shrinkToFit="0" wrapText="0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0" numFmtId="0" xfId="0" applyAlignment="1" applyFont="1">
      <alignment horizontal="center" readingOrder="0" shrinkToFit="0" wrapText="0"/>
    </xf>
    <xf borderId="0" fillId="0" fontId="28" numFmtId="0" xfId="0" applyAlignment="1" applyFont="1">
      <alignment horizontal="center" readingOrder="0"/>
    </xf>
    <xf borderId="0" fillId="0" fontId="29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borderId="0" fillId="0" fontId="32" numFmtId="4" xfId="0" applyAlignment="1" applyFont="1" applyNumberFormat="1">
      <alignment horizontal="center" readingOrder="0"/>
    </xf>
    <xf borderId="0" fillId="0" fontId="33" numFmtId="4" xfId="0" applyAlignment="1" applyFont="1" applyNumberFormat="1">
      <alignment horizontal="center" readingOrder="0"/>
    </xf>
    <xf borderId="0" fillId="5" fontId="6" numFmtId="0" xfId="0" applyAlignment="1" applyFont="1">
      <alignment horizontal="center" readingOrder="0" vertical="bottom"/>
    </xf>
    <xf borderId="0" fillId="5" fontId="6" numFmtId="4" xfId="0" applyAlignment="1" applyFont="1" applyNumberFormat="1">
      <alignment horizontal="center" readingOrder="0" vertical="bottom"/>
    </xf>
    <xf borderId="0" fillId="0" fontId="31" numFmtId="4" xfId="0" applyAlignment="1" applyFont="1" applyNumberFormat="1">
      <alignment horizontal="center"/>
    </xf>
    <xf borderId="0" fillId="0" fontId="2" numFmtId="0" xfId="0" applyAlignment="1" applyFont="1">
      <alignment vertical="bottom"/>
    </xf>
    <xf borderId="0" fillId="0" fontId="34" numFmtId="0" xfId="0" applyAlignment="1" applyFont="1">
      <alignment horizontal="center"/>
    </xf>
    <xf borderId="0" fillId="0" fontId="0" numFmtId="0" xfId="0" applyAlignment="1" applyFont="1">
      <alignment horizontal="center" shrinkToFit="0" wrapText="0"/>
    </xf>
    <xf borderId="0" fillId="0" fontId="34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6" numFmtId="4" xfId="0" applyAlignment="1" applyFont="1" applyNumberFormat="1">
      <alignment horizontal="center" readingOrder="0" vertical="bottom"/>
    </xf>
    <xf borderId="0" fillId="0" fontId="0" numFmtId="167" xfId="0" applyAlignment="1" applyFont="1" applyNumberFormat="1">
      <alignment horizontal="center" readingOrder="0"/>
    </xf>
    <xf borderId="0" fillId="6" fontId="25" numFmtId="0" xfId="0" applyAlignment="1" applyFill="1" applyFont="1">
      <alignment horizontal="center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horizontal="center" readingOrder="0" shrinkToFit="0" wrapText="0"/>
    </xf>
    <xf borderId="0" fillId="0" fontId="2" numFmtId="4" xfId="0" applyAlignment="1" applyFont="1" applyNumberFormat="1">
      <alignment horizontal="center" vertical="bottom"/>
    </xf>
    <xf borderId="0" fillId="2" fontId="33" numFmtId="4" xfId="0" applyAlignment="1" applyFont="1" applyNumberFormat="1">
      <alignment horizontal="center" readingOrder="0"/>
    </xf>
    <xf borderId="0" fillId="0" fontId="34" numFmtId="4" xfId="0" applyAlignment="1" applyFont="1" applyNumberFormat="1">
      <alignment horizontal="center"/>
    </xf>
    <xf borderId="0" fillId="0" fontId="6" numFmtId="0" xfId="0" applyAlignment="1" applyFont="1">
      <alignment horizontal="center" vertical="bottom"/>
    </xf>
    <xf borderId="0" fillId="0" fontId="35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7" fontId="6" numFmtId="0" xfId="0" applyAlignment="1" applyFill="1" applyFont="1">
      <alignment horizontal="center" readingOrder="0" vertical="bottom"/>
    </xf>
    <xf borderId="0" fillId="8" fontId="6" numFmtId="0" xfId="0" applyAlignment="1" applyFill="1" applyFont="1">
      <alignment horizontal="center" readingOrder="0" vertical="bottom"/>
    </xf>
    <xf borderId="0" fillId="0" fontId="36" numFmtId="0" xfId="0" applyAlignment="1" applyFon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22" numFmtId="4" xfId="0" applyAlignment="1" applyFont="1" applyNumberFormat="1">
      <alignment horizontal="center" vertical="bottom"/>
    </xf>
    <xf borderId="0" fillId="2" fontId="7" numFmtId="4" xfId="0" applyAlignment="1" applyFont="1" applyNumberFormat="1">
      <alignment horizontal="center" readingOrder="0"/>
    </xf>
    <xf borderId="0" fillId="2" fontId="25" numFmtId="0" xfId="0" applyAlignment="1" applyFont="1">
      <alignment horizontal="center"/>
    </xf>
    <xf borderId="0" fillId="0" fontId="36" numFmtId="0" xfId="0" applyAlignment="1" applyFont="1">
      <alignment horizontal="center" vertical="bottom"/>
    </xf>
    <xf borderId="0" fillId="0" fontId="22" numFmtId="0" xfId="0" applyAlignment="1" applyFont="1">
      <alignment horizontal="center" vertical="bottom"/>
    </xf>
    <xf borderId="0" fillId="0" fontId="11" numFmtId="168" xfId="0" applyAlignment="1" applyFont="1" applyNumberFormat="1">
      <alignment horizontal="center" readingOrder="0"/>
    </xf>
    <xf borderId="0" fillId="0" fontId="23" numFmtId="4" xfId="0" applyAlignment="1" applyFont="1" applyNumberFormat="1">
      <alignment horizontal="center" vertical="bottom"/>
    </xf>
    <xf borderId="0" fillId="0" fontId="24" numFmtId="4" xfId="0" applyAlignment="1" applyFont="1" applyNumberFormat="1">
      <alignment horizontal="center" vertical="bottom"/>
    </xf>
    <xf borderId="0" fillId="2" fontId="24" numFmtId="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 vertical="bottom"/>
    </xf>
    <xf borderId="0" fillId="0" fontId="5" numFmtId="0" xfId="0" applyAlignment="1" applyFont="1">
      <alignment horizontal="center"/>
    </xf>
    <xf borderId="0" fillId="0" fontId="22" numFmtId="4" xfId="0" applyAlignment="1" applyFont="1" applyNumberFormat="1">
      <alignment horizontal="center" readingOrder="0" vertical="bottom"/>
    </xf>
    <xf borderId="0" fillId="0" fontId="37" numFmtId="0" xfId="0" applyAlignment="1" applyFont="1">
      <alignment horizontal="center" readingOrder="0"/>
    </xf>
    <xf borderId="0" fillId="0" fontId="29" numFmtId="0" xfId="0" applyAlignment="1" applyFont="1">
      <alignment horizontal="center" vertical="bottom"/>
    </xf>
    <xf borderId="0" fillId="0" fontId="31" numFmtId="0" xfId="0" applyAlignment="1" applyFont="1">
      <alignment horizontal="center" readingOrder="0" vertical="bottom"/>
    </xf>
    <xf borderId="0" fillId="0" fontId="32" numFmtId="4" xfId="0" applyAlignment="1" applyFont="1" applyNumberFormat="1">
      <alignment horizontal="center" readingOrder="0" vertical="bottom"/>
    </xf>
    <xf borderId="0" fillId="0" fontId="33" numFmtId="4" xfId="0" applyAlignment="1" applyFont="1" applyNumberFormat="1">
      <alignment horizontal="center" vertical="bottom"/>
    </xf>
    <xf borderId="0" fillId="0" fontId="2" numFmtId="4" xfId="0" applyAlignment="1" applyFont="1" applyNumberFormat="1">
      <alignment vertical="bottom"/>
    </xf>
    <xf borderId="0" fillId="0" fontId="38" numFmtId="4" xfId="0" applyAlignment="1" applyFont="1" applyNumberFormat="1">
      <alignment horizontal="center" vertical="bottom"/>
    </xf>
    <xf borderId="0" fillId="0" fontId="31" numFmtId="0" xfId="0" applyAlignment="1" applyFont="1">
      <alignment horizontal="center" vertical="bottom"/>
    </xf>
    <xf borderId="0" fillId="0" fontId="32" numFmtId="4" xfId="0" applyAlignment="1" applyFont="1" applyNumberFormat="1">
      <alignment horizontal="center" vertical="bottom"/>
    </xf>
    <xf borderId="0" fillId="0" fontId="38" numFmtId="0" xfId="0" applyAlignment="1" applyFont="1">
      <alignment horizontal="center" readingOrder="0" vertical="bottom"/>
    </xf>
    <xf borderId="0" fillId="0" fontId="38" numFmtId="0" xfId="0" applyAlignment="1" applyFont="1">
      <alignment horizontal="center" readingOrder="0"/>
    </xf>
    <xf borderId="0" fillId="0" fontId="39" numFmtId="4" xfId="0" applyAlignment="1" applyFont="1" applyNumberFormat="1">
      <alignment horizontal="center" readingOrder="0"/>
    </xf>
    <xf borderId="0" fillId="0" fontId="40" numFmtId="4" xfId="0" applyAlignment="1" applyFont="1" applyNumberFormat="1">
      <alignment horizontal="center" readingOrder="0"/>
    </xf>
    <xf borderId="0" fillId="2" fontId="1" numFmtId="0" xfId="0" applyAlignment="1" applyFont="1">
      <alignment horizontal="center"/>
    </xf>
    <xf borderId="0" fillId="5" fontId="0" numFmtId="0" xfId="0" applyAlignment="1" applyFont="1">
      <alignment horizontal="center" readingOrder="0"/>
    </xf>
    <xf borderId="0" fillId="5" fontId="0" numFmtId="0" xfId="0" applyAlignment="1" applyFont="1">
      <alignment horizontal="center" readingOrder="0" shrinkToFit="0" wrapText="0"/>
    </xf>
    <xf borderId="0" fillId="0" fontId="7" numFmtId="4" xfId="0" applyAlignment="1" applyFont="1" applyNumberFormat="1">
      <alignment horizontal="center" readingOrder="0" vertical="bottom"/>
    </xf>
    <xf borderId="0" fillId="0" fontId="12" numFmtId="4" xfId="0" applyAlignment="1" applyFont="1" applyNumberFormat="1">
      <alignment horizontal="center" readingOrder="0" vertical="bottom"/>
    </xf>
    <xf borderId="0" fillId="0" fontId="33" numFmtId="4" xfId="0" applyAlignment="1" applyFont="1" applyNumberFormat="1">
      <alignment horizontal="center" readingOrder="0" vertical="bottom"/>
    </xf>
    <xf borderId="0" fillId="7" fontId="0" numFmtId="0" xfId="0" applyAlignment="1" applyFont="1">
      <alignment horizontal="center" readingOrder="0"/>
    </xf>
    <xf borderId="0" fillId="8" fontId="11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A3" s="1"/>
      <c r="B3" s="3" t="s">
        <v>0</v>
      </c>
      <c r="C3" s="4">
        <v>7.94</v>
      </c>
      <c r="D3" s="1">
        <f>IFERROR(__xludf.DUMMYFUNCTION("GOOGLEFINANCE(B3)"),6.64)</f>
        <v>6.64</v>
      </c>
      <c r="E3" s="1">
        <f t="shared" ref="E3:E11" si="1">D3-C3</f>
        <v>-1.3</v>
      </c>
      <c r="F3" s="1">
        <f t="shared" ref="F3:F11" si="2">ROUNDUP(((D3*100)/C3)-100)</f>
        <v>-17</v>
      </c>
    </row>
    <row r="4">
      <c r="A4" s="1"/>
      <c r="B4" s="3" t="s">
        <v>6</v>
      </c>
      <c r="C4" s="4">
        <v>11.38</v>
      </c>
      <c r="D4" s="1">
        <f>IFERROR(__xludf.DUMMYFUNCTION("GOOGLEFINANCE(B4)"),12.84)</f>
        <v>12.84</v>
      </c>
      <c r="E4" s="1">
        <f t="shared" si="1"/>
        <v>1.46</v>
      </c>
      <c r="F4" s="1">
        <f t="shared" si="2"/>
        <v>13</v>
      </c>
    </row>
    <row r="5">
      <c r="A5" s="1"/>
      <c r="B5" s="3" t="s">
        <v>8</v>
      </c>
      <c r="C5" s="4">
        <v>10.97</v>
      </c>
      <c r="D5" s="1">
        <f>IFERROR(__xludf.DUMMYFUNCTION("GOOGLEFINANCE(B5)"),16.0)</f>
        <v>16</v>
      </c>
      <c r="E5" s="1">
        <f t="shared" si="1"/>
        <v>5.03</v>
      </c>
      <c r="F5" s="1">
        <f t="shared" si="2"/>
        <v>46</v>
      </c>
    </row>
    <row r="6">
      <c r="A6" s="1"/>
      <c r="B6" s="3" t="s">
        <v>12</v>
      </c>
      <c r="C6" s="4">
        <v>12.91</v>
      </c>
      <c r="D6" s="1">
        <f>IFERROR(__xludf.DUMMYFUNCTION("GOOGLEFINANCE(B6)"),16.19)</f>
        <v>16.19</v>
      </c>
      <c r="E6" s="1">
        <f t="shared" si="1"/>
        <v>3.28</v>
      </c>
      <c r="F6" s="1">
        <f t="shared" si="2"/>
        <v>26</v>
      </c>
    </row>
    <row r="7">
      <c r="A7" s="2" t="s">
        <v>29</v>
      </c>
      <c r="B7" s="3" t="s">
        <v>30</v>
      </c>
      <c r="C7" s="4">
        <v>4.31</v>
      </c>
      <c r="D7" s="1">
        <f>IFERROR(__xludf.DUMMYFUNCTION("GOOGLEFINANCE(B7)"),5.82)</f>
        <v>5.82</v>
      </c>
      <c r="E7" s="1">
        <f t="shared" si="1"/>
        <v>1.51</v>
      </c>
      <c r="F7" s="1">
        <f t="shared" si="2"/>
        <v>36</v>
      </c>
    </row>
    <row r="8">
      <c r="A8" s="1"/>
      <c r="B8" s="3" t="s">
        <v>31</v>
      </c>
      <c r="C8" s="4">
        <v>15.2</v>
      </c>
      <c r="D8" s="1">
        <f>IFERROR(__xludf.DUMMYFUNCTION("GOOGLEFINANCE(B8)"),14.44)</f>
        <v>14.44</v>
      </c>
      <c r="E8" s="1">
        <f t="shared" si="1"/>
        <v>-0.76</v>
      </c>
      <c r="F8" s="1">
        <f t="shared" si="2"/>
        <v>-5</v>
      </c>
    </row>
    <row r="9">
      <c r="A9" s="1"/>
      <c r="B9" s="3" t="s">
        <v>36</v>
      </c>
      <c r="C9" s="4">
        <v>11.24</v>
      </c>
      <c r="D9" s="1">
        <f>IFERROR(__xludf.DUMMYFUNCTION("GOOGLEFINANCE(B9)"),13.26)</f>
        <v>13.26</v>
      </c>
      <c r="E9" s="1">
        <f t="shared" si="1"/>
        <v>2.02</v>
      </c>
      <c r="F9" s="1">
        <f t="shared" si="2"/>
        <v>18</v>
      </c>
    </row>
    <row r="10">
      <c r="A10" s="1"/>
      <c r="B10" s="3" t="s">
        <v>40</v>
      </c>
      <c r="C10" s="4">
        <v>8.0</v>
      </c>
      <c r="D10" s="1">
        <f>IFERROR(__xludf.DUMMYFUNCTION("GOOGLEFINANCE(B10)"),8.07)</f>
        <v>8.07</v>
      </c>
      <c r="E10" s="1">
        <f t="shared" si="1"/>
        <v>0.07</v>
      </c>
      <c r="F10" s="1">
        <f t="shared" si="2"/>
        <v>1</v>
      </c>
    </row>
    <row r="11">
      <c r="A11" s="1"/>
      <c r="B11" s="3" t="s">
        <v>42</v>
      </c>
      <c r="C11" s="4">
        <v>8.8</v>
      </c>
      <c r="D11" s="1">
        <f>IFERROR(__xludf.DUMMYFUNCTION("GOOGLEFINANCE(B11)"),8.16)</f>
        <v>8.16</v>
      </c>
      <c r="E11" s="1">
        <f t="shared" si="1"/>
        <v>-0.64</v>
      </c>
      <c r="F11" s="1">
        <f t="shared" si="2"/>
        <v>-8</v>
      </c>
    </row>
  </sheetData>
  <conditionalFormatting sqref="E3:E11">
    <cfRule type="cellIs" dxfId="0" priority="1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43"/>
    <col customWidth="1" min="9" max="9" width="20.86"/>
    <col customWidth="1" min="16" max="16" width="16.43"/>
    <col customWidth="1" min="20" max="20" width="20.29"/>
  </cols>
  <sheetData>
    <row r="1">
      <c r="A1" s="5"/>
      <c r="B1" s="5"/>
      <c r="C1" s="5"/>
      <c r="D1" s="7" t="s">
        <v>3</v>
      </c>
      <c r="E1" s="5"/>
      <c r="F1" s="5"/>
      <c r="G1" s="5"/>
      <c r="H1" s="5"/>
      <c r="I1" s="5"/>
      <c r="J1" s="5"/>
      <c r="K1" s="5"/>
      <c r="L1" s="5"/>
      <c r="M1" s="7" t="s">
        <v>5</v>
      </c>
      <c r="N1" s="5"/>
      <c r="O1" s="5"/>
      <c r="P1" s="5"/>
      <c r="Q1" s="5"/>
      <c r="R1" s="9"/>
      <c r="S1" s="9"/>
      <c r="T1" s="9"/>
      <c r="U1" s="9"/>
      <c r="V1" s="9"/>
      <c r="W1" s="9"/>
      <c r="X1" s="9"/>
      <c r="Y1" s="9"/>
      <c r="Z1" s="9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9"/>
      <c r="S2" s="9"/>
      <c r="T2" s="9"/>
      <c r="U2" s="9"/>
      <c r="V2" s="9"/>
      <c r="W2" s="9"/>
      <c r="X2" s="9"/>
      <c r="Y2" s="9"/>
      <c r="Z2" s="9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9"/>
      <c r="S3" s="9"/>
      <c r="T3" s="9"/>
      <c r="U3" s="9"/>
      <c r="V3" s="9"/>
      <c r="W3" s="9"/>
      <c r="X3" s="9"/>
      <c r="Y3" s="9"/>
      <c r="Z3" s="9"/>
    </row>
    <row r="4">
      <c r="A4" s="5"/>
      <c r="B4" s="5"/>
      <c r="C4" s="9"/>
      <c r="D4" s="9"/>
      <c r="E4" s="5"/>
      <c r="F4" s="7"/>
      <c r="G4" s="5"/>
      <c r="H4" s="5"/>
      <c r="I4" s="5"/>
      <c r="J4" s="5"/>
      <c r="K4" s="5"/>
      <c r="L4" s="9"/>
      <c r="M4" s="9"/>
      <c r="N4" s="5"/>
      <c r="O4" s="7"/>
      <c r="P4" s="5"/>
      <c r="Q4" s="5"/>
      <c r="R4" s="9"/>
      <c r="S4" s="9"/>
      <c r="T4" s="9"/>
      <c r="U4" s="9"/>
      <c r="V4" s="9"/>
      <c r="W4" s="9"/>
      <c r="X4" s="9"/>
      <c r="Y4" s="9"/>
      <c r="Z4" s="9"/>
    </row>
    <row r="5">
      <c r="A5" s="7" t="s">
        <v>13</v>
      </c>
      <c r="B5" s="7" t="s">
        <v>14</v>
      </c>
      <c r="C5" s="12" t="s">
        <v>15</v>
      </c>
      <c r="D5" s="12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5"/>
      <c r="J5" s="7" t="s">
        <v>13</v>
      </c>
      <c r="K5" s="7" t="s">
        <v>14</v>
      </c>
      <c r="L5" s="12" t="s">
        <v>15</v>
      </c>
      <c r="M5" s="12" t="s">
        <v>17</v>
      </c>
      <c r="N5" s="7" t="s">
        <v>18</v>
      </c>
      <c r="O5" s="7" t="s">
        <v>19</v>
      </c>
      <c r="P5" s="7" t="s">
        <v>25</v>
      </c>
      <c r="Q5" s="7" t="s">
        <v>21</v>
      </c>
      <c r="R5" s="12" t="s">
        <v>26</v>
      </c>
      <c r="S5" s="9"/>
      <c r="T5" s="9"/>
      <c r="U5" s="9"/>
      <c r="V5" s="9"/>
      <c r="W5" s="9"/>
      <c r="X5" s="9"/>
      <c r="Y5" s="9"/>
      <c r="Z5" s="9"/>
    </row>
    <row r="6">
      <c r="A6" s="5"/>
      <c r="B6" s="5"/>
      <c r="C6" s="9"/>
      <c r="D6" s="9"/>
      <c r="E6" s="5"/>
      <c r="F6" s="7"/>
      <c r="G6" s="5"/>
      <c r="H6" s="5"/>
      <c r="I6" s="5"/>
      <c r="J6" s="5"/>
      <c r="K6" s="5"/>
      <c r="L6" s="9"/>
      <c r="M6" s="9"/>
      <c r="N6" s="5"/>
      <c r="O6" s="7"/>
      <c r="P6" s="5"/>
      <c r="Q6" s="5"/>
      <c r="R6" s="9"/>
      <c r="S6" s="9"/>
      <c r="T6" s="9"/>
      <c r="U6" s="9"/>
      <c r="V6" s="9"/>
      <c r="W6" s="9"/>
      <c r="X6" s="9"/>
      <c r="Y6" s="9"/>
      <c r="Z6" s="9"/>
    </row>
    <row r="7">
      <c r="A7" s="15" t="s">
        <v>28</v>
      </c>
      <c r="B7" s="15">
        <v>49.0</v>
      </c>
      <c r="C7" s="17">
        <v>164.85</v>
      </c>
      <c r="D7" s="19">
        <v>-8109.1</v>
      </c>
      <c r="E7" s="20">
        <v>8540.35</v>
      </c>
      <c r="F7" s="24">
        <f t="shared" ref="F7:F9" si="1">sum(E7+D7)</f>
        <v>431.25</v>
      </c>
      <c r="G7" s="25"/>
      <c r="H7" s="25"/>
      <c r="I7" s="25"/>
      <c r="J7" s="15" t="s">
        <v>47</v>
      </c>
      <c r="K7" s="15">
        <v>3.0</v>
      </c>
      <c r="L7" s="27">
        <v>1503.58</v>
      </c>
      <c r="M7" s="28">
        <v>-4520.69</v>
      </c>
      <c r="N7" s="27">
        <v>4732.91</v>
      </c>
      <c r="O7" s="29">
        <f t="shared" ref="O7:O34" si="2">sum(N7+M7)</f>
        <v>212.22</v>
      </c>
      <c r="P7" s="25"/>
      <c r="Q7" s="25"/>
      <c r="R7" s="25"/>
      <c r="S7" s="30"/>
      <c r="T7" s="30"/>
      <c r="U7" s="9"/>
      <c r="V7" s="9"/>
      <c r="W7" s="9"/>
      <c r="X7" s="9"/>
      <c r="Y7" s="9"/>
      <c r="Z7" s="9"/>
    </row>
    <row r="8">
      <c r="A8" s="15" t="s">
        <v>51</v>
      </c>
      <c r="B8" s="27">
        <v>5.0</v>
      </c>
      <c r="C8" s="31">
        <v>1569.1799</v>
      </c>
      <c r="D8" s="20">
        <v>-7855.84</v>
      </c>
      <c r="E8" s="20">
        <v>8014.74</v>
      </c>
      <c r="F8" s="24">
        <f t="shared" si="1"/>
        <v>158.9</v>
      </c>
      <c r="G8" s="15"/>
      <c r="H8" s="25"/>
      <c r="I8" s="33"/>
      <c r="J8" s="15" t="s">
        <v>52</v>
      </c>
      <c r="K8" s="15">
        <v>6.0</v>
      </c>
      <c r="L8" s="27">
        <v>1035.5</v>
      </c>
      <c r="M8" s="27">
        <v>-6246.28</v>
      </c>
      <c r="N8" s="27">
        <v>6565.89</v>
      </c>
      <c r="O8" s="29">
        <f t="shared" si="2"/>
        <v>319.61</v>
      </c>
      <c r="P8" s="25"/>
      <c r="Q8" s="25"/>
      <c r="R8" s="25"/>
      <c r="S8" s="30"/>
      <c r="T8" s="30"/>
      <c r="U8" s="9"/>
      <c r="V8" s="9"/>
      <c r="W8" s="9"/>
      <c r="X8" s="9"/>
      <c r="Y8" s="9"/>
      <c r="Z8" s="9"/>
    </row>
    <row r="9">
      <c r="A9" s="17" t="s">
        <v>56</v>
      </c>
      <c r="B9" s="17">
        <v>13.0</v>
      </c>
      <c r="C9" s="35">
        <v>361.4699</v>
      </c>
      <c r="D9" s="31">
        <v>-4709.05</v>
      </c>
      <c r="E9" s="20">
        <v>4972.23</v>
      </c>
      <c r="F9" s="24">
        <f t="shared" si="1"/>
        <v>263.18</v>
      </c>
      <c r="G9" s="30"/>
      <c r="H9" s="33"/>
      <c r="I9" s="25"/>
      <c r="J9" s="15" t="s">
        <v>59</v>
      </c>
      <c r="K9" s="27">
        <v>48.0</v>
      </c>
      <c r="L9" s="27">
        <v>284.3399</v>
      </c>
      <c r="M9" s="27">
        <f>-(L9*K9)</f>
        <v>-13648.3152</v>
      </c>
      <c r="N9" s="27">
        <v>16117.84</v>
      </c>
      <c r="O9" s="29">
        <f t="shared" si="2"/>
        <v>2469.5248</v>
      </c>
      <c r="P9" s="25"/>
      <c r="Q9" s="25"/>
      <c r="R9" s="25"/>
      <c r="S9" s="30"/>
      <c r="T9" s="30"/>
      <c r="U9" s="9"/>
      <c r="V9" s="9"/>
      <c r="W9" s="9"/>
      <c r="X9" s="9"/>
      <c r="Y9" s="9"/>
      <c r="Z9" s="9"/>
    </row>
    <row r="10">
      <c r="A10" s="17" t="s">
        <v>56</v>
      </c>
      <c r="B10" s="17">
        <v>24.0</v>
      </c>
      <c r="C10" s="17">
        <v>388.5</v>
      </c>
      <c r="D10" s="30">
        <f>-(B10*C10)</f>
        <v>-9324</v>
      </c>
      <c r="E10" s="20">
        <v>9397.92</v>
      </c>
      <c r="F10" s="24">
        <f>sum(E10+D10)-21</f>
        <v>52.92</v>
      </c>
      <c r="G10" s="30"/>
      <c r="H10" s="25"/>
      <c r="I10" s="30"/>
      <c r="J10" s="15" t="s">
        <v>61</v>
      </c>
      <c r="K10" s="15">
        <v>66.0</v>
      </c>
      <c r="L10" s="15">
        <v>52.5</v>
      </c>
      <c r="M10" s="27">
        <f t="shared" ref="M10:M16" si="3">-(L10*K10)-10.99</f>
        <v>-3475.99</v>
      </c>
      <c r="N10" s="27">
        <v>3474.8</v>
      </c>
      <c r="O10" s="29">
        <f t="shared" si="2"/>
        <v>-1.19</v>
      </c>
      <c r="P10" s="25"/>
      <c r="Q10" s="25"/>
      <c r="R10" s="25"/>
      <c r="S10" s="30"/>
      <c r="T10" s="30"/>
      <c r="Z10" s="9"/>
    </row>
    <row r="11">
      <c r="A11" s="17" t="s">
        <v>56</v>
      </c>
      <c r="B11" s="17">
        <v>12.0</v>
      </c>
      <c r="C11" s="35">
        <v>389.87</v>
      </c>
      <c r="D11" s="20">
        <v>-4688.39</v>
      </c>
      <c r="E11" s="39">
        <v>4884.42</v>
      </c>
      <c r="F11" s="24">
        <f t="shared" ref="F11:F33" si="4">sum(E11+D11)</f>
        <v>196.03</v>
      </c>
      <c r="G11" s="17"/>
      <c r="H11" s="30"/>
      <c r="I11" s="33"/>
      <c r="J11" s="15" t="s">
        <v>52</v>
      </c>
      <c r="K11" s="27">
        <v>4.0</v>
      </c>
      <c r="L11" s="27">
        <v>1123.5</v>
      </c>
      <c r="M11" s="27">
        <f t="shared" si="3"/>
        <v>-4504.99</v>
      </c>
      <c r="N11" s="27">
        <v>4604.99</v>
      </c>
      <c r="O11" s="29">
        <f t="shared" si="2"/>
        <v>100</v>
      </c>
      <c r="P11" s="15"/>
      <c r="Q11" s="25"/>
      <c r="R11" s="25"/>
      <c r="S11" s="30"/>
      <c r="T11" s="30"/>
      <c r="Z11" s="9"/>
    </row>
    <row r="12">
      <c r="A12" s="15" t="s">
        <v>62</v>
      </c>
      <c r="B12" s="15">
        <v>20.0</v>
      </c>
      <c r="C12" s="35">
        <v>276.3299</v>
      </c>
      <c r="D12" s="20">
        <v>-5536.54</v>
      </c>
      <c r="E12" s="20">
        <v>6787.11</v>
      </c>
      <c r="F12" s="24">
        <f t="shared" si="4"/>
        <v>1250.57</v>
      </c>
      <c r="G12" s="33"/>
      <c r="H12" s="33"/>
      <c r="I12" s="30"/>
      <c r="J12" s="15" t="s">
        <v>56</v>
      </c>
      <c r="K12" s="27">
        <v>12.0</v>
      </c>
      <c r="L12" s="27">
        <v>388.47</v>
      </c>
      <c r="M12" s="27">
        <f t="shared" si="3"/>
        <v>-4672.63</v>
      </c>
      <c r="N12" s="27">
        <v>4897.26</v>
      </c>
      <c r="O12" s="29">
        <f t="shared" si="2"/>
        <v>224.63</v>
      </c>
      <c r="P12" s="15"/>
      <c r="Q12" s="25"/>
      <c r="R12" s="25"/>
      <c r="S12" s="30"/>
      <c r="T12" s="30"/>
      <c r="Z12" s="9"/>
    </row>
    <row r="13">
      <c r="A13" s="15" t="s">
        <v>28</v>
      </c>
      <c r="B13" s="15">
        <v>46.0</v>
      </c>
      <c r="C13" s="17">
        <v>186.6</v>
      </c>
      <c r="D13" s="20">
        <v>-8611.0</v>
      </c>
      <c r="E13" s="39">
        <v>8688.53</v>
      </c>
      <c r="F13" s="24">
        <f t="shared" si="4"/>
        <v>77.53</v>
      </c>
      <c r="G13" s="30"/>
      <c r="H13" s="30"/>
      <c r="I13" s="25"/>
      <c r="J13" s="15" t="s">
        <v>63</v>
      </c>
      <c r="K13" s="15">
        <v>110.0</v>
      </c>
      <c r="L13" s="15">
        <v>26.8755</v>
      </c>
      <c r="M13" s="27">
        <f t="shared" si="3"/>
        <v>-2967.295</v>
      </c>
      <c r="N13" s="27">
        <v>3507.8</v>
      </c>
      <c r="O13" s="29">
        <f t="shared" si="2"/>
        <v>540.505</v>
      </c>
      <c r="P13" s="15"/>
      <c r="Q13" s="25"/>
      <c r="R13" s="25"/>
      <c r="S13" s="30"/>
      <c r="T13" s="30"/>
      <c r="Z13" s="9"/>
    </row>
    <row r="14">
      <c r="A14" s="15" t="s">
        <v>52</v>
      </c>
      <c r="B14" s="35">
        <v>7.0</v>
      </c>
      <c r="C14" s="20">
        <v>1032.6299</v>
      </c>
      <c r="D14" s="20">
        <v>-7238.35</v>
      </c>
      <c r="E14" s="20">
        <v>7661.87</v>
      </c>
      <c r="F14" s="24">
        <f t="shared" si="4"/>
        <v>423.52</v>
      </c>
      <c r="G14" s="25"/>
      <c r="H14" s="25"/>
      <c r="I14" s="25"/>
      <c r="J14" s="15" t="s">
        <v>64</v>
      </c>
      <c r="K14" s="15">
        <v>323.0</v>
      </c>
      <c r="L14" s="15">
        <v>6.17</v>
      </c>
      <c r="M14" s="27">
        <f t="shared" si="3"/>
        <v>-2003.9</v>
      </c>
      <c r="N14" s="27">
        <v>2438.01</v>
      </c>
      <c r="O14" s="29">
        <f t="shared" si="2"/>
        <v>434.11</v>
      </c>
      <c r="P14" s="15"/>
      <c r="Q14" s="25"/>
      <c r="R14" s="25"/>
      <c r="S14" s="30"/>
      <c r="T14" s="30"/>
      <c r="Z14" s="9"/>
    </row>
    <row r="15">
      <c r="A15" s="15" t="s">
        <v>71</v>
      </c>
      <c r="B15" s="15">
        <v>11.0</v>
      </c>
      <c r="C15" s="20">
        <v>1075.0</v>
      </c>
      <c r="D15" s="20">
        <v>-11853.96</v>
      </c>
      <c r="E15" s="20">
        <v>12089.89</v>
      </c>
      <c r="F15" s="24">
        <f t="shared" si="4"/>
        <v>235.93</v>
      </c>
      <c r="G15" s="20"/>
      <c r="H15" s="25"/>
      <c r="I15" s="25"/>
      <c r="J15" s="15" t="s">
        <v>72</v>
      </c>
      <c r="K15" s="15">
        <v>17.0</v>
      </c>
      <c r="L15" s="27">
        <v>138.62</v>
      </c>
      <c r="M15" s="27">
        <f t="shared" si="3"/>
        <v>-2367.53</v>
      </c>
      <c r="N15" s="27">
        <v>2584.55</v>
      </c>
      <c r="O15" s="29">
        <f t="shared" si="2"/>
        <v>217.02</v>
      </c>
      <c r="P15" s="25"/>
      <c r="Q15" s="25"/>
      <c r="R15" s="25"/>
      <c r="S15" s="30"/>
      <c r="T15" s="30"/>
      <c r="Z15" s="9"/>
    </row>
    <row r="16">
      <c r="A16" s="17" t="s">
        <v>73</v>
      </c>
      <c r="B16" s="17">
        <v>8.0</v>
      </c>
      <c r="C16" s="17">
        <v>1134.0</v>
      </c>
      <c r="D16" s="17">
        <v>-9097.0</v>
      </c>
      <c r="E16" s="39">
        <v>9544.08</v>
      </c>
      <c r="F16" s="24">
        <f t="shared" si="4"/>
        <v>447.08</v>
      </c>
      <c r="G16" s="42"/>
      <c r="H16" s="25"/>
      <c r="I16" s="33"/>
      <c r="J16" s="15" t="s">
        <v>74</v>
      </c>
      <c r="K16" s="15">
        <v>13.0</v>
      </c>
      <c r="L16" s="27">
        <v>149.0</v>
      </c>
      <c r="M16" s="27">
        <f t="shared" si="3"/>
        <v>-1947.99</v>
      </c>
      <c r="N16" s="27">
        <v>2980.01</v>
      </c>
      <c r="O16" s="29">
        <f t="shared" si="2"/>
        <v>1032.02</v>
      </c>
      <c r="P16" s="15"/>
      <c r="Q16" s="25"/>
      <c r="R16" s="25"/>
      <c r="S16" s="30"/>
      <c r="T16" s="17" t="s">
        <v>29</v>
      </c>
      <c r="Z16" s="9"/>
    </row>
    <row r="17">
      <c r="A17" s="17" t="s">
        <v>62</v>
      </c>
      <c r="B17" s="17">
        <v>11.0</v>
      </c>
      <c r="C17" s="44">
        <v>298.4999</v>
      </c>
      <c r="D17" s="39">
        <f t="shared" ref="D17:D19" si="5">-(C17*B17)-10.99</f>
        <v>-3294.4889</v>
      </c>
      <c r="E17" s="39">
        <v>3560.82</v>
      </c>
      <c r="F17" s="24">
        <f t="shared" si="4"/>
        <v>266.3311</v>
      </c>
      <c r="G17" s="46"/>
      <c r="H17" s="33"/>
      <c r="I17" s="33"/>
      <c r="J17" s="15" t="s">
        <v>62</v>
      </c>
      <c r="K17" s="15">
        <v>17.0</v>
      </c>
      <c r="L17" s="27">
        <v>284.7395</v>
      </c>
      <c r="M17" s="27">
        <f>-(L17*K17)-20.99</f>
        <v>-4861.5615</v>
      </c>
      <c r="N17" s="27">
        <v>5757.9</v>
      </c>
      <c r="O17" s="29">
        <f t="shared" si="2"/>
        <v>896.3385</v>
      </c>
      <c r="P17" s="15"/>
      <c r="Q17" s="15"/>
      <c r="R17" s="15"/>
      <c r="S17" s="30"/>
      <c r="T17" s="30"/>
      <c r="Z17" s="9"/>
    </row>
    <row r="18">
      <c r="A18" s="17" t="s">
        <v>28</v>
      </c>
      <c r="B18" s="17">
        <v>20.0</v>
      </c>
      <c r="C18" s="17">
        <v>190.7</v>
      </c>
      <c r="D18" s="39">
        <f t="shared" si="5"/>
        <v>-3824.99</v>
      </c>
      <c r="E18" s="39">
        <v>4099.99</v>
      </c>
      <c r="F18" s="24">
        <f t="shared" si="4"/>
        <v>275</v>
      </c>
      <c r="G18" s="46"/>
      <c r="H18" s="33"/>
      <c r="I18" s="33"/>
      <c r="J18" s="15" t="s">
        <v>63</v>
      </c>
      <c r="K18" s="15">
        <v>54.0</v>
      </c>
      <c r="L18" s="27">
        <v>34.8599</v>
      </c>
      <c r="M18" s="27">
        <f t="shared" ref="M18:M29" si="6">-(L18*K18)-10.99</f>
        <v>-1893.4246</v>
      </c>
      <c r="N18" s="27">
        <v>2212.66</v>
      </c>
      <c r="O18" s="29">
        <f t="shared" si="2"/>
        <v>319.2354</v>
      </c>
      <c r="P18" s="15"/>
      <c r="Q18" s="25"/>
      <c r="R18" s="25"/>
      <c r="S18" s="30"/>
      <c r="T18" s="30"/>
      <c r="Z18" s="9"/>
    </row>
    <row r="19">
      <c r="A19" s="17" t="s">
        <v>78</v>
      </c>
      <c r="B19" s="17">
        <v>4.0</v>
      </c>
      <c r="C19" s="39">
        <v>1234.0</v>
      </c>
      <c r="D19" s="39">
        <f t="shared" si="5"/>
        <v>-4946.99</v>
      </c>
      <c r="E19" s="39">
        <v>5030.46</v>
      </c>
      <c r="F19" s="24">
        <f t="shared" si="4"/>
        <v>83.47</v>
      </c>
      <c r="G19" s="33"/>
      <c r="H19" s="33"/>
      <c r="I19" s="33"/>
      <c r="J19" s="15" t="s">
        <v>79</v>
      </c>
      <c r="K19" s="15">
        <v>34.0</v>
      </c>
      <c r="L19" s="48">
        <v>148.9641</v>
      </c>
      <c r="M19" s="27">
        <f t="shared" si="6"/>
        <v>-5075.7694</v>
      </c>
      <c r="N19" s="27">
        <v>5603.37</v>
      </c>
      <c r="O19" s="29">
        <f t="shared" si="2"/>
        <v>527.6006</v>
      </c>
      <c r="P19" s="15"/>
      <c r="Q19" s="15"/>
      <c r="R19" s="15" t="s">
        <v>80</v>
      </c>
      <c r="S19" s="17" t="s">
        <v>81</v>
      </c>
      <c r="T19" s="17" t="s">
        <v>82</v>
      </c>
      <c r="Z19" s="9"/>
    </row>
    <row r="20">
      <c r="A20" s="17" t="s">
        <v>64</v>
      </c>
      <c r="B20" s="17">
        <v>828.0</v>
      </c>
      <c r="C20" s="39">
        <v>6.07</v>
      </c>
      <c r="D20" s="39">
        <f>-(C20*B20:B32)-10.99</f>
        <v>-5036.95</v>
      </c>
      <c r="E20" s="39">
        <v>6307.62</v>
      </c>
      <c r="F20" s="24">
        <f t="shared" si="4"/>
        <v>1270.67</v>
      </c>
      <c r="G20" s="46"/>
      <c r="H20" s="33"/>
      <c r="I20" s="33"/>
      <c r="J20" s="15" t="s">
        <v>83</v>
      </c>
      <c r="K20" s="15">
        <v>58.0</v>
      </c>
      <c r="L20" s="27">
        <v>47.829</v>
      </c>
      <c r="M20" s="27">
        <f t="shared" si="6"/>
        <v>-2785.072</v>
      </c>
      <c r="N20" s="27">
        <v>2775.75</v>
      </c>
      <c r="O20" s="29">
        <f t="shared" si="2"/>
        <v>-9.322</v>
      </c>
      <c r="P20" s="15"/>
      <c r="Q20" s="15"/>
      <c r="R20" s="25"/>
      <c r="S20" s="30"/>
      <c r="T20" s="30"/>
      <c r="Z20" s="9"/>
    </row>
    <row r="21">
      <c r="A21" s="46" t="s">
        <v>85</v>
      </c>
      <c r="B21" s="46">
        <v>2.0</v>
      </c>
      <c r="C21" s="39">
        <v>1866.0</v>
      </c>
      <c r="D21" s="39">
        <f t="shared" ref="D21:D27" si="7">-(C21*B21)-10.99</f>
        <v>-3742.99</v>
      </c>
      <c r="E21" s="39">
        <v>3851.99</v>
      </c>
      <c r="F21" s="24">
        <f t="shared" si="4"/>
        <v>109</v>
      </c>
      <c r="G21" s="46"/>
      <c r="H21" s="33"/>
      <c r="I21" s="33"/>
      <c r="J21" s="15" t="s">
        <v>86</v>
      </c>
      <c r="K21" s="15">
        <v>2.0</v>
      </c>
      <c r="L21" s="27">
        <v>1932.0333</v>
      </c>
      <c r="M21" s="27">
        <f t="shared" si="6"/>
        <v>-3875.0566</v>
      </c>
      <c r="N21" s="39">
        <v>3848.05</v>
      </c>
      <c r="O21" s="29">
        <f t="shared" si="2"/>
        <v>-27.0066</v>
      </c>
      <c r="P21" s="15"/>
      <c r="Q21" s="25"/>
      <c r="R21" s="15"/>
      <c r="S21" s="30"/>
      <c r="T21" s="30"/>
      <c r="Z21" s="9"/>
    </row>
    <row r="22">
      <c r="A22" s="17" t="s">
        <v>87</v>
      </c>
      <c r="B22" s="17">
        <v>29.0</v>
      </c>
      <c r="C22" s="39">
        <v>154.64</v>
      </c>
      <c r="D22" s="39">
        <f t="shared" si="7"/>
        <v>-4495.55</v>
      </c>
      <c r="E22" s="39">
        <v>4542.99</v>
      </c>
      <c r="F22" s="24">
        <f t="shared" si="4"/>
        <v>47.44</v>
      </c>
      <c r="G22" s="33"/>
      <c r="H22" s="33"/>
      <c r="I22" s="46"/>
      <c r="J22" s="15" t="s">
        <v>79</v>
      </c>
      <c r="K22" s="15">
        <v>16.0</v>
      </c>
      <c r="L22" s="27">
        <v>169.3799</v>
      </c>
      <c r="M22" s="27">
        <f t="shared" si="6"/>
        <v>-2721.0684</v>
      </c>
      <c r="N22" s="39">
        <v>3109.26</v>
      </c>
      <c r="O22" s="29">
        <f t="shared" si="2"/>
        <v>388.1916</v>
      </c>
      <c r="P22" s="46"/>
      <c r="Q22" s="50"/>
      <c r="R22" s="50"/>
      <c r="S22" s="50"/>
      <c r="T22" s="30"/>
      <c r="Z22" s="9"/>
    </row>
    <row r="23">
      <c r="A23" s="17" t="s">
        <v>62</v>
      </c>
      <c r="B23" s="17">
        <v>41.0</v>
      </c>
      <c r="C23" s="39">
        <v>285.0</v>
      </c>
      <c r="D23" s="39">
        <f t="shared" si="7"/>
        <v>-11695.99</v>
      </c>
      <c r="E23" s="39">
        <v>12290.3</v>
      </c>
      <c r="F23" s="24">
        <f t="shared" si="4"/>
        <v>594.31</v>
      </c>
      <c r="G23" s="46"/>
      <c r="H23" s="46"/>
      <c r="I23" s="46"/>
      <c r="J23" s="15" t="s">
        <v>56</v>
      </c>
      <c r="K23" s="15">
        <v>10.0</v>
      </c>
      <c r="L23" s="15">
        <v>391.7168</v>
      </c>
      <c r="M23" s="27">
        <f t="shared" si="6"/>
        <v>-3928.158</v>
      </c>
      <c r="N23" s="39">
        <v>3725.02</v>
      </c>
      <c r="O23" s="29">
        <f t="shared" si="2"/>
        <v>-203.138</v>
      </c>
      <c r="P23" s="15"/>
      <c r="Q23" s="25"/>
      <c r="R23" s="15">
        <v>369.0</v>
      </c>
      <c r="S23" s="33"/>
      <c r="T23" s="30"/>
      <c r="Z23" s="9"/>
    </row>
    <row r="24">
      <c r="A24" s="17" t="s">
        <v>89</v>
      </c>
      <c r="B24" s="17">
        <v>17.0</v>
      </c>
      <c r="C24" s="39">
        <v>139.0</v>
      </c>
      <c r="D24" s="39">
        <f t="shared" si="7"/>
        <v>-2373.99</v>
      </c>
      <c r="E24" s="39">
        <v>2387.0</v>
      </c>
      <c r="F24" s="24">
        <f t="shared" si="4"/>
        <v>13.01</v>
      </c>
      <c r="G24" s="46"/>
      <c r="H24" s="46"/>
      <c r="I24" s="46"/>
      <c r="J24" s="15" t="s">
        <v>90</v>
      </c>
      <c r="K24" s="15">
        <v>29.0</v>
      </c>
      <c r="L24" s="27">
        <v>85.16</v>
      </c>
      <c r="M24" s="27">
        <f t="shared" si="6"/>
        <v>-2480.63</v>
      </c>
      <c r="N24" s="39">
        <v>2420.43</v>
      </c>
      <c r="O24" s="29">
        <f t="shared" si="2"/>
        <v>-60.2</v>
      </c>
      <c r="P24" s="50"/>
      <c r="Q24" s="50"/>
      <c r="R24" s="15" t="s">
        <v>29</v>
      </c>
      <c r="S24" s="33"/>
      <c r="T24" s="30"/>
      <c r="U24" s="12"/>
      <c r="V24" s="12"/>
      <c r="W24" s="9"/>
      <c r="X24" s="9"/>
      <c r="Y24" s="9"/>
      <c r="Z24" s="9"/>
    </row>
    <row r="25">
      <c r="A25" s="17" t="s">
        <v>63</v>
      </c>
      <c r="B25" s="17">
        <v>51.0</v>
      </c>
      <c r="C25" s="39">
        <v>39.35</v>
      </c>
      <c r="D25" s="39">
        <f t="shared" si="7"/>
        <v>-2017.84</v>
      </c>
      <c r="E25" s="39">
        <v>2081.53</v>
      </c>
      <c r="F25" s="24">
        <f t="shared" si="4"/>
        <v>63.69</v>
      </c>
      <c r="G25" s="46"/>
      <c r="H25" s="46"/>
      <c r="I25" s="33"/>
      <c r="J25" s="15" t="s">
        <v>93</v>
      </c>
      <c r="K25" s="15">
        <v>400.0</v>
      </c>
      <c r="L25" s="27">
        <v>6.83</v>
      </c>
      <c r="M25" s="27">
        <f t="shared" si="6"/>
        <v>-2742.99</v>
      </c>
      <c r="N25" s="20">
        <v>2759.99</v>
      </c>
      <c r="O25" s="29">
        <f t="shared" si="2"/>
        <v>17</v>
      </c>
      <c r="P25" s="15"/>
      <c r="Q25" s="25"/>
      <c r="R25" s="50"/>
      <c r="S25" s="30"/>
      <c r="T25" s="30"/>
      <c r="U25" s="12"/>
      <c r="V25" s="9"/>
      <c r="W25" s="9"/>
      <c r="X25" s="9"/>
      <c r="Y25" s="9"/>
      <c r="Z25" s="9"/>
    </row>
    <row r="26">
      <c r="A26" s="17" t="s">
        <v>95</v>
      </c>
      <c r="B26" s="17">
        <v>30.0</v>
      </c>
      <c r="C26" s="39">
        <v>178.5447</v>
      </c>
      <c r="D26" s="39">
        <f t="shared" si="7"/>
        <v>-5367.331</v>
      </c>
      <c r="E26" s="39">
        <v>5378.87</v>
      </c>
      <c r="F26" s="24">
        <f t="shared" si="4"/>
        <v>11.539</v>
      </c>
      <c r="G26" s="46"/>
      <c r="H26" s="33"/>
      <c r="I26" s="50"/>
      <c r="J26" s="15" t="s">
        <v>62</v>
      </c>
      <c r="K26" s="15">
        <v>34.0</v>
      </c>
      <c r="L26" s="48">
        <v>259.0</v>
      </c>
      <c r="M26" s="27">
        <f t="shared" si="6"/>
        <v>-8816.99</v>
      </c>
      <c r="N26" s="39">
        <v>10903.82</v>
      </c>
      <c r="O26" s="29">
        <f t="shared" si="2"/>
        <v>2086.83</v>
      </c>
      <c r="P26" s="15"/>
      <c r="Q26" s="25"/>
      <c r="R26" s="33"/>
      <c r="S26" s="30"/>
      <c r="T26" s="30"/>
      <c r="U26" s="9"/>
      <c r="V26" s="9"/>
      <c r="W26" s="9"/>
      <c r="X26" s="9"/>
      <c r="Y26" s="9"/>
      <c r="Z26" s="9"/>
    </row>
    <row r="27">
      <c r="A27" s="46" t="s">
        <v>96</v>
      </c>
      <c r="B27" s="17">
        <v>112.0</v>
      </c>
      <c r="C27" s="39">
        <v>26.6785</v>
      </c>
      <c r="D27" s="39">
        <f t="shared" si="7"/>
        <v>-2998.982</v>
      </c>
      <c r="E27" s="39">
        <v>2978.65</v>
      </c>
      <c r="F27" s="24">
        <f t="shared" si="4"/>
        <v>-20.332</v>
      </c>
      <c r="G27" s="33"/>
      <c r="H27" s="33"/>
      <c r="I27" s="33"/>
      <c r="J27" s="15" t="s">
        <v>64</v>
      </c>
      <c r="K27" s="15">
        <v>119.0</v>
      </c>
      <c r="L27" s="27">
        <v>16.47</v>
      </c>
      <c r="M27" s="27">
        <f t="shared" si="6"/>
        <v>-1970.92</v>
      </c>
      <c r="N27" s="27"/>
      <c r="O27" s="29">
        <f t="shared" si="2"/>
        <v>-1970.92</v>
      </c>
      <c r="P27" s="15">
        <f>IFERROR(__xludf.DUMMYFUNCTION("GOOGLEFINANCE(""cron"")"),6.7)</f>
        <v>6.7</v>
      </c>
      <c r="Q27" s="29">
        <f t="shared" ref="Q27:Q34" si="8">(P27*K27)+O27-20.99</f>
        <v>-1194.61</v>
      </c>
      <c r="R27" s="50"/>
      <c r="S27" s="24">
        <f t="shared" ref="S27:S29" si="9">O26-Q26</f>
        <v>2086.83</v>
      </c>
      <c r="T27" s="30"/>
      <c r="U27" s="9"/>
      <c r="V27" s="9"/>
      <c r="W27" s="9"/>
      <c r="X27" s="9"/>
      <c r="Y27" s="9"/>
      <c r="Z27" s="9"/>
    </row>
    <row r="28">
      <c r="A28" s="46" t="s">
        <v>73</v>
      </c>
      <c r="B28" s="17">
        <v>8.0</v>
      </c>
      <c r="C28" s="39">
        <v>1243.71</v>
      </c>
      <c r="D28" s="39">
        <f t="shared" ref="D28:D49" si="10">-(C28*B28)</f>
        <v>-9949.68</v>
      </c>
      <c r="E28" s="39">
        <v>9928.72</v>
      </c>
      <c r="F28" s="24">
        <f t="shared" si="4"/>
        <v>-20.96</v>
      </c>
      <c r="G28" s="46"/>
      <c r="H28" s="33"/>
      <c r="I28" s="33"/>
      <c r="J28" s="15" t="s">
        <v>93</v>
      </c>
      <c r="K28" s="15">
        <v>400.0</v>
      </c>
      <c r="L28" s="27">
        <v>7.35</v>
      </c>
      <c r="M28" s="27">
        <f t="shared" si="6"/>
        <v>-2950.99</v>
      </c>
      <c r="N28" s="27"/>
      <c r="O28" s="29">
        <f t="shared" si="2"/>
        <v>-2950.99</v>
      </c>
      <c r="P28" s="15">
        <f>IFERROR(__xludf.DUMMYFUNCTION("GOOGLEFINANCE(""apha"")"),4.04)</f>
        <v>4.04</v>
      </c>
      <c r="Q28" s="29">
        <f t="shared" si="8"/>
        <v>-1355.98</v>
      </c>
      <c r="R28" s="50"/>
      <c r="S28" s="24">
        <f t="shared" si="9"/>
        <v>-776.31</v>
      </c>
      <c r="T28" s="30"/>
      <c r="U28" s="9"/>
      <c r="V28" s="9"/>
      <c r="W28" s="9"/>
      <c r="X28" s="9"/>
      <c r="Y28" s="9"/>
      <c r="Z28" s="9"/>
    </row>
    <row r="29">
      <c r="A29" s="17" t="s">
        <v>97</v>
      </c>
      <c r="B29" s="17">
        <v>18.0</v>
      </c>
      <c r="C29" s="39">
        <v>134.1122</v>
      </c>
      <c r="D29" s="39">
        <f t="shared" si="10"/>
        <v>-2414.0196</v>
      </c>
      <c r="E29" s="39">
        <v>2465.17</v>
      </c>
      <c r="F29" s="24">
        <f t="shared" si="4"/>
        <v>51.1504</v>
      </c>
      <c r="G29" s="46"/>
      <c r="H29" s="33"/>
      <c r="I29" s="46"/>
      <c r="J29" s="15" t="s">
        <v>98</v>
      </c>
      <c r="K29" s="15">
        <v>935.0</v>
      </c>
      <c r="L29" s="27">
        <v>6.87</v>
      </c>
      <c r="M29" s="27">
        <f t="shared" si="6"/>
        <v>-6434.44</v>
      </c>
      <c r="N29" s="27"/>
      <c r="O29" s="29">
        <f t="shared" si="2"/>
        <v>-6434.44</v>
      </c>
      <c r="P29" s="15" t="str">
        <f>IFERROR(__xludf.DUMMYFUNCTION("GOOGLEFINANCE(""ctst"")"),"#N/A")</f>
        <v>#N/A</v>
      </c>
      <c r="Q29" s="25" t="str">
        <f t="shared" si="8"/>
        <v>#N/A</v>
      </c>
      <c r="R29" s="50"/>
      <c r="S29" s="24">
        <f t="shared" si="9"/>
        <v>-1595.01</v>
      </c>
      <c r="T29" s="30"/>
      <c r="U29" s="9"/>
      <c r="V29" s="9"/>
      <c r="W29" s="9"/>
      <c r="X29" s="9"/>
      <c r="Y29" s="9"/>
      <c r="Z29" s="9"/>
    </row>
    <row r="30">
      <c r="A30" s="46" t="s">
        <v>99</v>
      </c>
      <c r="B30" s="17">
        <v>42.0</v>
      </c>
      <c r="C30" s="39">
        <v>63.76</v>
      </c>
      <c r="D30" s="39">
        <f t="shared" si="10"/>
        <v>-2677.92</v>
      </c>
      <c r="E30" s="39">
        <v>2636.87</v>
      </c>
      <c r="F30" s="24">
        <f t="shared" si="4"/>
        <v>-41.05</v>
      </c>
      <c r="G30" s="46" t="s">
        <v>29</v>
      </c>
      <c r="H30" s="33"/>
      <c r="I30" s="53"/>
      <c r="J30" s="53" t="s">
        <v>100</v>
      </c>
      <c r="K30" s="54">
        <v>137.0</v>
      </c>
      <c r="L30" s="55">
        <v>14.9</v>
      </c>
      <c r="M30" s="56">
        <f t="shared" ref="M30:M34" si="11">-(L30*K30)</f>
        <v>-2041.3</v>
      </c>
      <c r="N30" s="56"/>
      <c r="O30" s="57">
        <f t="shared" si="2"/>
        <v>-2041.3</v>
      </c>
      <c r="P30" s="53">
        <f>IFERROR(__xludf.DUMMYFUNCTION("GOOGLEFINANCE(""rvlv"")"),14.59)</f>
        <v>14.59</v>
      </c>
      <c r="Q30" s="58">
        <f t="shared" si="8"/>
        <v>-63.46</v>
      </c>
      <c r="R30" s="59"/>
      <c r="S30" s="60"/>
      <c r="T30" s="60"/>
      <c r="U30" s="9"/>
      <c r="V30" s="9"/>
      <c r="W30" s="9"/>
      <c r="X30" s="9"/>
      <c r="Y30" s="9"/>
      <c r="Z30" s="9"/>
    </row>
    <row r="31">
      <c r="A31" s="46" t="s">
        <v>28</v>
      </c>
      <c r="B31" s="17">
        <v>11.0</v>
      </c>
      <c r="C31" s="39">
        <v>209.0</v>
      </c>
      <c r="D31" s="39">
        <f t="shared" si="10"/>
        <v>-2299</v>
      </c>
      <c r="E31" s="39">
        <v>2235.65</v>
      </c>
      <c r="F31" s="24">
        <f t="shared" si="4"/>
        <v>-63.35</v>
      </c>
      <c r="G31" s="46" t="s">
        <v>29</v>
      </c>
      <c r="H31" s="33"/>
      <c r="I31" s="53"/>
      <c r="J31" s="53" t="s">
        <v>102</v>
      </c>
      <c r="K31" s="54">
        <v>23.0</v>
      </c>
      <c r="L31" s="55">
        <v>171.0</v>
      </c>
      <c r="M31" s="56">
        <f t="shared" si="11"/>
        <v>-3933</v>
      </c>
      <c r="N31" s="56"/>
      <c r="O31" s="57">
        <f t="shared" si="2"/>
        <v>-3933</v>
      </c>
      <c r="P31" s="53">
        <f>IFERROR(__xludf.DUMMYFUNCTION("GOOGLEFINANCE(""BA"")"),137.53)</f>
        <v>137.53</v>
      </c>
      <c r="Q31" s="58">
        <f t="shared" si="8"/>
        <v>-790.8</v>
      </c>
      <c r="R31" s="61"/>
      <c r="S31" s="60"/>
      <c r="T31" s="60"/>
      <c r="U31" s="9"/>
      <c r="V31" s="9"/>
      <c r="W31" s="9"/>
      <c r="X31" s="9"/>
      <c r="Y31" s="9"/>
      <c r="Z31" s="9"/>
    </row>
    <row r="32">
      <c r="A32" s="46" t="s">
        <v>63</v>
      </c>
      <c r="B32" s="17">
        <v>53.0</v>
      </c>
      <c r="C32" s="39">
        <v>45.67</v>
      </c>
      <c r="D32" s="39">
        <f t="shared" si="10"/>
        <v>-2420.51</v>
      </c>
      <c r="E32" s="39">
        <v>2536.64</v>
      </c>
      <c r="F32" s="24">
        <f t="shared" si="4"/>
        <v>116.13</v>
      </c>
      <c r="G32" s="46"/>
      <c r="H32" s="33"/>
      <c r="I32" s="62"/>
      <c r="J32" s="63" t="s">
        <v>103</v>
      </c>
      <c r="K32" s="63">
        <v>7.0</v>
      </c>
      <c r="L32" s="64">
        <v>157.0</v>
      </c>
      <c r="M32" s="65">
        <f t="shared" si="11"/>
        <v>-1099</v>
      </c>
      <c r="N32" s="66"/>
      <c r="O32" s="67">
        <f t="shared" si="2"/>
        <v>-1099</v>
      </c>
      <c r="P32" s="68">
        <f>IFERROR(__xludf.DUMMYFUNCTION("GOOGLEFINANCE(""fb"")"),234.91)</f>
        <v>234.91</v>
      </c>
      <c r="Q32" s="67">
        <f t="shared" si="8"/>
        <v>524.38</v>
      </c>
      <c r="R32" s="61">
        <v>1.28</v>
      </c>
      <c r="S32" s="60"/>
      <c r="T32" s="60"/>
      <c r="U32" s="9"/>
      <c r="V32" s="9"/>
      <c r="W32" s="9"/>
      <c r="X32" s="9"/>
      <c r="Y32" s="9"/>
      <c r="Z32" s="9"/>
    </row>
    <row r="33">
      <c r="A33" s="46" t="s">
        <v>104</v>
      </c>
      <c r="B33" s="17">
        <v>20.0</v>
      </c>
      <c r="C33" s="39">
        <v>130.0</v>
      </c>
      <c r="D33" s="39">
        <f t="shared" si="10"/>
        <v>-2600</v>
      </c>
      <c r="E33" s="39">
        <v>2654.81</v>
      </c>
      <c r="F33" s="24">
        <f t="shared" si="4"/>
        <v>54.81</v>
      </c>
      <c r="G33" s="46"/>
      <c r="H33" s="33"/>
      <c r="I33" s="53"/>
      <c r="J33" s="63" t="s">
        <v>105</v>
      </c>
      <c r="K33" s="63">
        <v>40.0</v>
      </c>
      <c r="L33" s="64">
        <v>12.29</v>
      </c>
      <c r="M33" s="65">
        <f t="shared" si="11"/>
        <v>-491.6</v>
      </c>
      <c r="N33" s="66"/>
      <c r="O33" s="67">
        <f t="shared" si="2"/>
        <v>-491.6</v>
      </c>
      <c r="P33" s="68">
        <f>IFERROR(__xludf.DUMMYFUNCTION("GOOGLEFINANCE(""ccl"")"),14.46)</f>
        <v>14.46</v>
      </c>
      <c r="Q33" s="67">
        <f t="shared" si="8"/>
        <v>65.81</v>
      </c>
      <c r="R33" s="61">
        <v>1.28</v>
      </c>
      <c r="S33" s="60"/>
      <c r="T33" s="60"/>
      <c r="U33" s="9"/>
      <c r="V33" s="9"/>
      <c r="W33" s="9"/>
      <c r="X33" s="9"/>
      <c r="Y33" s="9"/>
      <c r="Z33" s="9"/>
    </row>
    <row r="34">
      <c r="A34" s="46" t="s">
        <v>93</v>
      </c>
      <c r="B34" s="17">
        <v>360.0</v>
      </c>
      <c r="C34" s="39">
        <v>6.8</v>
      </c>
      <c r="D34" s="39">
        <f t="shared" si="10"/>
        <v>-2448</v>
      </c>
      <c r="E34" s="39">
        <v>2430.79</v>
      </c>
      <c r="F34" s="24">
        <f t="shared" ref="F34:F35" si="12">sum(E34+D34)+(-20.99)</f>
        <v>-38.2</v>
      </c>
      <c r="G34" s="46"/>
      <c r="H34" s="33"/>
      <c r="I34" s="59"/>
      <c r="J34" s="63" t="s">
        <v>106</v>
      </c>
      <c r="K34" s="63">
        <v>16.0</v>
      </c>
      <c r="L34" s="64">
        <v>30.0</v>
      </c>
      <c r="M34" s="65">
        <f t="shared" si="11"/>
        <v>-480</v>
      </c>
      <c r="N34" s="66"/>
      <c r="O34" s="67">
        <f t="shared" si="2"/>
        <v>-480</v>
      </c>
      <c r="P34" s="68">
        <f>IFERROR(__xludf.DUMMYFUNCTION("GOOGLEFINANCE(""RCL"")"),43.14)</f>
        <v>43.14</v>
      </c>
      <c r="Q34" s="67">
        <f t="shared" si="8"/>
        <v>189.25</v>
      </c>
      <c r="R34" s="69"/>
      <c r="S34" s="60"/>
      <c r="T34" s="60"/>
      <c r="U34" s="9"/>
      <c r="V34" s="9"/>
      <c r="W34" s="9"/>
      <c r="X34" s="9"/>
      <c r="Y34" s="9"/>
      <c r="Z34" s="9"/>
    </row>
    <row r="35">
      <c r="A35" s="17" t="s">
        <v>79</v>
      </c>
      <c r="B35" s="17">
        <v>34.0</v>
      </c>
      <c r="C35" s="39">
        <v>173.7653</v>
      </c>
      <c r="D35" s="39">
        <f t="shared" si="10"/>
        <v>-5908.0202</v>
      </c>
      <c r="E35" s="39">
        <v>6654.93</v>
      </c>
      <c r="F35" s="24">
        <f t="shared" si="12"/>
        <v>725.9198</v>
      </c>
      <c r="G35" s="46"/>
      <c r="H35" s="33"/>
      <c r="I35" s="59"/>
      <c r="J35" s="63"/>
      <c r="K35" s="63"/>
      <c r="L35" s="64"/>
      <c r="M35" s="65"/>
      <c r="N35" s="66"/>
      <c r="O35" s="67"/>
      <c r="P35" s="68"/>
      <c r="Q35" s="67"/>
      <c r="R35" s="69"/>
      <c r="S35" s="60"/>
      <c r="T35" s="60"/>
      <c r="U35" s="9"/>
      <c r="V35" s="9"/>
      <c r="W35" s="9"/>
      <c r="X35" s="9"/>
      <c r="Y35" s="9"/>
      <c r="Z35" s="9"/>
    </row>
    <row r="36">
      <c r="A36" s="17" t="s">
        <v>107</v>
      </c>
      <c r="B36" s="17">
        <v>38.0</v>
      </c>
      <c r="C36" s="39">
        <v>28.77</v>
      </c>
      <c r="D36" s="39">
        <f t="shared" si="10"/>
        <v>-1093.26</v>
      </c>
      <c r="E36" s="39">
        <v>1099.24</v>
      </c>
      <c r="F36" s="24">
        <f t="shared" ref="F36:F37" si="13">sum(E36+D36)+(-10.99)</f>
        <v>-5.01</v>
      </c>
      <c r="G36" s="33"/>
      <c r="H36" s="33"/>
      <c r="I36" s="62"/>
      <c r="J36" s="62"/>
      <c r="K36" s="69"/>
      <c r="L36" s="61"/>
      <c r="M36" s="70"/>
      <c r="N36" s="60"/>
      <c r="O36" s="61"/>
      <c r="P36" s="69"/>
      <c r="Q36" s="61"/>
      <c r="R36" s="69"/>
      <c r="S36" s="60"/>
      <c r="T36" s="60"/>
      <c r="U36" s="9"/>
      <c r="V36" s="9"/>
      <c r="W36" s="9"/>
      <c r="X36" s="9"/>
      <c r="Y36" s="9"/>
      <c r="Z36" s="9"/>
    </row>
    <row r="37">
      <c r="A37" s="17" t="s">
        <v>79</v>
      </c>
      <c r="B37" s="17">
        <v>13.0</v>
      </c>
      <c r="C37" s="39">
        <v>180.429</v>
      </c>
      <c r="D37" s="39">
        <f t="shared" si="10"/>
        <v>-2345.577</v>
      </c>
      <c r="E37" s="39">
        <v>2353.4</v>
      </c>
      <c r="F37" s="24">
        <f t="shared" si="13"/>
        <v>-3.167</v>
      </c>
      <c r="G37" s="46"/>
      <c r="H37" s="33"/>
      <c r="I37" s="62"/>
      <c r="J37" s="56">
        <v>29408.35</v>
      </c>
      <c r="K37" s="69"/>
      <c r="L37" s="54"/>
      <c r="M37" s="56"/>
      <c r="N37" s="60"/>
      <c r="O37" s="61"/>
      <c r="P37" s="69"/>
      <c r="Q37" s="61"/>
      <c r="R37" s="69"/>
      <c r="S37" s="60"/>
      <c r="T37" s="60"/>
      <c r="U37" s="9"/>
      <c r="V37" s="9"/>
      <c r="W37" s="9"/>
      <c r="X37" s="9"/>
      <c r="Y37" s="9"/>
      <c r="Z37" s="9"/>
    </row>
    <row r="38">
      <c r="A38" s="17" t="s">
        <v>102</v>
      </c>
      <c r="B38" s="17">
        <v>13.0</v>
      </c>
      <c r="C38" s="39">
        <v>371.0</v>
      </c>
      <c r="D38" s="39">
        <f t="shared" si="10"/>
        <v>-4823</v>
      </c>
      <c r="E38" s="39">
        <v>4777.85</v>
      </c>
      <c r="F38" s="24">
        <f t="shared" ref="F38:F49" si="14">sum(E38+D38)</f>
        <v>-45.15</v>
      </c>
      <c r="G38" s="46"/>
      <c r="H38" s="33"/>
      <c r="I38" s="33"/>
      <c r="J38" s="46">
        <v>-22500.0</v>
      </c>
      <c r="K38" s="50"/>
      <c r="L38" s="17"/>
      <c r="M38" s="15"/>
      <c r="N38" s="30"/>
      <c r="O38" s="25"/>
      <c r="P38" s="25"/>
      <c r="Q38" s="15"/>
      <c r="R38" s="25"/>
      <c r="S38" s="30"/>
      <c r="T38" s="30"/>
      <c r="U38" s="9"/>
      <c r="V38" s="9"/>
      <c r="W38" s="9"/>
      <c r="X38" s="9"/>
      <c r="Y38" s="9"/>
      <c r="Z38" s="9"/>
    </row>
    <row r="39">
      <c r="A39" s="17" t="s">
        <v>108</v>
      </c>
      <c r="B39" s="17">
        <v>395.0</v>
      </c>
      <c r="C39" s="39">
        <v>6.35</v>
      </c>
      <c r="D39" s="39">
        <f t="shared" si="10"/>
        <v>-2508.25</v>
      </c>
      <c r="E39" s="71">
        <v>2498.24</v>
      </c>
      <c r="F39" s="24">
        <f t="shared" si="14"/>
        <v>-10.01</v>
      </c>
      <c r="G39" s="46"/>
      <c r="H39" s="33"/>
      <c r="I39" s="46"/>
      <c r="J39" s="46">
        <v>-1500.0</v>
      </c>
      <c r="K39" s="72" t="s">
        <v>29</v>
      </c>
      <c r="L39" s="17"/>
      <c r="M39" s="17"/>
      <c r="N39" s="30"/>
      <c r="O39" s="25"/>
      <c r="P39" s="25"/>
      <c r="Q39" s="15"/>
      <c r="R39" s="25"/>
      <c r="S39" s="30"/>
      <c r="T39" s="30"/>
      <c r="U39" s="9"/>
      <c r="V39" s="9"/>
      <c r="W39" s="9"/>
      <c r="X39" s="9"/>
      <c r="Y39" s="9"/>
      <c r="Z39" s="9"/>
    </row>
    <row r="40">
      <c r="A40" s="17" t="s">
        <v>62</v>
      </c>
      <c r="B40" s="17">
        <v>56.0</v>
      </c>
      <c r="C40" s="39">
        <v>283.0</v>
      </c>
      <c r="D40" s="39">
        <f t="shared" si="10"/>
        <v>-15848</v>
      </c>
      <c r="E40" s="39">
        <v>17965.67</v>
      </c>
      <c r="F40" s="24">
        <f t="shared" si="14"/>
        <v>2117.67</v>
      </c>
      <c r="G40" s="46"/>
      <c r="H40" s="33"/>
      <c r="I40" s="33"/>
      <c r="J40" s="46">
        <v>-1500.0</v>
      </c>
      <c r="K40" s="72" t="s">
        <v>29</v>
      </c>
      <c r="L40" s="17"/>
      <c r="M40" s="17"/>
      <c r="N40" s="30"/>
      <c r="O40" s="30"/>
      <c r="P40" s="30"/>
      <c r="Q40" s="30"/>
      <c r="R40" s="30"/>
      <c r="S40" s="30"/>
      <c r="T40" s="30"/>
      <c r="U40" s="9"/>
      <c r="V40" s="9"/>
      <c r="W40" s="9"/>
      <c r="X40" s="9"/>
      <c r="Y40" s="9"/>
      <c r="Z40" s="9"/>
    </row>
    <row r="41">
      <c r="A41" s="17" t="s">
        <v>109</v>
      </c>
      <c r="B41" s="17">
        <v>100.0</v>
      </c>
      <c r="C41" s="39">
        <v>51.0</v>
      </c>
      <c r="D41" s="39">
        <f t="shared" si="10"/>
        <v>-5100</v>
      </c>
      <c r="E41" s="39">
        <v>5050.0</v>
      </c>
      <c r="F41" s="24">
        <f t="shared" si="14"/>
        <v>-50</v>
      </c>
      <c r="G41" s="46"/>
      <c r="H41" s="33"/>
      <c r="I41" s="33"/>
      <c r="J41" s="46">
        <v>-1100.0</v>
      </c>
      <c r="K41" s="50"/>
      <c r="L41" s="17"/>
      <c r="M41" s="30"/>
      <c r="N41" s="30"/>
      <c r="O41" s="30"/>
      <c r="P41" s="30"/>
      <c r="Q41" s="30"/>
      <c r="R41" s="30"/>
      <c r="S41" s="30"/>
      <c r="T41" s="30"/>
      <c r="U41" s="9"/>
      <c r="V41" s="9"/>
      <c r="W41" s="9"/>
      <c r="X41" s="9"/>
      <c r="Y41" s="9"/>
      <c r="Z41" s="9"/>
    </row>
    <row r="42">
      <c r="A42" s="73" t="s">
        <v>110</v>
      </c>
      <c r="B42" s="17">
        <v>400.0</v>
      </c>
      <c r="C42" s="39">
        <v>5.9</v>
      </c>
      <c r="D42" s="39">
        <f t="shared" si="10"/>
        <v>-2360</v>
      </c>
      <c r="E42" s="39"/>
      <c r="F42" s="24">
        <f t="shared" si="14"/>
        <v>-2360</v>
      </c>
      <c r="G42" s="33" t="str">
        <f>IFERROR(__xludf.DUMMYFUNCTION("GOOGLEFINANCE(""ctst"")"),"#N/A")</f>
        <v>#N/A</v>
      </c>
      <c r="H42" s="33" t="str">
        <f t="shared" ref="H42:H49" si="15">(G42*B42)+F42-20.99</f>
        <v>#N/A</v>
      </c>
      <c r="I42" s="33"/>
      <c r="J42" s="46">
        <v>-1200.0</v>
      </c>
      <c r="K42" s="50"/>
      <c r="L42" s="30"/>
      <c r="M42" s="30"/>
      <c r="N42" s="30"/>
      <c r="O42" s="30"/>
      <c r="P42" s="30"/>
      <c r="Q42" s="30"/>
      <c r="R42" s="30"/>
      <c r="S42" s="30"/>
      <c r="T42" s="30"/>
      <c r="U42" s="9"/>
      <c r="V42" s="9"/>
      <c r="W42" s="9"/>
      <c r="X42" s="9"/>
      <c r="Y42" s="9"/>
      <c r="Z42" s="9"/>
    </row>
    <row r="43">
      <c r="A43" s="73" t="s">
        <v>111</v>
      </c>
      <c r="B43" s="17">
        <v>277.0</v>
      </c>
      <c r="C43" s="39">
        <v>9.0</v>
      </c>
      <c r="D43" s="39">
        <f t="shared" si="10"/>
        <v>-2493</v>
      </c>
      <c r="E43" s="39"/>
      <c r="F43" s="24">
        <f t="shared" si="14"/>
        <v>-2493</v>
      </c>
      <c r="G43" s="33">
        <f>IFERROR(__xludf.DUMMYFUNCTION("GOOGLEFINANCE(""acb"")"),16.01)</f>
        <v>16.01</v>
      </c>
      <c r="H43" s="74">
        <f t="shared" si="15"/>
        <v>1920.78</v>
      </c>
      <c r="I43" s="33"/>
      <c r="J43" s="46">
        <v>-1200.0</v>
      </c>
      <c r="K43" s="50"/>
      <c r="L43" s="50"/>
      <c r="M43" s="50"/>
      <c r="N43" s="50"/>
      <c r="O43" s="30"/>
      <c r="P43" s="30"/>
      <c r="Q43" s="30"/>
      <c r="R43" s="30"/>
      <c r="S43" s="30"/>
      <c r="T43" s="30"/>
      <c r="U43" s="9"/>
      <c r="V43" s="9"/>
      <c r="W43" s="9"/>
      <c r="X43" s="9"/>
      <c r="Y43" s="9"/>
      <c r="Z43" s="9"/>
    </row>
    <row r="44">
      <c r="A44" s="75" t="s">
        <v>102</v>
      </c>
      <c r="B44" s="76">
        <v>22.0</v>
      </c>
      <c r="C44" s="77">
        <v>284.0</v>
      </c>
      <c r="D44" s="78">
        <f t="shared" si="10"/>
        <v>-6248</v>
      </c>
      <c r="E44" s="78"/>
      <c r="F44" s="79">
        <f t="shared" si="14"/>
        <v>-6248</v>
      </c>
      <c r="G44" s="80">
        <f>IFERROR(__xludf.DUMMYFUNCTION("GOOGLEFINANCE(""ba"")"),137.53)</f>
        <v>137.53</v>
      </c>
      <c r="H44" s="81">
        <f t="shared" si="15"/>
        <v>-3243.33</v>
      </c>
      <c r="I44" s="80">
        <f t="shared" ref="I44:I49" si="16">ROUND(((sum(D44-H44))*100)/D44,0)-100</f>
        <v>-52</v>
      </c>
      <c r="J44" s="82"/>
      <c r="K44" s="83">
        <v>262.0</v>
      </c>
      <c r="L44" s="50"/>
      <c r="M44" s="50"/>
      <c r="N44" s="50"/>
      <c r="O44" s="30"/>
      <c r="P44" s="30"/>
      <c r="Q44" s="30"/>
      <c r="R44" s="30"/>
      <c r="S44" s="30"/>
      <c r="T44" s="30"/>
      <c r="U44" s="9"/>
      <c r="V44" s="9"/>
      <c r="W44" s="9"/>
      <c r="X44" s="9"/>
      <c r="Y44" s="9"/>
      <c r="Z44" s="9"/>
    </row>
    <row r="45">
      <c r="A45" s="75" t="s">
        <v>103</v>
      </c>
      <c r="B45" s="76">
        <v>38.0</v>
      </c>
      <c r="C45" s="77">
        <v>196.0</v>
      </c>
      <c r="D45" s="78">
        <f t="shared" si="10"/>
        <v>-7448</v>
      </c>
      <c r="E45" s="78"/>
      <c r="F45" s="79">
        <f t="shared" si="14"/>
        <v>-7448</v>
      </c>
      <c r="G45" s="80">
        <f>IFERROR(__xludf.DUMMYFUNCTION("GOOGLEFINANCE(""fb"")"),234.91)</f>
        <v>234.91</v>
      </c>
      <c r="H45" s="81">
        <f t="shared" si="15"/>
        <v>1457.59</v>
      </c>
      <c r="I45" s="80">
        <f t="shared" si="16"/>
        <v>20</v>
      </c>
      <c r="J45" s="80"/>
      <c r="K45" s="83">
        <v>169.0</v>
      </c>
      <c r="L45" s="50"/>
      <c r="M45" s="50"/>
      <c r="N45" s="50"/>
      <c r="O45" s="30"/>
      <c r="P45" s="30"/>
      <c r="Q45" s="30"/>
      <c r="R45" s="30"/>
      <c r="S45" s="30"/>
      <c r="T45" s="30"/>
      <c r="U45" s="9"/>
      <c r="V45" s="9"/>
      <c r="W45" s="9"/>
      <c r="X45" s="9"/>
      <c r="Y45" s="9"/>
      <c r="Z45" s="9"/>
    </row>
    <row r="46">
      <c r="A46" s="75" t="s">
        <v>100</v>
      </c>
      <c r="B46" s="76">
        <v>120.0</v>
      </c>
      <c r="C46" s="77">
        <v>18.8</v>
      </c>
      <c r="D46" s="78">
        <f t="shared" si="10"/>
        <v>-2256</v>
      </c>
      <c r="E46" s="78"/>
      <c r="F46" s="79">
        <f t="shared" si="14"/>
        <v>-2256</v>
      </c>
      <c r="G46" s="83">
        <f>IFERROR(__xludf.DUMMYFUNCTION("GOOGLEFINANCE(""rvlv"")"),14.59)</f>
        <v>14.59</v>
      </c>
      <c r="H46" s="81">
        <f t="shared" si="15"/>
        <v>-526.19</v>
      </c>
      <c r="I46" s="80">
        <f t="shared" si="16"/>
        <v>-23</v>
      </c>
      <c r="J46" s="80"/>
      <c r="K46" s="83" t="s">
        <v>112</v>
      </c>
      <c r="L46" s="50"/>
      <c r="M46" s="50"/>
      <c r="N46" s="50"/>
      <c r="O46" s="30"/>
      <c r="P46" s="30"/>
      <c r="Q46" s="30"/>
      <c r="R46" s="30"/>
      <c r="S46" s="30"/>
      <c r="T46" s="30"/>
      <c r="U46" s="9"/>
      <c r="V46" s="9"/>
      <c r="W46" s="9"/>
      <c r="X46" s="9"/>
      <c r="Y46" s="9"/>
      <c r="Z46" s="9"/>
    </row>
    <row r="47">
      <c r="A47" s="75" t="s">
        <v>113</v>
      </c>
      <c r="B47" s="76">
        <v>39.0</v>
      </c>
      <c r="C47" s="77">
        <v>75.39</v>
      </c>
      <c r="D47" s="78">
        <f t="shared" si="10"/>
        <v>-2940.21</v>
      </c>
      <c r="E47" s="78"/>
      <c r="F47" s="79">
        <f t="shared" si="14"/>
        <v>-2940.21</v>
      </c>
      <c r="G47" s="80">
        <f>IFERROR(__xludf.DUMMYFUNCTION("GOOGLEFINANCE(""ual"")"),25.4)</f>
        <v>25.4</v>
      </c>
      <c r="H47" s="81">
        <f t="shared" si="15"/>
        <v>-1970.6</v>
      </c>
      <c r="I47" s="80">
        <f t="shared" si="16"/>
        <v>-67</v>
      </c>
      <c r="J47" s="84"/>
      <c r="K47" s="83">
        <v>72.0</v>
      </c>
      <c r="L47" s="30"/>
      <c r="M47" s="30"/>
      <c r="N47" s="30"/>
      <c r="O47" s="30"/>
      <c r="P47" s="30"/>
      <c r="Q47" s="30"/>
      <c r="R47" s="30"/>
      <c r="S47" s="30"/>
      <c r="T47" s="30"/>
      <c r="U47" s="9"/>
      <c r="V47" s="12"/>
      <c r="W47" s="9"/>
      <c r="X47" s="12"/>
      <c r="Y47" s="9"/>
      <c r="Z47" s="9"/>
    </row>
    <row r="48">
      <c r="A48" s="75" t="s">
        <v>114</v>
      </c>
      <c r="B48" s="76">
        <v>80.0</v>
      </c>
      <c r="C48" s="77">
        <v>30.54</v>
      </c>
      <c r="D48" s="78">
        <f t="shared" si="10"/>
        <v>-2443.2</v>
      </c>
      <c r="E48" s="78"/>
      <c r="F48" s="79">
        <f t="shared" si="14"/>
        <v>-2443.2</v>
      </c>
      <c r="G48" s="80">
        <f>IFERROR(__xludf.DUMMYFUNCTION("GOOGLEFINANCE(""uber"")"),34.83)</f>
        <v>34.83</v>
      </c>
      <c r="H48" s="81">
        <f t="shared" si="15"/>
        <v>322.21</v>
      </c>
      <c r="I48" s="80">
        <f t="shared" si="16"/>
        <v>13</v>
      </c>
      <c r="J48" s="84"/>
      <c r="K48" s="84"/>
      <c r="L48" s="30"/>
      <c r="M48" s="30"/>
      <c r="N48" s="30"/>
      <c r="O48" s="30"/>
      <c r="P48" s="17"/>
      <c r="Q48" s="17"/>
      <c r="R48" s="17"/>
      <c r="S48" s="17"/>
      <c r="T48" s="17"/>
      <c r="U48" s="12"/>
      <c r="V48" s="9"/>
      <c r="W48" s="9"/>
      <c r="X48" s="9"/>
      <c r="Y48" s="9"/>
      <c r="Z48" s="9"/>
    </row>
    <row r="49">
      <c r="A49" s="75" t="s">
        <v>115</v>
      </c>
      <c r="B49" s="76">
        <v>11.0</v>
      </c>
      <c r="C49" s="77">
        <v>179.7</v>
      </c>
      <c r="D49" s="78">
        <f t="shared" si="10"/>
        <v>-1976.7</v>
      </c>
      <c r="E49" s="78"/>
      <c r="F49" s="79">
        <f t="shared" si="14"/>
        <v>-1976.7</v>
      </c>
      <c r="G49" s="80">
        <f>IFERROR(__xludf.DUMMYFUNCTION("GOOGLEFINANCE(""msft"")"),183.51)</f>
        <v>183.51</v>
      </c>
      <c r="H49" s="81">
        <f t="shared" si="15"/>
        <v>20.92</v>
      </c>
      <c r="I49" s="80">
        <f t="shared" si="16"/>
        <v>1</v>
      </c>
      <c r="J49" s="84"/>
      <c r="K49" s="84"/>
      <c r="L49" s="30"/>
      <c r="M49" s="30"/>
      <c r="N49" s="30"/>
      <c r="O49" s="30"/>
      <c r="P49" s="30"/>
      <c r="Q49" s="30"/>
      <c r="R49" s="30"/>
      <c r="S49" s="30"/>
      <c r="T49" s="30"/>
      <c r="U49" s="9"/>
      <c r="V49" s="9"/>
      <c r="W49" s="9"/>
      <c r="X49" s="9"/>
      <c r="Y49" s="9"/>
      <c r="Z49" s="9"/>
    </row>
    <row r="50">
      <c r="A50" s="82"/>
      <c r="B50" s="82"/>
      <c r="C50" s="82"/>
      <c r="D50" s="82"/>
      <c r="E50" s="82"/>
      <c r="F50" s="82"/>
      <c r="G50" s="82"/>
      <c r="H50" s="82"/>
      <c r="I50" s="84"/>
      <c r="J50" s="85">
        <f>sum(J37:J49)</f>
        <v>408.35</v>
      </c>
      <c r="K50" s="84"/>
      <c r="L50" s="30"/>
      <c r="M50" s="30"/>
      <c r="N50" s="30"/>
      <c r="O50" s="30"/>
      <c r="P50" s="17"/>
      <c r="Q50" s="17"/>
      <c r="R50" s="17"/>
      <c r="S50" s="17"/>
      <c r="T50" s="17"/>
      <c r="U50" s="9"/>
      <c r="V50" s="12"/>
      <c r="W50" s="12"/>
      <c r="X50" s="9"/>
      <c r="Y50" s="9"/>
      <c r="Z50" s="9"/>
    </row>
    <row r="51">
      <c r="A51" s="82"/>
      <c r="B51" s="82"/>
      <c r="C51" s="82"/>
      <c r="D51" s="82"/>
      <c r="E51" s="82"/>
      <c r="F51" s="82"/>
      <c r="G51" s="82"/>
      <c r="H51" s="80"/>
      <c r="I51" s="84"/>
      <c r="J51" s="84"/>
      <c r="K51" s="84"/>
      <c r="L51" s="9"/>
      <c r="M51" s="9"/>
      <c r="N51" s="12"/>
      <c r="O51" s="12"/>
      <c r="P51" s="12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86" t="s">
        <v>13</v>
      </c>
      <c r="B52" s="86" t="s">
        <v>14</v>
      </c>
      <c r="C52" s="76" t="s">
        <v>15</v>
      </c>
      <c r="D52" s="76" t="s">
        <v>17</v>
      </c>
      <c r="E52" s="86" t="s">
        <v>18</v>
      </c>
      <c r="F52" s="86" t="s">
        <v>19</v>
      </c>
      <c r="G52" s="86" t="s">
        <v>20</v>
      </c>
      <c r="H52" s="86" t="s">
        <v>21</v>
      </c>
      <c r="I52" s="84"/>
      <c r="J52" s="84"/>
      <c r="K52" s="84"/>
      <c r="L52" s="9"/>
      <c r="M52" s="9"/>
      <c r="Q52" s="9"/>
      <c r="R52" s="12"/>
      <c r="S52" s="12"/>
      <c r="T52" s="9"/>
      <c r="U52" s="9"/>
      <c r="V52" s="9"/>
      <c r="W52" s="9"/>
      <c r="X52" s="9"/>
      <c r="Y52" s="9"/>
      <c r="Z52" s="9"/>
    </row>
    <row r="53">
      <c r="A53" s="76" t="s">
        <v>93</v>
      </c>
      <c r="B53" s="76">
        <v>167.0</v>
      </c>
      <c r="C53" s="78">
        <v>6.72</v>
      </c>
      <c r="D53" s="78">
        <f t="shared" ref="D53:D57" si="17">-(C53*B53)</f>
        <v>-1122.24</v>
      </c>
      <c r="E53" s="78">
        <v>1207.0</v>
      </c>
      <c r="F53" s="79">
        <f t="shared" ref="F53:F57" si="18">sum(E53+D53)</f>
        <v>84.76</v>
      </c>
      <c r="G53" s="83"/>
      <c r="H53" s="80"/>
      <c r="I53" s="84"/>
      <c r="J53" s="84"/>
      <c r="K53" s="84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76" t="s">
        <v>111</v>
      </c>
      <c r="B54" s="76">
        <v>146.0</v>
      </c>
      <c r="C54" s="78">
        <v>7.68</v>
      </c>
      <c r="D54" s="78">
        <f t="shared" si="17"/>
        <v>-1121.28</v>
      </c>
      <c r="E54" s="78"/>
      <c r="F54" s="79">
        <f t="shared" si="18"/>
        <v>-1121.28</v>
      </c>
      <c r="G54" s="83">
        <f>IFERROR(__xludf.DUMMYFUNCTION("GOOGLEFINANCE(""acb"")"),16.01)</f>
        <v>16.01</v>
      </c>
      <c r="H54" s="81">
        <f t="shared" ref="H54:H57" si="19">(G54*B54)+F54-20.99</f>
        <v>1195.19</v>
      </c>
      <c r="I54" s="76"/>
      <c r="J54" s="76"/>
      <c r="K54" s="84"/>
      <c r="L54" s="9"/>
      <c r="M54" s="9"/>
      <c r="N54" s="9"/>
      <c r="O54" s="9"/>
      <c r="P54" s="12"/>
      <c r="Q54" s="12"/>
      <c r="R54" s="12"/>
      <c r="S54" s="12"/>
      <c r="T54" s="12"/>
      <c r="U54" s="9"/>
      <c r="V54" s="12"/>
      <c r="W54" s="12"/>
      <c r="X54" s="9"/>
      <c r="Y54" s="9"/>
      <c r="Z54" s="9"/>
    </row>
    <row r="55">
      <c r="A55" s="76" t="s">
        <v>116</v>
      </c>
      <c r="B55" s="76">
        <v>1231.0</v>
      </c>
      <c r="C55" s="77">
        <v>2.85</v>
      </c>
      <c r="D55" s="78">
        <f t="shared" si="17"/>
        <v>-3508.35</v>
      </c>
      <c r="E55" s="78"/>
      <c r="F55" s="79">
        <f t="shared" si="18"/>
        <v>-3508.35</v>
      </c>
      <c r="G55" s="83">
        <f>IFERROR(__xludf.DUMMYFUNCTION("GOOGLEFINANCE(""emh"")"),0.22)</f>
        <v>0.22</v>
      </c>
      <c r="H55" s="81">
        <f t="shared" si="19"/>
        <v>-3258.52</v>
      </c>
      <c r="I55" s="76"/>
      <c r="J55" s="84"/>
      <c r="K55" s="84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76" t="s">
        <v>117</v>
      </c>
      <c r="B56" s="76">
        <v>133.0</v>
      </c>
      <c r="C56" s="77">
        <v>14.08</v>
      </c>
      <c r="D56" s="78">
        <f t="shared" si="17"/>
        <v>-1872.64</v>
      </c>
      <c r="E56" s="78"/>
      <c r="F56" s="79">
        <f t="shared" si="18"/>
        <v>-1872.64</v>
      </c>
      <c r="G56" s="83">
        <v>8.0</v>
      </c>
      <c r="H56" s="81">
        <f t="shared" si="19"/>
        <v>-829.63</v>
      </c>
      <c r="I56" s="80">
        <f t="shared" ref="I56:I57" si="20">ROUND(((sum(D56-H56))*100)/D56,0)-100</f>
        <v>-44</v>
      </c>
      <c r="J56" s="84"/>
      <c r="K56" s="84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76" t="s">
        <v>118</v>
      </c>
      <c r="B57" s="76">
        <v>733.0</v>
      </c>
      <c r="C57" s="77">
        <v>2.4</v>
      </c>
      <c r="D57" s="78">
        <f t="shared" si="17"/>
        <v>-1759.2</v>
      </c>
      <c r="E57" s="78"/>
      <c r="F57" s="79">
        <f t="shared" si="18"/>
        <v>-1759.2</v>
      </c>
      <c r="G57" s="83">
        <v>8.0</v>
      </c>
      <c r="H57" s="81">
        <f t="shared" si="19"/>
        <v>4083.81</v>
      </c>
      <c r="I57" s="80">
        <f t="shared" si="20"/>
        <v>232</v>
      </c>
      <c r="J57" s="84"/>
      <c r="K57" s="84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2"/>
      <c r="Z57" s="9"/>
    </row>
    <row r="58">
      <c r="A58" s="82"/>
      <c r="B58" s="82"/>
      <c r="C58" s="82"/>
      <c r="D58" s="82"/>
      <c r="E58" s="82"/>
      <c r="F58" s="82"/>
      <c r="G58" s="82"/>
      <c r="H58" s="82"/>
      <c r="I58" s="82"/>
      <c r="J58" s="84"/>
      <c r="K58" s="84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76" t="s">
        <v>119</v>
      </c>
      <c r="B59" s="76" t="s">
        <v>120</v>
      </c>
      <c r="C59" s="76" t="s">
        <v>121</v>
      </c>
      <c r="D59" s="76" t="s">
        <v>122</v>
      </c>
      <c r="E59" s="76"/>
      <c r="F59" s="84"/>
      <c r="G59" s="84"/>
      <c r="H59" s="84"/>
      <c r="I59" s="84"/>
      <c r="J59" s="84"/>
      <c r="K59" s="84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84"/>
      <c r="B60" s="79">
        <f>sum(F44:F49)</f>
        <v>-23312.11</v>
      </c>
      <c r="C60" s="79">
        <f>sum(H44:H49)</f>
        <v>-3939.4</v>
      </c>
      <c r="D60" s="84">
        <f>ROUND((C61*100)/B60,0)-100</f>
        <v>-17</v>
      </c>
      <c r="E60" s="84"/>
      <c r="F60" s="82"/>
      <c r="G60" s="82"/>
      <c r="H60" s="84"/>
      <c r="I60" s="84"/>
      <c r="J60" s="84"/>
      <c r="K60" s="84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84"/>
      <c r="B61" s="84"/>
      <c r="C61" s="79">
        <f>sum(B60-C60)</f>
        <v>-19372.71</v>
      </c>
      <c r="D61" s="84"/>
      <c r="E61" s="84"/>
      <c r="F61" s="84"/>
      <c r="G61" s="84"/>
      <c r="H61" s="84"/>
      <c r="I61" s="84"/>
      <c r="J61" s="84"/>
      <c r="K61" s="84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12">
        <v>2.0</v>
      </c>
      <c r="F65" s="12">
        <v>3.97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12">
        <v>5.0</v>
      </c>
      <c r="F66" s="9">
        <f>(E66*F65)/E65</f>
        <v>9.925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57"/>
    <col customWidth="1" min="3" max="3" width="23.43"/>
    <col customWidth="1" min="4" max="4" width="15.14"/>
    <col customWidth="1" min="5" max="5" width="19.86"/>
    <col customWidth="1" min="6" max="6" width="15.57"/>
    <col customWidth="1" min="7" max="7" width="19.57"/>
    <col customWidth="1" min="8" max="8" width="13.71"/>
    <col customWidth="1" min="9" max="9" width="15.0"/>
    <col customWidth="1" min="11" max="11" width="15.43"/>
  </cols>
  <sheetData>
    <row r="1">
      <c r="A1" s="2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</v>
      </c>
      <c r="N2" s="2">
        <v>1.0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D3" s="1"/>
      <c r="E3" s="1"/>
      <c r="F3" s="1"/>
      <c r="G3" s="1"/>
      <c r="H3" s="1"/>
      <c r="I3" s="1"/>
      <c r="J3" s="1"/>
      <c r="K3" s="1"/>
      <c r="L3" s="1"/>
      <c r="M3" s="2" t="s">
        <v>2</v>
      </c>
      <c r="N3" s="2">
        <v>1.0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/>
      <c r="D4" s="8" t="s">
        <v>4</v>
      </c>
      <c r="E4" s="8" t="s">
        <v>5</v>
      </c>
      <c r="F4" s="10" t="s">
        <v>7</v>
      </c>
      <c r="G4" s="2"/>
      <c r="H4" s="11"/>
      <c r="I4" s="2"/>
      <c r="M4" s="2" t="s">
        <v>9</v>
      </c>
      <c r="N4" s="2">
        <v>1.0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/>
      <c r="H5" s="2" t="s">
        <v>10</v>
      </c>
      <c r="I5" s="2"/>
      <c r="J5" s="1"/>
      <c r="K5" s="1"/>
      <c r="L5" s="1"/>
      <c r="M5" s="2" t="s">
        <v>11</v>
      </c>
      <c r="N5" s="2">
        <v>1.0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6"/>
      <c r="D6" s="12">
        <v>1000.0</v>
      </c>
      <c r="E6" s="12">
        <v>29500.0</v>
      </c>
      <c r="F6" s="12">
        <v>18000.0</v>
      </c>
      <c r="G6" s="13" t="s">
        <v>16</v>
      </c>
      <c r="H6" s="2">
        <v>60000.0</v>
      </c>
      <c r="I6" s="2"/>
      <c r="J6" s="2" t="s">
        <v>22</v>
      </c>
      <c r="K6" s="2" t="s">
        <v>23</v>
      </c>
      <c r="L6" s="2">
        <v>1600.0</v>
      </c>
      <c r="M6" s="2" t="s">
        <v>24</v>
      </c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/>
      <c r="D7" s="2">
        <v>2000.0</v>
      </c>
      <c r="E7" s="12">
        <v>5500.0</v>
      </c>
      <c r="F7" s="12">
        <v>17000.0</v>
      </c>
      <c r="G7" s="13" t="s">
        <v>27</v>
      </c>
      <c r="H7" s="16">
        <f>13000*K15</f>
        <v>13000</v>
      </c>
      <c r="I7" s="2" t="s">
        <v>32</v>
      </c>
      <c r="J7" s="2" t="s">
        <v>33</v>
      </c>
      <c r="K7" s="2" t="s">
        <v>34</v>
      </c>
      <c r="L7" s="2">
        <v>1700.0</v>
      </c>
      <c r="M7" s="2" t="s">
        <v>35</v>
      </c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"/>
      <c r="D8" s="18">
        <v>10000.0</v>
      </c>
      <c r="E8" s="12"/>
      <c r="F8" s="12"/>
      <c r="G8" s="2"/>
      <c r="H8" s="2"/>
      <c r="I8" s="1"/>
      <c r="J8" s="2" t="s">
        <v>37</v>
      </c>
      <c r="K8" s="2" t="s">
        <v>38</v>
      </c>
      <c r="L8" s="2">
        <v>1800.0</v>
      </c>
      <c r="M8" s="2" t="s">
        <v>39</v>
      </c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"/>
      <c r="D9" s="12"/>
      <c r="E9" s="12"/>
      <c r="F9" s="9"/>
      <c r="G9" s="1"/>
      <c r="H9" s="2"/>
      <c r="I9" s="1"/>
      <c r="J9" s="2" t="s">
        <v>37</v>
      </c>
      <c r="K9" s="2" t="s">
        <v>41</v>
      </c>
      <c r="L9" s="1"/>
      <c r="M9" s="1"/>
      <c r="N9" s="1">
        <f>sum(N2:N8)</f>
        <v>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"/>
      <c r="C10" s="21"/>
      <c r="D10" s="22"/>
      <c r="E10" s="22"/>
      <c r="F10" s="21"/>
      <c r="G10" s="2" t="s">
        <v>43</v>
      </c>
      <c r="H10" s="2" t="s">
        <v>44</v>
      </c>
      <c r="I10" s="2" t="s">
        <v>45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"/>
      <c r="C11" s="21" t="s">
        <v>46</v>
      </c>
      <c r="D11" s="23">
        <f>sum(D6:D9)</f>
        <v>13000</v>
      </c>
      <c r="E11" s="23">
        <f t="shared" ref="E11:F11" si="1">sum(E6:E10)</f>
        <v>35000</v>
      </c>
      <c r="F11" s="23">
        <f t="shared" si="1"/>
        <v>35000</v>
      </c>
      <c r="G11" s="2">
        <f>SUM(H6:H9)</f>
        <v>73000</v>
      </c>
      <c r="H11" s="26">
        <f>sum(D11:G11)</f>
        <v>156000</v>
      </c>
      <c r="I11" s="1">
        <f>H11-F17</f>
        <v>31000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6"/>
      <c r="C12" s="2"/>
      <c r="D12" s="9"/>
      <c r="E12" s="9"/>
      <c r="F12" s="9"/>
      <c r="G12" s="1"/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/>
      <c r="B13" s="12"/>
      <c r="C13" s="2" t="s">
        <v>48</v>
      </c>
      <c r="D13" s="2">
        <v>20.0</v>
      </c>
      <c r="E13" s="1">
        <f>sum(D11:F11)-F17</f>
        <v>-42000</v>
      </c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6"/>
      <c r="B14" s="2"/>
      <c r="C14" s="1"/>
      <c r="D14" s="1"/>
      <c r="E14" s="1"/>
      <c r="F14" s="2"/>
      <c r="G14" s="1"/>
      <c r="H14" s="2" t="s">
        <v>49</v>
      </c>
      <c r="I14" s="1"/>
      <c r="J14" s="1"/>
      <c r="K14" s="2" t="s">
        <v>50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C15" s="1"/>
      <c r="D15" s="1"/>
      <c r="E15" s="32"/>
      <c r="F15" s="1"/>
      <c r="G15" s="1"/>
      <c r="H15" s="2">
        <v>24000.0</v>
      </c>
      <c r="I15" s="1"/>
      <c r="J15" s="1"/>
      <c r="K15" s="2">
        <v>1.0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/>
      <c r="C16" s="2" t="s">
        <v>53</v>
      </c>
      <c r="D16" s="23" t="s">
        <v>54</v>
      </c>
      <c r="E16" s="34" t="s">
        <v>55</v>
      </c>
      <c r="F16" s="2" t="s">
        <v>57</v>
      </c>
      <c r="G16" s="2" t="s">
        <v>58</v>
      </c>
      <c r="H16" s="2"/>
      <c r="I16" s="1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/>
      <c r="C17" s="36">
        <v>575000.0</v>
      </c>
      <c r="D17" s="23">
        <v>10000.0</v>
      </c>
      <c r="E17" s="32">
        <f>(C17*D13)/100</f>
        <v>115000</v>
      </c>
      <c r="F17" s="37">
        <f>E17+D17</f>
        <v>125000</v>
      </c>
      <c r="G17" s="1">
        <f>H11-F17</f>
        <v>31000</v>
      </c>
      <c r="H17" s="2"/>
      <c r="I17" s="38"/>
      <c r="J17" s="1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2"/>
      <c r="C18" s="12"/>
      <c r="E18" s="12"/>
      <c r="F18" s="9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2"/>
      <c r="C19" s="12"/>
      <c r="E19" s="12"/>
      <c r="F19" s="9"/>
      <c r="G19" s="2" t="s">
        <v>60</v>
      </c>
      <c r="H19" s="1">
        <f>D11+E11+F11+G11</f>
        <v>156000</v>
      </c>
      <c r="I19" s="1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H20" s="1"/>
      <c r="I20" s="1"/>
      <c r="J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3"/>
      <c r="B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/>
      <c r="B22" s="1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32"/>
      <c r="F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32"/>
      <c r="F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57"/>
    <col customWidth="1" min="11" max="11" width="13.86"/>
    <col customWidth="1" min="12" max="12" width="15.43"/>
  </cols>
  <sheetData>
    <row r="1">
      <c r="A1" s="40" t="s">
        <v>3</v>
      </c>
      <c r="B1" s="1"/>
      <c r="C1" s="1"/>
      <c r="D1" s="1"/>
      <c r="E1" s="1"/>
      <c r="F1" s="40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65</v>
      </c>
      <c r="B2" s="2" t="s">
        <v>66</v>
      </c>
      <c r="C2" s="2" t="s">
        <v>67</v>
      </c>
      <c r="D2" s="2" t="s">
        <v>68</v>
      </c>
      <c r="E2" s="1"/>
      <c r="F2" s="2" t="s">
        <v>65</v>
      </c>
      <c r="G2" s="2" t="s">
        <v>69</v>
      </c>
      <c r="H2" s="2" t="s">
        <v>67</v>
      </c>
      <c r="I2" s="2" t="s">
        <v>68</v>
      </c>
      <c r="J2" s="1"/>
      <c r="K2" s="1"/>
      <c r="L2" s="40" t="s">
        <v>70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1">
        <v>43886.0</v>
      </c>
      <c r="B3" s="2">
        <f t="shared" ref="B3:B22" si="1">ROUNDUP(D3/C3)</f>
        <v>45</v>
      </c>
      <c r="C3" s="2">
        <v>22.37</v>
      </c>
      <c r="D3" s="2">
        <v>1000.0</v>
      </c>
      <c r="E3" s="1"/>
      <c r="F3" s="1"/>
      <c r="G3" s="2">
        <f t="shared" ref="G3:G22" si="2">ROUNDUP(I3/H3)</f>
        <v>31</v>
      </c>
      <c r="H3" s="2">
        <v>16.44</v>
      </c>
      <c r="I3" s="2">
        <v>500.0</v>
      </c>
      <c r="J3" s="1"/>
      <c r="K3" s="1"/>
      <c r="L3" s="43">
        <f>IFERROR(__xludf.DUMMYFUNCTION("GOOGLEFINANCE(""xei"")"),16.46)</f>
        <v>16.46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1">
        <v>43887.0</v>
      </c>
      <c r="B4" s="2">
        <f t="shared" si="1"/>
        <v>47</v>
      </c>
      <c r="C4" s="2">
        <v>21.42</v>
      </c>
      <c r="D4" s="2">
        <v>1000.0</v>
      </c>
      <c r="E4" s="1"/>
      <c r="F4" s="1"/>
      <c r="G4" s="2">
        <f t="shared" si="2"/>
        <v>0</v>
      </c>
      <c r="H4" s="2">
        <v>23.0</v>
      </c>
      <c r="I4" s="2">
        <v>0.0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5">
        <v>43899.0</v>
      </c>
      <c r="B5" s="2">
        <f t="shared" si="1"/>
        <v>50</v>
      </c>
      <c r="C5" s="2">
        <v>20.32</v>
      </c>
      <c r="D5" s="2">
        <v>1000.0</v>
      </c>
      <c r="E5" s="1"/>
      <c r="F5" s="1"/>
      <c r="G5" s="2">
        <f t="shared" si="2"/>
        <v>0</v>
      </c>
      <c r="H5" s="2">
        <v>22.3</v>
      </c>
      <c r="I5" s="2">
        <v>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7">
        <v>43900.0</v>
      </c>
      <c r="B6" s="2">
        <f t="shared" si="1"/>
        <v>56</v>
      </c>
      <c r="C6" s="2">
        <v>18.03</v>
      </c>
      <c r="D6" s="2">
        <v>1000.0</v>
      </c>
      <c r="E6" s="1"/>
      <c r="F6" s="1"/>
      <c r="G6" s="2">
        <f t="shared" si="2"/>
        <v>0</v>
      </c>
      <c r="H6" s="2">
        <v>22.0</v>
      </c>
      <c r="I6" s="2">
        <v>0.0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7">
        <v>43902.0</v>
      </c>
      <c r="B7" s="2">
        <f t="shared" si="1"/>
        <v>61</v>
      </c>
      <c r="C7" s="2">
        <f>IFERROR(__xludf.DUMMYFUNCTION("GOOGLEFINANCE(""xei"")"),16.46)</f>
        <v>16.46</v>
      </c>
      <c r="D7" s="2">
        <v>1000.0</v>
      </c>
      <c r="E7" s="1"/>
      <c r="F7" s="1"/>
      <c r="G7" s="2">
        <f t="shared" si="2"/>
        <v>0</v>
      </c>
      <c r="H7" s="2">
        <v>21.9</v>
      </c>
      <c r="I7" s="2">
        <v>0.0</v>
      </c>
      <c r="J7" s="1"/>
      <c r="K7" s="40" t="s">
        <v>75</v>
      </c>
      <c r="L7" s="40" t="s">
        <v>76</v>
      </c>
      <c r="M7" s="40" t="s">
        <v>77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>
        <f t="shared" si="1"/>
        <v>24</v>
      </c>
      <c r="C8" s="2">
        <v>14.0</v>
      </c>
      <c r="D8" s="2">
        <v>330.0</v>
      </c>
      <c r="E8" s="1"/>
      <c r="F8" s="1"/>
      <c r="G8" s="2">
        <f t="shared" si="2"/>
        <v>0</v>
      </c>
      <c r="H8" s="2">
        <v>23.0</v>
      </c>
      <c r="I8" s="2">
        <v>0.0</v>
      </c>
      <c r="J8" s="1"/>
      <c r="K8" s="1">
        <f>sum(B24+G24)</f>
        <v>314</v>
      </c>
      <c r="L8" s="1">
        <f>(L3*G24)-H24</f>
        <v>10.26</v>
      </c>
      <c r="M8" s="1">
        <f>(B24*L3)-C24</f>
        <v>-671.82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f t="shared" si="1"/>
        <v>0</v>
      </c>
      <c r="C9" s="2">
        <f>IFERROR(__xludf.DUMMYFUNCTION("GOOGLEFINANCE(""xei"")"),16.46)</f>
        <v>16.46</v>
      </c>
      <c r="D9" s="2">
        <v>0.0</v>
      </c>
      <c r="E9" s="1"/>
      <c r="F9" s="1"/>
      <c r="G9" s="2">
        <f t="shared" si="2"/>
        <v>0</v>
      </c>
      <c r="H9" s="2">
        <v>22.0</v>
      </c>
      <c r="I9" s="2">
        <v>0.0</v>
      </c>
      <c r="J9" s="1"/>
      <c r="K9" s="49" t="s">
        <v>84</v>
      </c>
      <c r="L9" s="1">
        <f>G24*0.08</f>
        <v>2.48</v>
      </c>
      <c r="M9" s="1">
        <f>B24*0.08</f>
        <v>22.64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>
        <f t="shared" si="1"/>
        <v>0</v>
      </c>
      <c r="C10" s="2">
        <f>IFERROR(__xludf.DUMMYFUNCTION("GOOGLEFINANCE(""xei"")"),16.46)</f>
        <v>16.46</v>
      </c>
      <c r="D10" s="2">
        <v>0.0</v>
      </c>
      <c r="E10" s="1"/>
      <c r="F10" s="1"/>
      <c r="G10" s="2">
        <f t="shared" si="2"/>
        <v>0</v>
      </c>
      <c r="H10" s="2">
        <v>23.0</v>
      </c>
      <c r="I10" s="2">
        <v>0.0</v>
      </c>
      <c r="J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>
        <f t="shared" si="1"/>
        <v>0</v>
      </c>
      <c r="C11" s="2">
        <f>IFERROR(__xludf.DUMMYFUNCTION("GOOGLEFINANCE(""xei"")"),16.46)</f>
        <v>16.46</v>
      </c>
      <c r="D11" s="2">
        <v>0.0</v>
      </c>
      <c r="E11" s="1"/>
      <c r="F11" s="1"/>
      <c r="G11" s="2">
        <f t="shared" si="2"/>
        <v>0</v>
      </c>
      <c r="H11" s="2">
        <v>24.0</v>
      </c>
      <c r="I11" s="2">
        <v>0.0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f t="shared" si="1"/>
        <v>0</v>
      </c>
      <c r="C12" s="2">
        <f>IFERROR(__xludf.DUMMYFUNCTION("GOOGLEFINANCE(""xei"")"),16.46)</f>
        <v>16.46</v>
      </c>
      <c r="D12" s="2">
        <v>0.0</v>
      </c>
      <c r="E12" s="1"/>
      <c r="F12" s="1"/>
      <c r="G12" s="2">
        <f t="shared" si="2"/>
        <v>0</v>
      </c>
      <c r="H12" s="2">
        <v>22.0</v>
      </c>
      <c r="I12" s="2">
        <v>0.0</v>
      </c>
      <c r="J12" s="1"/>
      <c r="K12" s="40" t="s">
        <v>88</v>
      </c>
      <c r="L12" s="1">
        <f>H24+C24</f>
        <v>5830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>
        <f t="shared" si="1"/>
        <v>0</v>
      </c>
      <c r="C13" s="2">
        <f>IFERROR(__xludf.DUMMYFUNCTION("GOOGLEFINANCE(""xei"")"),16.46)</f>
        <v>16.46</v>
      </c>
      <c r="D13" s="2">
        <v>0.0</v>
      </c>
      <c r="E13" s="1"/>
      <c r="F13" s="1"/>
      <c r="G13" s="2">
        <f t="shared" si="2"/>
        <v>0</v>
      </c>
      <c r="H13" s="2">
        <v>21.0</v>
      </c>
      <c r="I13" s="2">
        <v>0.0</v>
      </c>
      <c r="J13" s="1"/>
      <c r="K13" s="40" t="s">
        <v>91</v>
      </c>
      <c r="L13" s="1">
        <f>L8+M8</f>
        <v>-661.56</v>
      </c>
      <c r="M13" s="2" t="s">
        <v>92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>
        <f t="shared" si="1"/>
        <v>0</v>
      </c>
      <c r="C14" s="2">
        <f>IFERROR(__xludf.DUMMYFUNCTION("GOOGLEFINANCE(""xei"")"),16.46)</f>
        <v>16.46</v>
      </c>
      <c r="D14" s="2">
        <v>0.0</v>
      </c>
      <c r="E14" s="1"/>
      <c r="F14" s="1"/>
      <c r="G14" s="2">
        <f t="shared" si="2"/>
        <v>0</v>
      </c>
      <c r="H14" s="2">
        <v>22.0</v>
      </c>
      <c r="I14" s="2">
        <v>0.0</v>
      </c>
      <c r="J14" s="1"/>
      <c r="K14" s="51" t="s">
        <v>94</v>
      </c>
      <c r="L14" s="52">
        <f>K8*0.11</f>
        <v>34.54</v>
      </c>
      <c r="M14" s="52">
        <f>L14*12</f>
        <v>414.48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f t="shared" si="1"/>
        <v>0</v>
      </c>
      <c r="C15" s="2">
        <f>IFERROR(__xludf.DUMMYFUNCTION("GOOGLEFINANCE(""xei"")"),16.46)</f>
        <v>16.46</v>
      </c>
      <c r="D15" s="2">
        <v>0.0</v>
      </c>
      <c r="E15" s="1"/>
      <c r="F15" s="1"/>
      <c r="G15" s="2">
        <f t="shared" si="2"/>
        <v>0</v>
      </c>
      <c r="H15" s="2">
        <v>21.0</v>
      </c>
      <c r="I15" s="2">
        <v>0.0</v>
      </c>
      <c r="J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>
        <f t="shared" si="1"/>
        <v>0</v>
      </c>
      <c r="C16" s="2">
        <f>IFERROR(__xludf.DUMMYFUNCTION("GOOGLEFINANCE(""xei"")"),16.46)</f>
        <v>16.46</v>
      </c>
      <c r="D16" s="2">
        <v>0.0</v>
      </c>
      <c r="E16" s="1"/>
      <c r="F16" s="1"/>
      <c r="G16" s="2">
        <f t="shared" si="2"/>
        <v>0</v>
      </c>
      <c r="H16" s="2">
        <v>22.0</v>
      </c>
      <c r="I16" s="2">
        <v>0.0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>
        <f t="shared" si="1"/>
        <v>0</v>
      </c>
      <c r="C17" s="2">
        <f>IFERROR(__xludf.DUMMYFUNCTION("GOOGLEFINANCE(""xei"")"),16.46)</f>
        <v>16.46</v>
      </c>
      <c r="D17" s="2">
        <v>0.0</v>
      </c>
      <c r="E17" s="1"/>
      <c r="F17" s="1"/>
      <c r="G17" s="2">
        <f t="shared" si="2"/>
        <v>0</v>
      </c>
      <c r="H17" s="2">
        <v>21.0</v>
      </c>
      <c r="I17" s="2">
        <v>0.0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>
        <f t="shared" si="1"/>
        <v>0</v>
      </c>
      <c r="C18" s="2">
        <f>IFERROR(__xludf.DUMMYFUNCTION("GOOGLEFINANCE(""xei"")"),16.46)</f>
        <v>16.46</v>
      </c>
      <c r="D18" s="2">
        <v>0.0</v>
      </c>
      <c r="E18" s="1"/>
      <c r="F18" s="1"/>
      <c r="G18" s="2">
        <f t="shared" si="2"/>
        <v>0</v>
      </c>
      <c r="H18" s="2">
        <v>22.0</v>
      </c>
      <c r="I18" s="2">
        <v>0.0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>
        <f t="shared" si="1"/>
        <v>0</v>
      </c>
      <c r="C19" s="2">
        <f>IFERROR(__xludf.DUMMYFUNCTION("GOOGLEFINANCE(""xei"")"),16.46)</f>
        <v>16.46</v>
      </c>
      <c r="D19" s="2">
        <v>0.0</v>
      </c>
      <c r="E19" s="1"/>
      <c r="F19" s="1"/>
      <c r="G19" s="2">
        <f t="shared" si="2"/>
        <v>0</v>
      </c>
      <c r="H19" s="2">
        <v>23.0</v>
      </c>
      <c r="I19" s="2">
        <v>0.0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>
        <f t="shared" si="1"/>
        <v>0</v>
      </c>
      <c r="C20" s="2">
        <f>IFERROR(__xludf.DUMMYFUNCTION("GOOGLEFINANCE(""xei"")"),16.46)</f>
        <v>16.46</v>
      </c>
      <c r="D20" s="2">
        <v>0.0</v>
      </c>
      <c r="E20" s="1"/>
      <c r="F20" s="1"/>
      <c r="G20" s="2">
        <f t="shared" si="2"/>
        <v>0</v>
      </c>
      <c r="H20" s="2">
        <v>21.0</v>
      </c>
      <c r="I20" s="2">
        <v>0.0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>
        <f t="shared" si="1"/>
        <v>0</v>
      </c>
      <c r="C21" s="2">
        <f>IFERROR(__xludf.DUMMYFUNCTION("GOOGLEFINANCE(""xei"")"),16.46)</f>
        <v>16.46</v>
      </c>
      <c r="D21" s="2">
        <v>0.0</v>
      </c>
      <c r="E21" s="1"/>
      <c r="F21" s="1"/>
      <c r="G21" s="2">
        <f t="shared" si="2"/>
        <v>0</v>
      </c>
      <c r="H21" s="2">
        <v>22.0</v>
      </c>
      <c r="I21" s="2">
        <v>0.0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>
        <f t="shared" si="1"/>
        <v>0</v>
      </c>
      <c r="C22" s="2">
        <f>IFERROR(__xludf.DUMMYFUNCTION("GOOGLEFINANCE(""xei"")"),16.46)</f>
        <v>16.46</v>
      </c>
      <c r="D22" s="2">
        <v>0.0</v>
      </c>
      <c r="E22" s="1"/>
      <c r="F22" s="1"/>
      <c r="G22" s="2">
        <f t="shared" si="2"/>
        <v>0</v>
      </c>
      <c r="H22" s="2">
        <v>22.0</v>
      </c>
      <c r="I22" s="2">
        <v>0.0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0" t="s">
        <v>101</v>
      </c>
      <c r="B24" s="1">
        <f>sum(B3:B23)</f>
        <v>283</v>
      </c>
      <c r="C24" s="1">
        <f>sum(D3:D23)</f>
        <v>5330</v>
      </c>
      <c r="D24" s="1">
        <f>C24/B24</f>
        <v>18.83392226</v>
      </c>
      <c r="E24" s="1"/>
      <c r="F24" s="1"/>
      <c r="G24" s="1">
        <f>sum(G3:G23)</f>
        <v>31</v>
      </c>
      <c r="H24" s="1">
        <f>sum(I3:I23)</f>
        <v>500</v>
      </c>
      <c r="I24" s="1">
        <f>H24/G24</f>
        <v>16.12903226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0"/>
    <col customWidth="1" min="5" max="5" width="8.0"/>
    <col customWidth="1" min="6" max="6" width="9.57"/>
    <col customWidth="1" min="7" max="7" width="16.86"/>
    <col customWidth="1" min="8" max="8" width="15.86"/>
  </cols>
  <sheetData>
    <row r="3">
      <c r="A3" s="2"/>
      <c r="B3" s="1"/>
      <c r="C3" s="1"/>
      <c r="D3" s="1"/>
      <c r="E3" s="1"/>
      <c r="F3" s="1"/>
      <c r="G3" s="2" t="s">
        <v>123</v>
      </c>
      <c r="H3" s="26" t="s">
        <v>124</v>
      </c>
      <c r="I3" s="2" t="s">
        <v>125</v>
      </c>
      <c r="J3" s="26" t="s">
        <v>126</v>
      </c>
    </row>
    <row r="4">
      <c r="A4" s="1"/>
      <c r="B4" s="2">
        <v>25000.0</v>
      </c>
      <c r="C4" s="87" t="s">
        <v>127</v>
      </c>
      <c r="D4" s="2">
        <f>IFERROR(__xludf.DUMMYFUNCTION("GOOGLEFINANCE(""xei"")"),16.46)</f>
        <v>16.46</v>
      </c>
      <c r="E4" s="87">
        <v>4.72</v>
      </c>
      <c r="F4" s="88">
        <v>0.08</v>
      </c>
      <c r="G4" s="1">
        <f t="shared" ref="G4:G5" si="1">ROUNDDOWN(B4/D4)</f>
        <v>1518</v>
      </c>
      <c r="H4" s="37">
        <f t="shared" ref="H4:H5" si="2">F4*G4</f>
        <v>121.44</v>
      </c>
      <c r="I4" s="2">
        <f t="shared" ref="I4:I5" si="3">H4*12</f>
        <v>1457.28</v>
      </c>
      <c r="J4" s="1">
        <f t="shared" ref="J4:J5" si="4">round(H4/3,0)</f>
        <v>40</v>
      </c>
    </row>
    <row r="5">
      <c r="A5" s="1"/>
      <c r="B5" s="2">
        <v>10000.0</v>
      </c>
      <c r="C5" s="87" t="s">
        <v>128</v>
      </c>
      <c r="D5" s="2">
        <f>IFERROR(__xludf.DUMMYFUNCTION("GOOGLEFINANCE(""zdv"")"),13.42)</f>
        <v>13.42</v>
      </c>
      <c r="E5" s="87">
        <v>4.39</v>
      </c>
      <c r="F5" s="88">
        <v>0.07</v>
      </c>
      <c r="G5" s="1">
        <f t="shared" si="1"/>
        <v>745</v>
      </c>
      <c r="H5" s="37">
        <f t="shared" si="2"/>
        <v>52.15</v>
      </c>
      <c r="I5" s="2">
        <f t="shared" si="3"/>
        <v>625.8</v>
      </c>
      <c r="J5" s="1">
        <f t="shared" si="4"/>
        <v>17</v>
      </c>
    </row>
    <row r="6">
      <c r="A6" s="1"/>
      <c r="B6" s="2"/>
      <c r="C6" s="87"/>
      <c r="D6" s="2"/>
      <c r="E6" s="87"/>
      <c r="F6" s="88"/>
      <c r="G6" s="1"/>
      <c r="H6" s="37"/>
      <c r="I6" s="2"/>
      <c r="J6" s="1"/>
    </row>
    <row r="7">
      <c r="A7" s="1"/>
      <c r="B7" s="2">
        <v>5000.0</v>
      </c>
      <c r="C7" s="89" t="s">
        <v>129</v>
      </c>
      <c r="D7" s="2">
        <v>43.0</v>
      </c>
      <c r="E7" s="87">
        <v>4.72</v>
      </c>
      <c r="F7" s="88">
        <v>0.81</v>
      </c>
      <c r="G7" s="1">
        <f t="shared" ref="G7:G13" si="5">ROUNDDOWN(B7/D7)</f>
        <v>116</v>
      </c>
      <c r="H7" s="37">
        <f t="shared" ref="H7:H13" si="6">F7*G7</f>
        <v>93.96</v>
      </c>
      <c r="I7" s="2">
        <f t="shared" ref="I7:I13" si="7">H7*4</f>
        <v>375.84</v>
      </c>
      <c r="J7" s="1">
        <f t="shared" ref="J7:J13" si="8">round(H7/3,0)</f>
        <v>31</v>
      </c>
    </row>
    <row r="8">
      <c r="B8" s="2">
        <v>5000.0</v>
      </c>
      <c r="C8" s="89" t="s">
        <v>130</v>
      </c>
      <c r="D8" s="2">
        <v>56.0</v>
      </c>
      <c r="E8" s="87">
        <v>4.72</v>
      </c>
      <c r="F8" s="88">
        <v>0.79</v>
      </c>
      <c r="G8" s="1">
        <f t="shared" si="5"/>
        <v>89</v>
      </c>
      <c r="H8" s="37">
        <f t="shared" si="6"/>
        <v>70.31</v>
      </c>
      <c r="I8" s="2">
        <f t="shared" si="7"/>
        <v>281.24</v>
      </c>
      <c r="J8" s="1">
        <f t="shared" si="8"/>
        <v>23</v>
      </c>
    </row>
    <row r="9">
      <c r="B9" s="2">
        <v>5000.0</v>
      </c>
      <c r="C9" s="89" t="s">
        <v>131</v>
      </c>
      <c r="D9" s="2">
        <v>85.0</v>
      </c>
      <c r="E9" s="87">
        <v>4.39</v>
      </c>
      <c r="F9" s="88">
        <v>1.46</v>
      </c>
      <c r="G9" s="1">
        <f t="shared" si="5"/>
        <v>58</v>
      </c>
      <c r="H9" s="37">
        <f t="shared" si="6"/>
        <v>84.68</v>
      </c>
      <c r="I9" s="2">
        <f t="shared" si="7"/>
        <v>338.72</v>
      </c>
      <c r="J9" s="1">
        <f t="shared" si="8"/>
        <v>28</v>
      </c>
    </row>
    <row r="10">
      <c r="B10" s="2">
        <v>5000.0</v>
      </c>
      <c r="C10" s="89" t="s">
        <v>132</v>
      </c>
      <c r="D10" s="2">
        <v>22.55</v>
      </c>
      <c r="E10" s="87">
        <v>4.39</v>
      </c>
      <c r="F10" s="88">
        <v>0.29</v>
      </c>
      <c r="G10" s="1">
        <f t="shared" si="5"/>
        <v>221</v>
      </c>
      <c r="H10" s="37">
        <f t="shared" si="6"/>
        <v>64.09</v>
      </c>
      <c r="I10" s="2">
        <f t="shared" si="7"/>
        <v>256.36</v>
      </c>
      <c r="J10" s="1">
        <f t="shared" si="8"/>
        <v>21</v>
      </c>
    </row>
    <row r="11">
      <c r="B11" s="2">
        <v>5000.0</v>
      </c>
      <c r="C11" s="89" t="s">
        <v>133</v>
      </c>
      <c r="D11" s="2">
        <v>58.0</v>
      </c>
      <c r="E11" s="87">
        <v>4.39</v>
      </c>
      <c r="F11" s="88">
        <v>0.9</v>
      </c>
      <c r="G11" s="1">
        <f t="shared" si="5"/>
        <v>86</v>
      </c>
      <c r="H11" s="37">
        <f t="shared" si="6"/>
        <v>77.4</v>
      </c>
      <c r="I11" s="2">
        <f t="shared" si="7"/>
        <v>309.6</v>
      </c>
      <c r="J11" s="1">
        <f t="shared" si="8"/>
        <v>26</v>
      </c>
    </row>
    <row r="12">
      <c r="B12" s="2">
        <v>5000.0</v>
      </c>
      <c r="C12" s="89" t="s">
        <v>134</v>
      </c>
      <c r="D12" s="2">
        <v>53.0</v>
      </c>
      <c r="E12" s="87">
        <v>4.39</v>
      </c>
      <c r="F12" s="88">
        <v>0.71</v>
      </c>
      <c r="G12" s="1">
        <f t="shared" si="5"/>
        <v>94</v>
      </c>
      <c r="H12" s="37">
        <f t="shared" si="6"/>
        <v>66.74</v>
      </c>
      <c r="I12" s="2">
        <f t="shared" si="7"/>
        <v>266.96</v>
      </c>
      <c r="J12" s="1">
        <f t="shared" si="8"/>
        <v>22</v>
      </c>
    </row>
    <row r="13">
      <c r="B13" s="2">
        <v>5000.0</v>
      </c>
      <c r="C13" s="89" t="s">
        <v>135</v>
      </c>
      <c r="D13" s="2">
        <v>65.0</v>
      </c>
      <c r="E13" s="87">
        <v>4.39</v>
      </c>
      <c r="F13" s="88">
        <v>1.07</v>
      </c>
      <c r="G13" s="1">
        <f t="shared" si="5"/>
        <v>76</v>
      </c>
      <c r="H13" s="37">
        <f t="shared" si="6"/>
        <v>81.32</v>
      </c>
      <c r="I13" s="2">
        <f t="shared" si="7"/>
        <v>325.28</v>
      </c>
      <c r="J13" s="1">
        <f t="shared" si="8"/>
        <v>27</v>
      </c>
    </row>
    <row r="14">
      <c r="B14" s="13"/>
      <c r="G14" s="11" t="s">
        <v>136</v>
      </c>
      <c r="H14">
        <f>sum(H4:H10)</f>
        <v>486.63</v>
      </c>
      <c r="I14" s="13"/>
    </row>
    <row r="15">
      <c r="B15" s="13"/>
      <c r="D15" s="90"/>
      <c r="I15" s="13"/>
    </row>
    <row r="16">
      <c r="B16" s="13"/>
      <c r="I16" s="13"/>
    </row>
    <row r="17">
      <c r="B17" s="13"/>
      <c r="G17" s="2" t="s">
        <v>137</v>
      </c>
      <c r="H17" s="2" t="s">
        <v>35</v>
      </c>
      <c r="I17" s="13"/>
    </row>
    <row r="18">
      <c r="B18" s="2">
        <v>1000.0</v>
      </c>
      <c r="C18" s="91" t="s">
        <v>138</v>
      </c>
      <c r="D18" s="89">
        <v>40.0</v>
      </c>
      <c r="E18" s="92">
        <v>1.0</v>
      </c>
      <c r="F18" s="1">
        <f t="shared" ref="F18:F25" si="9">ROUNDDOWN(B18/D18)</f>
        <v>25</v>
      </c>
      <c r="G18" s="1">
        <f>E18*F18</f>
        <v>25</v>
      </c>
      <c r="H18" s="1">
        <f t="shared" ref="H18:H25" si="10">round(G18/3,0)</f>
        <v>8</v>
      </c>
      <c r="I18" s="13"/>
    </row>
    <row r="19">
      <c r="B19" s="2">
        <v>1000.0</v>
      </c>
      <c r="C19" s="93" t="s">
        <v>139</v>
      </c>
      <c r="D19" s="89">
        <v>21.0</v>
      </c>
      <c r="E19" s="17">
        <v>0.44</v>
      </c>
      <c r="F19" s="1">
        <f t="shared" si="9"/>
        <v>47</v>
      </c>
      <c r="G19" s="1">
        <f>(E19*F19)</f>
        <v>20.68</v>
      </c>
      <c r="H19" s="1">
        <f t="shared" si="10"/>
        <v>7</v>
      </c>
      <c r="I19" s="13"/>
    </row>
    <row r="20">
      <c r="B20" s="2">
        <v>5000.0</v>
      </c>
      <c r="C20" s="89" t="s">
        <v>140</v>
      </c>
      <c r="D20" s="89">
        <v>81.78</v>
      </c>
      <c r="E20" s="92">
        <v>1.48</v>
      </c>
      <c r="F20" s="1">
        <f t="shared" si="9"/>
        <v>61</v>
      </c>
      <c r="G20" s="1">
        <f>E20*F20</f>
        <v>90.28</v>
      </c>
      <c r="H20" s="1">
        <f t="shared" si="10"/>
        <v>30</v>
      </c>
      <c r="I20" s="13"/>
    </row>
    <row r="21">
      <c r="B21" s="2">
        <v>1000.0</v>
      </c>
      <c r="C21" s="91" t="s">
        <v>133</v>
      </c>
      <c r="D21" s="89">
        <v>55.0</v>
      </c>
      <c r="E21" s="17">
        <v>0.9</v>
      </c>
      <c r="F21" s="1">
        <f t="shared" si="9"/>
        <v>18</v>
      </c>
      <c r="G21" s="1">
        <f t="shared" ref="G21:G25" si="11">(E21*F21)</f>
        <v>16.2</v>
      </c>
      <c r="H21" s="1">
        <f t="shared" si="10"/>
        <v>5</v>
      </c>
      <c r="I21" s="13"/>
    </row>
    <row r="22">
      <c r="B22" s="2">
        <v>1000.0</v>
      </c>
      <c r="C22" s="91" t="s">
        <v>130</v>
      </c>
      <c r="D22" s="89">
        <v>60.0</v>
      </c>
      <c r="E22" s="17">
        <v>0.79</v>
      </c>
      <c r="F22" s="1">
        <f t="shared" si="9"/>
        <v>16</v>
      </c>
      <c r="G22" s="1">
        <f t="shared" si="11"/>
        <v>12.64</v>
      </c>
      <c r="H22" s="1">
        <f t="shared" si="10"/>
        <v>4</v>
      </c>
      <c r="I22" s="13"/>
    </row>
    <row r="23">
      <c r="B23" s="2">
        <v>1000.0</v>
      </c>
      <c r="C23" s="91" t="s">
        <v>135</v>
      </c>
      <c r="D23" s="89">
        <v>75.0</v>
      </c>
      <c r="E23" s="17">
        <v>1.0</v>
      </c>
      <c r="F23" s="1">
        <f t="shared" si="9"/>
        <v>13</v>
      </c>
      <c r="G23" s="1">
        <f t="shared" si="11"/>
        <v>13</v>
      </c>
      <c r="H23" s="1">
        <f t="shared" si="10"/>
        <v>4</v>
      </c>
    </row>
    <row r="24">
      <c r="B24" s="2">
        <v>1000.0</v>
      </c>
      <c r="C24" s="91" t="s">
        <v>141</v>
      </c>
      <c r="D24" s="89">
        <v>19.0</v>
      </c>
      <c r="E24" s="17">
        <v>0.29</v>
      </c>
      <c r="F24" s="1">
        <f t="shared" si="9"/>
        <v>52</v>
      </c>
      <c r="G24" s="1">
        <f t="shared" si="11"/>
        <v>15.08</v>
      </c>
      <c r="H24" s="1">
        <f t="shared" si="10"/>
        <v>5</v>
      </c>
    </row>
    <row r="25">
      <c r="B25" s="2">
        <v>1000.0</v>
      </c>
      <c r="C25" s="91" t="s">
        <v>142</v>
      </c>
      <c r="D25" s="89">
        <v>17.0</v>
      </c>
      <c r="E25" s="17">
        <v>0.29</v>
      </c>
      <c r="F25" s="1">
        <f t="shared" si="9"/>
        <v>58</v>
      </c>
      <c r="G25" s="1">
        <f t="shared" si="11"/>
        <v>16.82</v>
      </c>
      <c r="H25" s="1">
        <f t="shared" si="10"/>
        <v>6</v>
      </c>
    </row>
    <row r="26">
      <c r="B26" s="2"/>
      <c r="C26" s="91"/>
      <c r="D26" s="89"/>
      <c r="E26" s="17"/>
      <c r="F26" s="1"/>
      <c r="G26" s="1"/>
      <c r="H26" s="1"/>
    </row>
    <row r="27">
      <c r="B27" s="2"/>
      <c r="C27" s="91"/>
      <c r="D27" s="89"/>
      <c r="E27" s="17"/>
      <c r="F27" s="1"/>
      <c r="G27" s="1"/>
      <c r="H27" s="1"/>
    </row>
    <row r="28">
      <c r="F28" s="94"/>
      <c r="G28" s="95"/>
    </row>
    <row r="29">
      <c r="F29" s="94" t="s">
        <v>143</v>
      </c>
      <c r="G29" s="90">
        <f>sum(G18:G24)</f>
        <v>192.88</v>
      </c>
      <c r="H29" s="1">
        <f>sum(H20:H22)</f>
        <v>39</v>
      </c>
    </row>
    <row r="30">
      <c r="F30" s="94"/>
      <c r="G30" s="95"/>
    </row>
    <row r="31">
      <c r="F31" s="94"/>
      <c r="G31" s="95"/>
    </row>
    <row r="32">
      <c r="F32" s="94"/>
      <c r="G32" s="95"/>
    </row>
    <row r="33">
      <c r="F33" s="94"/>
      <c r="G33" s="95"/>
    </row>
    <row r="34">
      <c r="F34" s="94"/>
      <c r="G34" s="95"/>
    </row>
    <row r="35">
      <c r="F35" s="9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71"/>
    <col customWidth="1" min="3" max="3" width="15.29"/>
    <col customWidth="1" min="5" max="5" width="20.43"/>
    <col customWidth="1" min="7" max="7" width="15.57"/>
  </cols>
  <sheetData>
    <row r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>
      <c r="A2" s="25"/>
      <c r="B2" s="25"/>
      <c r="C2" s="25"/>
      <c r="D2" s="96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>
      <c r="A3" s="12" t="s">
        <v>117</v>
      </c>
      <c r="B3" s="12">
        <v>105.0</v>
      </c>
      <c r="C3" s="20">
        <v>13.75</v>
      </c>
      <c r="D3" s="39">
        <f t="shared" ref="D3:D4" si="1">-(C3*B3)</f>
        <v>-1443.75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>
      <c r="A4" s="2" t="s">
        <v>100</v>
      </c>
      <c r="B4" s="100">
        <v>137.0</v>
      </c>
      <c r="C4" s="101">
        <v>14.9</v>
      </c>
      <c r="D4" s="102">
        <f t="shared" si="1"/>
        <v>-2041.3</v>
      </c>
      <c r="E4" s="15"/>
      <c r="F4" s="25"/>
      <c r="G4" s="103" t="s">
        <v>144</v>
      </c>
      <c r="H4" s="103" t="s">
        <v>145</v>
      </c>
      <c r="I4" s="103" t="s">
        <v>15</v>
      </c>
      <c r="J4" s="104">
        <v>2026.4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>
      <c r="A5" s="40"/>
      <c r="B5" s="100"/>
      <c r="C5" s="101"/>
      <c r="D5" s="102"/>
      <c r="E5" s="25"/>
      <c r="G5" s="106"/>
      <c r="H5" s="106"/>
      <c r="I5" s="106"/>
      <c r="J5" s="106"/>
      <c r="K5" s="15" t="s">
        <v>146</v>
      </c>
      <c r="L5" s="15"/>
      <c r="M5" s="15"/>
      <c r="P5" s="25"/>
      <c r="Q5" s="25"/>
      <c r="R5" s="25"/>
      <c r="S5" s="25"/>
      <c r="T5" s="15"/>
      <c r="U5" s="25"/>
      <c r="V5" s="25"/>
    </row>
    <row r="6">
      <c r="A6" s="96"/>
      <c r="B6" s="27"/>
      <c r="C6" s="25"/>
      <c r="D6" s="108"/>
      <c r="E6" s="27"/>
      <c r="G6" s="110">
        <v>2041.0</v>
      </c>
      <c r="H6" s="110">
        <v>136.0</v>
      </c>
      <c r="I6" s="111">
        <v>14.9</v>
      </c>
      <c r="J6" s="112">
        <v>2.0</v>
      </c>
      <c r="K6" s="25"/>
      <c r="L6" s="15"/>
      <c r="M6" s="15"/>
      <c r="P6" s="25"/>
      <c r="Q6" s="25"/>
      <c r="R6" s="15"/>
      <c r="S6" s="113"/>
      <c r="T6" s="15"/>
      <c r="U6" s="25"/>
      <c r="V6" s="25"/>
    </row>
    <row r="7">
      <c r="A7" s="96"/>
      <c r="B7" s="115"/>
      <c r="C7" s="15"/>
      <c r="D7" s="96"/>
      <c r="E7" s="116">
        <v>10.99</v>
      </c>
      <c r="G7" s="110">
        <v>0.0</v>
      </c>
      <c r="H7" s="110">
        <v>0.0</v>
      </c>
      <c r="I7" s="111">
        <v>8.77</v>
      </c>
      <c r="J7" s="92">
        <v>0.0</v>
      </c>
      <c r="K7" s="15" t="s">
        <v>148</v>
      </c>
      <c r="L7" s="15" t="s">
        <v>149</v>
      </c>
      <c r="M7" s="15" t="s">
        <v>150</v>
      </c>
      <c r="N7" s="2" t="s">
        <v>151</v>
      </c>
      <c r="P7" s="25"/>
      <c r="Q7" s="25"/>
      <c r="R7" s="15"/>
      <c r="S7" s="113"/>
      <c r="T7" s="15"/>
      <c r="U7" s="25"/>
      <c r="V7" s="25"/>
    </row>
    <row r="8">
      <c r="A8" s="25"/>
      <c r="B8" s="25"/>
      <c r="C8" s="25"/>
      <c r="D8" s="25"/>
      <c r="E8" s="116">
        <v>10.99</v>
      </c>
      <c r="G8" s="110">
        <v>0.0</v>
      </c>
      <c r="H8" s="110">
        <v>0.0</v>
      </c>
      <c r="I8" s="111">
        <v>70.0</v>
      </c>
      <c r="J8" s="92">
        <v>0.0</v>
      </c>
      <c r="K8" s="25"/>
      <c r="L8" s="15"/>
      <c r="M8" s="15"/>
      <c r="N8" s="25"/>
      <c r="O8" s="25"/>
      <c r="P8" s="15"/>
      <c r="Q8" s="15"/>
      <c r="R8" s="15"/>
      <c r="S8" s="113"/>
      <c r="T8" s="15"/>
      <c r="U8" s="25"/>
      <c r="V8" s="25"/>
    </row>
    <row r="9">
      <c r="A9" s="25"/>
      <c r="B9" s="25"/>
      <c r="C9" s="15"/>
      <c r="D9" s="25"/>
      <c r="E9" s="116">
        <v>10.99</v>
      </c>
      <c r="G9" s="110">
        <v>0.0</v>
      </c>
      <c r="H9" s="110">
        <v>0.0</v>
      </c>
      <c r="I9" s="111">
        <v>1.89</v>
      </c>
      <c r="J9" s="92">
        <v>0.0</v>
      </c>
      <c r="K9" s="15">
        <v>2000.0</v>
      </c>
      <c r="L9" s="15">
        <v>0.09</v>
      </c>
      <c r="M9" s="15">
        <f t="shared" ref="M9:M10" si="2">K9*L9</f>
        <v>180</v>
      </c>
      <c r="N9" s="25">
        <f t="shared" ref="N9:N10" si="3">M9/4</f>
        <v>45</v>
      </c>
      <c r="R9" s="15"/>
      <c r="S9" s="113"/>
      <c r="T9" s="15"/>
      <c r="U9" s="25"/>
      <c r="V9" s="25"/>
    </row>
    <row r="10">
      <c r="A10" s="15"/>
      <c r="B10" s="15"/>
      <c r="C10" s="15"/>
      <c r="D10" s="96"/>
      <c r="E10" s="96">
        <v>10.99</v>
      </c>
      <c r="G10" s="106"/>
      <c r="H10" s="110">
        <v>0.0</v>
      </c>
      <c r="I10" s="111">
        <v>250.0</v>
      </c>
      <c r="J10" s="92">
        <v>0.0</v>
      </c>
      <c r="K10" s="15">
        <f>C20</f>
        <v>48</v>
      </c>
      <c r="L10" s="15">
        <v>0.4</v>
      </c>
      <c r="M10" s="15">
        <f t="shared" si="2"/>
        <v>19.2</v>
      </c>
      <c r="N10" s="25">
        <f t="shared" si="3"/>
        <v>4.8</v>
      </c>
      <c r="R10" s="15"/>
      <c r="S10" s="113"/>
      <c r="T10" s="15"/>
      <c r="U10" s="25"/>
      <c r="V10" s="25"/>
    </row>
    <row r="11">
      <c r="A11" s="96"/>
      <c r="B11" s="15">
        <v>4.2</v>
      </c>
      <c r="C11" s="116">
        <v>5.42</v>
      </c>
      <c r="D11" s="116">
        <v>10.0</v>
      </c>
      <c r="G11" s="106"/>
      <c r="H11" s="106"/>
      <c r="I11" s="106"/>
      <c r="J11" s="120"/>
      <c r="K11" s="15"/>
      <c r="L11" s="15"/>
      <c r="M11" s="15"/>
      <c r="N11" s="25"/>
      <c r="R11" s="15"/>
      <c r="S11" s="113"/>
      <c r="T11" s="15"/>
      <c r="U11" s="25"/>
      <c r="V11" s="25"/>
    </row>
    <row r="12">
      <c r="A12" s="96"/>
      <c r="B12" s="121">
        <f>(B20*B11)/100</f>
        <v>1.302</v>
      </c>
      <c r="C12" s="121">
        <f>(B20*C11)/100</f>
        <v>1.6802</v>
      </c>
      <c r="D12" s="121">
        <f>(B20*D11)/100</f>
        <v>3.1</v>
      </c>
      <c r="G12" s="106"/>
      <c r="H12" s="106"/>
      <c r="I12" s="106"/>
      <c r="J12" s="120"/>
      <c r="K12" s="15"/>
      <c r="L12" s="15"/>
      <c r="M12" s="15"/>
      <c r="N12" s="25"/>
      <c r="R12" s="25"/>
      <c r="S12" s="25"/>
      <c r="T12" s="25"/>
      <c r="U12" s="25"/>
      <c r="V12" s="25"/>
    </row>
    <row r="13">
      <c r="A13" s="15" t="s">
        <v>156</v>
      </c>
      <c r="B13" s="27">
        <f>(B20+B12)</f>
        <v>32.302</v>
      </c>
      <c r="C13" s="27">
        <f>(B20+C12)</f>
        <v>32.6802</v>
      </c>
      <c r="D13" s="27">
        <f>(B20+D12)</f>
        <v>34.1</v>
      </c>
      <c r="G13" s="123" t="s">
        <v>157</v>
      </c>
      <c r="H13" s="125" t="s">
        <v>158</v>
      </c>
      <c r="I13" s="125" t="s">
        <v>159</v>
      </c>
      <c r="J13" s="120"/>
      <c r="N13" s="25"/>
      <c r="R13" s="25"/>
      <c r="S13" s="25"/>
      <c r="T13" s="25"/>
      <c r="U13" s="25"/>
      <c r="V13" s="25"/>
    </row>
    <row r="14">
      <c r="A14" s="96" t="s">
        <v>160</v>
      </c>
      <c r="B14" s="25">
        <f>(B13*C20)-(C20*B20)-20.99</f>
        <v>41.506</v>
      </c>
      <c r="C14" s="25">
        <f>(C13*C20)-(B20*C20)-20.99</f>
        <v>59.6596</v>
      </c>
      <c r="D14" s="25">
        <f>((D13*C20)-(B20*C20)-20.99)</f>
        <v>127.81</v>
      </c>
      <c r="G14" s="106"/>
      <c r="H14" s="110">
        <v>136.0</v>
      </c>
      <c r="I14" s="110">
        <v>14.9</v>
      </c>
      <c r="J14" s="120"/>
      <c r="N14" s="25"/>
      <c r="O14" s="25"/>
      <c r="R14" s="25"/>
      <c r="S14" s="25"/>
      <c r="T14" s="25"/>
      <c r="U14" s="25"/>
      <c r="V14" s="25"/>
    </row>
    <row r="15">
      <c r="A15" s="96"/>
      <c r="B15" s="116"/>
      <c r="C15" s="25"/>
      <c r="D15" s="96"/>
      <c r="G15" s="110">
        <v>43.96</v>
      </c>
      <c r="H15" s="126" t="s">
        <v>162</v>
      </c>
      <c r="I15" s="126" t="s">
        <v>164</v>
      </c>
      <c r="J15" s="120"/>
      <c r="N15" s="25"/>
      <c r="O15" s="25"/>
      <c r="R15" s="25"/>
      <c r="S15" s="25"/>
      <c r="T15" s="25"/>
      <c r="U15" s="25"/>
      <c r="V15" s="25"/>
    </row>
    <row r="16">
      <c r="A16" s="15"/>
      <c r="B16" s="15" t="s">
        <v>165</v>
      </c>
      <c r="C16" s="25"/>
      <c r="D16" s="15"/>
      <c r="E16" s="15"/>
      <c r="G16" s="106"/>
      <c r="H16" s="92">
        <v>42.0</v>
      </c>
      <c r="I16" s="92">
        <v>3641.64</v>
      </c>
      <c r="J16" s="120"/>
      <c r="K16" s="15"/>
      <c r="L16" s="25"/>
      <c r="N16" s="25"/>
      <c r="O16" s="25"/>
      <c r="P16" s="15"/>
      <c r="Q16" s="25"/>
      <c r="R16" s="25"/>
      <c r="S16" s="25"/>
      <c r="T16" s="25"/>
      <c r="U16" s="25"/>
      <c r="V16" s="25"/>
    </row>
    <row r="17">
      <c r="A17" s="96"/>
      <c r="B17" s="128">
        <v>1500.0</v>
      </c>
      <c r="C17" s="15"/>
      <c r="D17" s="96"/>
      <c r="E17" s="15"/>
      <c r="J17" s="25"/>
      <c r="K17" s="15"/>
      <c r="L17" s="25"/>
      <c r="M17" s="25"/>
      <c r="N17" s="25"/>
      <c r="O17" s="25"/>
      <c r="P17" s="15"/>
      <c r="Q17" s="25"/>
      <c r="R17" s="25"/>
      <c r="S17" s="25"/>
      <c r="T17" s="25"/>
      <c r="U17" s="25"/>
      <c r="V17" s="25"/>
    </row>
    <row r="18">
      <c r="A18" s="115"/>
      <c r="B18" s="15"/>
      <c r="C18" s="25"/>
      <c r="D18" s="15"/>
      <c r="E18" s="25"/>
      <c r="F18" s="25"/>
      <c r="G18" s="15"/>
      <c r="H18" s="15"/>
      <c r="I18" s="27"/>
      <c r="J18" s="25"/>
      <c r="K18" s="15"/>
      <c r="L18" s="25"/>
      <c r="M18" s="25"/>
      <c r="N18" s="15" t="s">
        <v>166</v>
      </c>
      <c r="O18" s="15" t="s">
        <v>165</v>
      </c>
      <c r="P18" s="15" t="s">
        <v>167</v>
      </c>
      <c r="Q18" s="15" t="s">
        <v>168</v>
      </c>
      <c r="R18" s="25"/>
      <c r="S18" s="25"/>
      <c r="T18" s="25"/>
      <c r="U18" s="25"/>
      <c r="V18" s="25"/>
    </row>
    <row r="19">
      <c r="A19" s="15" t="s">
        <v>169</v>
      </c>
      <c r="B19" s="15" t="s">
        <v>170</v>
      </c>
      <c r="C19" s="15" t="s">
        <v>166</v>
      </c>
      <c r="D19" s="15" t="s">
        <v>167</v>
      </c>
      <c r="E19" s="15" t="s">
        <v>168</v>
      </c>
      <c r="F19" s="33"/>
      <c r="G19" s="2" t="s">
        <v>171</v>
      </c>
      <c r="I19" s="27" t="s">
        <v>172</v>
      </c>
      <c r="J19" s="25"/>
      <c r="K19" s="15"/>
      <c r="L19" s="15"/>
      <c r="M19" s="25"/>
      <c r="N19" s="15">
        <v>290.0</v>
      </c>
      <c r="O19" s="15">
        <v>6.4</v>
      </c>
      <c r="P19" s="15">
        <v>8.0</v>
      </c>
      <c r="Q19" s="25">
        <f>(N19*P19)-(N19*O19)</f>
        <v>464</v>
      </c>
      <c r="R19" s="25"/>
      <c r="S19" s="25"/>
      <c r="T19" s="25"/>
      <c r="U19" s="25"/>
      <c r="V19" s="25"/>
    </row>
    <row r="20">
      <c r="A20" s="27">
        <f>B17</f>
        <v>1500</v>
      </c>
      <c r="B20" s="130">
        <v>31.0</v>
      </c>
      <c r="C20" s="15">
        <f>ROUNDDOWN(A20/B20)</f>
        <v>48</v>
      </c>
      <c r="D20" s="15">
        <v>37.0</v>
      </c>
      <c r="E20" s="25">
        <f>((C20*D20)-(B20*C20)-20.99)</f>
        <v>267.01</v>
      </c>
      <c r="F20" s="33"/>
      <c r="G20" s="12">
        <v>100.0</v>
      </c>
      <c r="H20" s="12">
        <v>6.5</v>
      </c>
      <c r="I20" s="27">
        <f>G20-G21</f>
        <v>40</v>
      </c>
      <c r="J20" s="25"/>
      <c r="K20" s="134"/>
      <c r="L20" s="46"/>
      <c r="M20" s="25"/>
      <c r="N20" s="15"/>
      <c r="O20" s="15"/>
      <c r="P20" s="15"/>
      <c r="Q20" s="25">
        <f>SUM(M20:P20)</f>
        <v>0</v>
      </c>
      <c r="R20" s="25"/>
      <c r="S20" s="25"/>
      <c r="T20" s="25"/>
      <c r="U20" s="25"/>
      <c r="V20" s="25"/>
    </row>
    <row r="21">
      <c r="A21" s="15"/>
      <c r="B21" s="17"/>
      <c r="C21" s="33"/>
      <c r="D21" s="2"/>
      <c r="E21" s="1"/>
      <c r="F21" s="33"/>
      <c r="G21" s="12">
        <v>60.0</v>
      </c>
      <c r="H21" s="138">
        <f>100-I20</f>
        <v>60</v>
      </c>
      <c r="I21" s="27"/>
      <c r="J21" s="46"/>
      <c r="K21" s="33"/>
      <c r="L21" s="33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>
      <c r="A22" s="27"/>
      <c r="B22" s="17"/>
      <c r="C22" s="25"/>
      <c r="D22" s="15" t="s">
        <v>175</v>
      </c>
      <c r="E22" s="140">
        <f>B20*C20</f>
        <v>1488</v>
      </c>
      <c r="F22" s="33"/>
      <c r="J22" s="46"/>
      <c r="K22" s="33"/>
      <c r="L22" s="33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>
      <c r="A23" s="15"/>
      <c r="B23" s="15"/>
      <c r="C23" s="15"/>
      <c r="D23" s="15" t="s">
        <v>176</v>
      </c>
      <c r="E23" s="25">
        <f>(D20*C20)-20.99</f>
        <v>1755.01</v>
      </c>
      <c r="I23" s="33"/>
      <c r="J23" s="33"/>
      <c r="K23" s="46"/>
      <c r="L23" s="46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>
      <c r="A24" s="27" t="s">
        <v>79</v>
      </c>
      <c r="B24" s="17"/>
      <c r="C24" s="15"/>
      <c r="D24" s="15" t="s">
        <v>160</v>
      </c>
      <c r="E24" s="15">
        <f>(E23-E22)-20.99</f>
        <v>246.02</v>
      </c>
      <c r="F24" s="33"/>
      <c r="G24" s="2"/>
      <c r="H24" s="2"/>
      <c r="I24" s="46"/>
      <c r="J24" s="33"/>
      <c r="K24" s="46"/>
      <c r="L24" s="46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>
      <c r="A25" s="15"/>
      <c r="B25" s="15"/>
      <c r="C25" s="15"/>
      <c r="D25" s="15"/>
      <c r="E25" s="15"/>
      <c r="G25" s="2"/>
      <c r="H25" s="2"/>
      <c r="I25" s="2"/>
      <c r="J25" s="33"/>
      <c r="K25" s="46"/>
      <c r="L25" s="46"/>
      <c r="M25" s="15"/>
      <c r="N25" s="25"/>
      <c r="O25" s="15"/>
      <c r="P25" s="15"/>
      <c r="Q25" s="25"/>
      <c r="R25" s="25"/>
      <c r="S25" s="25"/>
      <c r="T25" s="25"/>
      <c r="U25" s="25"/>
      <c r="V25" s="25"/>
    </row>
    <row r="26">
      <c r="A26" s="27"/>
      <c r="B26" s="17"/>
      <c r="C26" s="15"/>
      <c r="D26" s="15"/>
      <c r="E26" s="25"/>
      <c r="G26" s="142"/>
      <c r="H26" s="142"/>
      <c r="I26" s="142"/>
      <c r="J26" s="46"/>
      <c r="K26" s="33"/>
      <c r="L26" s="46"/>
      <c r="M26" s="15"/>
      <c r="N26" s="25"/>
      <c r="O26" s="25"/>
      <c r="P26" s="25"/>
      <c r="Q26" s="25"/>
      <c r="R26" s="25"/>
      <c r="S26" s="25"/>
      <c r="T26" s="25"/>
      <c r="U26" s="25"/>
      <c r="V26" s="25"/>
    </row>
    <row r="27">
      <c r="A27" s="15"/>
      <c r="B27" s="15"/>
      <c r="C27" s="15"/>
      <c r="D27" s="15"/>
      <c r="E27" s="33"/>
      <c r="F27" s="33"/>
      <c r="G27" s="34"/>
      <c r="H27" s="2"/>
      <c r="I27" s="2"/>
      <c r="J27" s="2"/>
      <c r="M27" s="15"/>
      <c r="N27" s="25"/>
      <c r="O27" s="25"/>
      <c r="P27" s="25"/>
      <c r="Q27" s="25"/>
      <c r="R27" s="25"/>
      <c r="S27" s="25"/>
      <c r="T27" s="25"/>
      <c r="U27" s="25"/>
      <c r="V27" s="25"/>
    </row>
    <row r="28">
      <c r="A28" s="15"/>
      <c r="B28" s="15"/>
      <c r="C28" s="15"/>
      <c r="D28" s="25"/>
      <c r="E28" s="33"/>
      <c r="F28" s="33"/>
      <c r="G28" s="142"/>
      <c r="H28" s="142"/>
      <c r="I28" s="142"/>
      <c r="J28" s="33"/>
      <c r="K28" s="33"/>
      <c r="L28" s="46"/>
      <c r="M28" s="15"/>
      <c r="N28" s="25"/>
      <c r="O28" s="25"/>
      <c r="P28" s="25"/>
      <c r="Q28" s="25"/>
      <c r="R28" s="25"/>
      <c r="S28" s="25"/>
      <c r="T28" s="25"/>
      <c r="U28" s="25"/>
      <c r="V28" s="25"/>
    </row>
    <row r="29">
      <c r="A29" s="39"/>
      <c r="B29" s="46"/>
      <c r="C29" s="25"/>
      <c r="D29" s="25"/>
      <c r="E29" s="33"/>
      <c r="F29" s="33"/>
      <c r="G29" s="2"/>
      <c r="H29" s="1"/>
      <c r="I29" s="1"/>
      <c r="J29" s="33"/>
      <c r="K29" s="33"/>
      <c r="L29" s="46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>
      <c r="A30" s="39"/>
      <c r="B30" s="46"/>
      <c r="C30" s="25"/>
      <c r="D30" s="25"/>
      <c r="E30" s="33"/>
      <c r="F30" s="33"/>
      <c r="J30" s="33"/>
      <c r="K30" s="33"/>
      <c r="L30" s="33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>
      <c r="A31" s="46"/>
      <c r="B31" s="46"/>
      <c r="C31" s="15"/>
      <c r="D31" s="25"/>
      <c r="E31" s="33"/>
      <c r="F31" s="33"/>
      <c r="G31" s="33"/>
      <c r="H31" s="33"/>
      <c r="I31" s="33"/>
      <c r="J31" s="33"/>
      <c r="K31" s="33"/>
      <c r="L31" s="33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>
      <c r="A32" s="46"/>
      <c r="B32" s="46"/>
      <c r="C32" s="25"/>
      <c r="D32" s="25"/>
      <c r="E32" s="33"/>
      <c r="F32" s="33"/>
      <c r="G32" s="46" t="s">
        <v>121</v>
      </c>
      <c r="H32" s="33">
        <f>SUM(I29+H29)</f>
        <v>0</v>
      </c>
      <c r="I32" s="33"/>
      <c r="J32" s="33"/>
      <c r="K32" s="33"/>
      <c r="L32" s="33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>
      <c r="A33" s="25"/>
      <c r="B33" s="25"/>
      <c r="C33" s="25"/>
      <c r="D33" s="25"/>
      <c r="E33" s="33"/>
      <c r="F33" s="33"/>
      <c r="G33" s="33"/>
      <c r="H33" s="33"/>
      <c r="I33" s="33"/>
      <c r="J33" s="33"/>
      <c r="K33" s="33"/>
      <c r="L33" s="33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>
      <c r="A34" s="15"/>
      <c r="B34" s="15"/>
      <c r="C34" s="25"/>
      <c r="D34" s="25"/>
      <c r="E34" s="33"/>
      <c r="F34" s="33"/>
      <c r="G34" s="33"/>
      <c r="H34" s="33"/>
      <c r="I34" s="33"/>
      <c r="J34" s="33"/>
      <c r="K34" s="33"/>
      <c r="L34" s="33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>
      <c r="A35" s="15"/>
      <c r="B35" s="15"/>
      <c r="C35" s="25"/>
      <c r="D35" s="25"/>
      <c r="E35" s="33"/>
      <c r="F35" s="33"/>
      <c r="G35" s="33"/>
      <c r="H35" s="33"/>
      <c r="I35" s="33"/>
      <c r="J35" s="33"/>
      <c r="K35" s="33"/>
      <c r="L35" s="33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>
      <c r="A36" s="25"/>
      <c r="B36" s="25"/>
      <c r="C36" s="25"/>
      <c r="D36" s="25"/>
      <c r="E36" s="33"/>
      <c r="F36" s="33"/>
      <c r="G36" s="33"/>
      <c r="H36" s="33"/>
      <c r="I36" s="33"/>
      <c r="J36" s="33"/>
      <c r="K36" s="33"/>
      <c r="L36" s="33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>
      <c r="A37" s="25"/>
      <c r="B37" s="15"/>
      <c r="C37" s="25"/>
      <c r="D37" s="25"/>
      <c r="E37" s="33"/>
      <c r="F37" s="33"/>
      <c r="G37" s="33"/>
      <c r="H37" s="33"/>
      <c r="I37" s="33"/>
      <c r="J37" s="33"/>
      <c r="K37" s="33"/>
      <c r="L37" s="33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>
      <c r="A38" s="25"/>
      <c r="B38" s="25"/>
      <c r="C38" s="25"/>
      <c r="D38" s="25"/>
      <c r="E38" s="33"/>
      <c r="F38" s="33"/>
      <c r="G38" s="33"/>
      <c r="H38" s="33"/>
      <c r="I38" s="33"/>
      <c r="J38" s="33"/>
      <c r="K38" s="33"/>
      <c r="L38" s="33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>
      <c r="A39" s="25"/>
      <c r="B39" s="25"/>
      <c r="C39" s="25"/>
      <c r="D39" s="25"/>
      <c r="E39" s="33"/>
      <c r="F39" s="33"/>
      <c r="G39" s="33"/>
      <c r="H39" s="33"/>
      <c r="I39" s="33"/>
      <c r="J39" s="33"/>
      <c r="K39" s="33"/>
      <c r="L39" s="33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>
      <c r="A40" s="25"/>
      <c r="B40" s="25"/>
      <c r="C40" s="25"/>
      <c r="D40" s="25"/>
      <c r="E40" s="33"/>
      <c r="F40" s="33"/>
      <c r="G40" s="33"/>
      <c r="H40" s="33"/>
      <c r="I40" s="33"/>
      <c r="J40" s="33"/>
      <c r="K40" s="33"/>
      <c r="L40" s="33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>
      <c r="A41" s="25"/>
      <c r="B41" s="25"/>
      <c r="C41" s="25"/>
      <c r="D41" s="25"/>
      <c r="E41" s="33"/>
      <c r="F41" s="33"/>
      <c r="G41" s="33"/>
      <c r="H41" s="33"/>
      <c r="I41" s="33"/>
      <c r="J41" s="33"/>
      <c r="K41" s="33"/>
      <c r="L41" s="33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>
      <c r="A42" s="25"/>
      <c r="B42" s="25"/>
      <c r="C42" s="25"/>
      <c r="D42" s="25"/>
      <c r="E42" s="33"/>
      <c r="F42" s="33"/>
      <c r="G42" s="33"/>
      <c r="H42" s="33"/>
      <c r="I42" s="33"/>
      <c r="J42" s="33"/>
      <c r="K42" s="33"/>
      <c r="L42" s="33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</row>
  </sheetData>
  <conditionalFormatting sqref="O19 C20 C24 C26">
    <cfRule type="notContainsBlanks" dxfId="3" priority="1">
      <formula>LEN(TRIM(O19))&gt;0</formula>
    </cfRule>
  </conditionalFormatting>
  <conditionalFormatting sqref="O19 C20 C24 C26">
    <cfRule type="notContainsBlanks" dxfId="3" priority="2">
      <formula>LEN(TRIM(O19))&gt;0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7.71"/>
    <col customWidth="1" min="4" max="4" width="10.57"/>
    <col customWidth="1" min="6" max="6" width="10.0"/>
    <col customWidth="1" min="9" max="9" width="10.29"/>
    <col customWidth="1" min="11" max="11" width="17.29"/>
    <col customWidth="1" min="12" max="12" width="12.0"/>
    <col customWidth="1" min="13" max="13" width="12.57"/>
  </cols>
  <sheetData>
    <row r="1">
      <c r="A1" s="97" t="s">
        <v>13</v>
      </c>
      <c r="B1" s="97" t="s">
        <v>14</v>
      </c>
      <c r="C1" s="98" t="s">
        <v>15</v>
      </c>
      <c r="D1" s="98" t="s">
        <v>17</v>
      </c>
      <c r="E1" s="97" t="s">
        <v>18</v>
      </c>
      <c r="F1" s="97" t="s">
        <v>19</v>
      </c>
      <c r="G1" s="97" t="s">
        <v>20</v>
      </c>
      <c r="H1" s="97" t="s">
        <v>21</v>
      </c>
    </row>
    <row r="2">
      <c r="E2" s="40" t="s">
        <v>3</v>
      </c>
    </row>
    <row r="3">
      <c r="A3" s="99" t="s">
        <v>115</v>
      </c>
      <c r="B3" s="100">
        <v>11.0</v>
      </c>
      <c r="C3" s="101">
        <v>179.7</v>
      </c>
      <c r="D3" s="102">
        <f t="shared" ref="D3:D8" si="1">-(C3*B3)</f>
        <v>-1976.7</v>
      </c>
      <c r="E3" s="102">
        <v>1865.17</v>
      </c>
      <c r="F3" s="105">
        <f t="shared" ref="F3:F8" si="2">sum(E3+D3)</f>
        <v>-111.53</v>
      </c>
      <c r="G3" s="107"/>
      <c r="H3" s="109">
        <v>-115.0</v>
      </c>
      <c r="I3" s="114">
        <f t="shared" ref="I3:I8" si="3">ROUND(((sum(D3-H3))*100)/D3,0)-100</f>
        <v>-6</v>
      </c>
      <c r="K3" s="106" t="s">
        <v>147</v>
      </c>
      <c r="L3" s="117">
        <f>round(sum(H6:H8),0)</f>
        <v>-3718</v>
      </c>
      <c r="M3" s="2" t="s">
        <v>152</v>
      </c>
      <c r="N3" s="2" t="s">
        <v>153</v>
      </c>
    </row>
    <row r="4">
      <c r="A4" s="99" t="s">
        <v>100</v>
      </c>
      <c r="B4" s="100">
        <v>180.0</v>
      </c>
      <c r="C4" s="101">
        <v>14.8</v>
      </c>
      <c r="D4" s="102">
        <f t="shared" si="1"/>
        <v>-2664</v>
      </c>
      <c r="E4" s="118">
        <v>2736.85</v>
      </c>
      <c r="F4" s="105">
        <f t="shared" si="2"/>
        <v>72.85</v>
      </c>
      <c r="G4" s="109"/>
      <c r="H4" s="119">
        <f t="shared" ref="H4:H8" si="4">(G4*B4)+F4-20.99</f>
        <v>51.86</v>
      </c>
      <c r="I4" s="80">
        <f t="shared" si="3"/>
        <v>2</v>
      </c>
      <c r="K4" s="106" t="s">
        <v>154</v>
      </c>
      <c r="L4" s="117">
        <f>round(sum(H17:H19),0)</f>
        <v>1177</v>
      </c>
      <c r="M4" s="1">
        <f>round(AVERAGE(I2:I19),0)</f>
        <v>1</v>
      </c>
      <c r="N4" s="1">
        <f>K19</f>
        <v>-9</v>
      </c>
    </row>
    <row r="5">
      <c r="A5" s="99" t="s">
        <v>114</v>
      </c>
      <c r="B5" s="100">
        <v>80.0</v>
      </c>
      <c r="C5" s="101">
        <v>30.54</v>
      </c>
      <c r="D5" s="102">
        <f t="shared" si="1"/>
        <v>-2443.2</v>
      </c>
      <c r="E5" s="118">
        <v>2620.45</v>
      </c>
      <c r="F5" s="105">
        <f t="shared" si="2"/>
        <v>177.25</v>
      </c>
      <c r="G5" s="107"/>
      <c r="H5" s="119">
        <f t="shared" si="4"/>
        <v>156.26</v>
      </c>
      <c r="I5" s="107">
        <f t="shared" si="3"/>
        <v>6</v>
      </c>
      <c r="K5" s="106" t="s">
        <v>155</v>
      </c>
      <c r="L5" s="117">
        <f>round(sum(H14:H15),0)</f>
        <v>108</v>
      </c>
    </row>
    <row r="6">
      <c r="A6" s="40" t="s">
        <v>102</v>
      </c>
      <c r="B6" s="100">
        <v>33.0</v>
      </c>
      <c r="C6" s="101">
        <v>234.0</v>
      </c>
      <c r="D6" s="102">
        <f t="shared" si="1"/>
        <v>-7722</v>
      </c>
      <c r="E6" s="39"/>
      <c r="F6" s="105">
        <f t="shared" si="2"/>
        <v>-7722</v>
      </c>
      <c r="G6" s="32">
        <f>IFERROR(__xludf.DUMMYFUNCTION("GOOGLEFINANCE(""ba"")"),137.53)</f>
        <v>137.53</v>
      </c>
      <c r="H6" s="122">
        <f t="shared" si="4"/>
        <v>-3204.5</v>
      </c>
      <c r="I6" s="1">
        <f t="shared" si="3"/>
        <v>-41</v>
      </c>
      <c r="K6" s="106"/>
      <c r="L6" s="124"/>
    </row>
    <row r="7">
      <c r="A7" s="40" t="s">
        <v>113</v>
      </c>
      <c r="B7" s="100">
        <v>39.0</v>
      </c>
      <c r="C7" s="101">
        <v>75.39</v>
      </c>
      <c r="D7" s="102">
        <f t="shared" si="1"/>
        <v>-2940.21</v>
      </c>
      <c r="E7" s="39"/>
      <c r="F7" s="105">
        <f t="shared" si="2"/>
        <v>-2940.21</v>
      </c>
      <c r="G7" s="32">
        <f>IFERROR(__xludf.DUMMYFUNCTION("GOOGLEFINANCE(""ual"")"),25.4)</f>
        <v>25.4</v>
      </c>
      <c r="H7" s="122">
        <f t="shared" si="4"/>
        <v>-1970.6</v>
      </c>
      <c r="I7" s="1">
        <f t="shared" si="3"/>
        <v>-67</v>
      </c>
      <c r="K7" s="106"/>
      <c r="L7" s="124"/>
    </row>
    <row r="8">
      <c r="A8" s="40" t="s">
        <v>103</v>
      </c>
      <c r="B8" s="100">
        <v>38.0</v>
      </c>
      <c r="C8" s="101">
        <v>196.0</v>
      </c>
      <c r="D8" s="102">
        <f t="shared" si="1"/>
        <v>-7448</v>
      </c>
      <c r="E8" s="39"/>
      <c r="F8" s="105">
        <f t="shared" si="2"/>
        <v>-7448</v>
      </c>
      <c r="G8" s="32">
        <f>IFERROR(__xludf.DUMMYFUNCTION("GOOGLEFINANCE(""fb"")"),234.91)</f>
        <v>234.91</v>
      </c>
      <c r="H8" s="122">
        <f t="shared" si="4"/>
        <v>1457.59</v>
      </c>
      <c r="I8" s="1">
        <f t="shared" si="3"/>
        <v>20</v>
      </c>
    </row>
    <row r="9">
      <c r="K9" s="13"/>
      <c r="L9" s="1"/>
    </row>
    <row r="10">
      <c r="E10" s="40" t="s">
        <v>5</v>
      </c>
      <c r="I10" s="1"/>
      <c r="K10" s="13" t="s">
        <v>161</v>
      </c>
      <c r="L10" s="122">
        <f>((L4)*1.32)+L5</f>
        <v>1661.64</v>
      </c>
    </row>
    <row r="11">
      <c r="A11" s="127" t="s">
        <v>163</v>
      </c>
      <c r="B11" s="76">
        <v>20.0</v>
      </c>
      <c r="C11" s="77">
        <v>25.2</v>
      </c>
      <c r="D11" s="78">
        <f t="shared" ref="D11:D19" si="5">-(C11*B11)</f>
        <v>-504</v>
      </c>
      <c r="E11" s="78">
        <v>530.0</v>
      </c>
      <c r="F11" s="129">
        <f t="shared" ref="F11:F19" si="6">sum(E11+D11)-20.99</f>
        <v>5.01</v>
      </c>
      <c r="G11" s="83"/>
      <c r="H11" s="81">
        <f t="shared" ref="H11:H19" si="7">(G11*B11)+F11-20.99</f>
        <v>-15.98</v>
      </c>
      <c r="I11" s="131">
        <f t="shared" ref="I11:I19" si="8">ROUND(((sum(D11-H11))*100)/D11,0)-100</f>
        <v>-3</v>
      </c>
      <c r="K11" s="13" t="s">
        <v>173</v>
      </c>
      <c r="L11" s="1">
        <f>L3*1.32</f>
        <v>-4907.76</v>
      </c>
    </row>
    <row r="12">
      <c r="A12" s="132" t="s">
        <v>106</v>
      </c>
      <c r="B12" s="133">
        <v>16.0</v>
      </c>
      <c r="C12" s="135">
        <v>30.0</v>
      </c>
      <c r="D12" s="136">
        <f t="shared" si="5"/>
        <v>-480</v>
      </c>
      <c r="E12" s="137">
        <v>569.9</v>
      </c>
      <c r="F12" s="129">
        <f t="shared" si="6"/>
        <v>68.91</v>
      </c>
      <c r="G12" s="133"/>
      <c r="H12" s="129">
        <f t="shared" si="7"/>
        <v>47.92</v>
      </c>
      <c r="I12" s="131">
        <f t="shared" si="8"/>
        <v>10</v>
      </c>
      <c r="K12" s="139" t="s">
        <v>174</v>
      </c>
      <c r="L12" s="117">
        <f>round(((L3+L4)*1.32)+L5,0)</f>
        <v>-3246</v>
      </c>
    </row>
    <row r="13">
      <c r="A13" s="132" t="s">
        <v>105</v>
      </c>
      <c r="B13" s="133">
        <v>40.0</v>
      </c>
      <c r="C13" s="135">
        <v>12.29</v>
      </c>
      <c r="D13" s="136">
        <f t="shared" si="5"/>
        <v>-491.6</v>
      </c>
      <c r="E13" s="141">
        <v>520.0</v>
      </c>
      <c r="F13" s="129">
        <f t="shared" si="6"/>
        <v>7.41</v>
      </c>
      <c r="G13" s="133"/>
      <c r="H13" s="129">
        <f t="shared" si="7"/>
        <v>-13.58</v>
      </c>
      <c r="I13" s="131">
        <f t="shared" si="8"/>
        <v>-3</v>
      </c>
    </row>
    <row r="14">
      <c r="A14" s="127" t="s">
        <v>117</v>
      </c>
      <c r="B14" s="76">
        <v>135.0</v>
      </c>
      <c r="C14" s="77">
        <v>14.9</v>
      </c>
      <c r="D14" s="78">
        <f t="shared" si="5"/>
        <v>-2011.5</v>
      </c>
      <c r="E14" s="137">
        <v>2052.85</v>
      </c>
      <c r="F14" s="129">
        <f t="shared" si="6"/>
        <v>20.36</v>
      </c>
      <c r="G14" s="83"/>
      <c r="H14" s="81">
        <f t="shared" si="7"/>
        <v>-0.63</v>
      </c>
      <c r="I14" s="80">
        <f t="shared" si="8"/>
        <v>0</v>
      </c>
    </row>
    <row r="15">
      <c r="A15" s="127" t="s">
        <v>118</v>
      </c>
      <c r="B15" s="76">
        <v>733.0</v>
      </c>
      <c r="C15" s="77">
        <v>2.4</v>
      </c>
      <c r="D15" s="78">
        <f t="shared" si="5"/>
        <v>-1759.2</v>
      </c>
      <c r="E15" s="78">
        <v>1910.0</v>
      </c>
      <c r="F15" s="129">
        <f t="shared" si="6"/>
        <v>129.81</v>
      </c>
      <c r="G15" s="83"/>
      <c r="H15" s="81">
        <f t="shared" si="7"/>
        <v>108.82</v>
      </c>
      <c r="I15" s="80">
        <f t="shared" si="8"/>
        <v>6</v>
      </c>
      <c r="K15" s="2" t="s">
        <v>177</v>
      </c>
      <c r="L15" s="2" t="s">
        <v>153</v>
      </c>
    </row>
    <row r="16">
      <c r="A16" s="143" t="s">
        <v>102</v>
      </c>
      <c r="B16" s="144">
        <v>28.0</v>
      </c>
      <c r="C16" s="145">
        <v>166.0</v>
      </c>
      <c r="D16" s="146">
        <f t="shared" si="5"/>
        <v>-4648</v>
      </c>
      <c r="E16" s="147"/>
      <c r="F16" s="148">
        <f t="shared" si="6"/>
        <v>-4668.99</v>
      </c>
      <c r="G16" s="32">
        <f>IFERROR(__xludf.DUMMYFUNCTION("GOOGLEFINANCE(""ba"")"),137.53)</f>
        <v>137.53</v>
      </c>
      <c r="H16" s="117">
        <f t="shared" si="7"/>
        <v>-839.14</v>
      </c>
      <c r="I16" s="1">
        <f t="shared" si="8"/>
        <v>-18</v>
      </c>
      <c r="K16" s="2">
        <v>37500.0</v>
      </c>
      <c r="L16" s="1">
        <f>IFERROR(__xludf.DUMMYFUNCTION("GOOGLEFINANCE(""SPY"")"),295.44)</f>
        <v>295.44</v>
      </c>
    </row>
    <row r="17">
      <c r="A17" s="143" t="s">
        <v>103</v>
      </c>
      <c r="B17" s="149">
        <v>7.0</v>
      </c>
      <c r="C17" s="150">
        <v>157.0</v>
      </c>
      <c r="D17" s="146">
        <f t="shared" si="5"/>
        <v>-1099</v>
      </c>
      <c r="E17" s="147"/>
      <c r="F17" s="148">
        <f t="shared" si="6"/>
        <v>-1119.99</v>
      </c>
      <c r="G17" s="32">
        <f>IFERROR(__xludf.DUMMYFUNCTION("GOOGLEFINANCE(""fb"")"),234.91)</f>
        <v>234.91</v>
      </c>
      <c r="H17" s="117">
        <f t="shared" si="7"/>
        <v>503.39</v>
      </c>
      <c r="I17" s="1">
        <f t="shared" si="8"/>
        <v>46</v>
      </c>
      <c r="K17" s="1">
        <f>ROUND(K16/324,0)</f>
        <v>116</v>
      </c>
      <c r="L17" s="1"/>
    </row>
    <row r="18">
      <c r="A18" s="143" t="s">
        <v>100</v>
      </c>
      <c r="B18" s="144">
        <v>212.0</v>
      </c>
      <c r="C18" s="145">
        <v>12.51</v>
      </c>
      <c r="D18" s="146">
        <f t="shared" si="5"/>
        <v>-2652.12</v>
      </c>
      <c r="E18" s="147"/>
      <c r="F18" s="148">
        <f t="shared" si="6"/>
        <v>-2673.11</v>
      </c>
      <c r="G18" s="151">
        <f>IFERROR(__xludf.DUMMYFUNCTION("GOOGLEFINANCE(""rvlv"")"),14.59)</f>
        <v>14.59</v>
      </c>
      <c r="H18" s="117">
        <f t="shared" si="7"/>
        <v>398.98</v>
      </c>
      <c r="I18" s="1">
        <f t="shared" si="8"/>
        <v>15</v>
      </c>
      <c r="J18" s="2"/>
      <c r="K18" s="1">
        <f>(K17*L16)</f>
        <v>34271.04</v>
      </c>
      <c r="L18" s="1"/>
    </row>
    <row r="19">
      <c r="A19" s="98" t="s">
        <v>178</v>
      </c>
      <c r="B19" s="152">
        <v>22.0</v>
      </c>
      <c r="C19" s="153">
        <v>22.8</v>
      </c>
      <c r="D19" s="154">
        <f t="shared" si="5"/>
        <v>-501.6</v>
      </c>
      <c r="E19" s="39"/>
      <c r="F19" s="148">
        <f t="shared" si="6"/>
        <v>-522.59</v>
      </c>
      <c r="G19" s="34">
        <f>IFERROR(__xludf.DUMMYFUNCTION("GOOGLEFINANCE(""spxl"")"),37.19)</f>
        <v>37.19</v>
      </c>
      <c r="H19" s="122">
        <f t="shared" si="7"/>
        <v>274.6</v>
      </c>
      <c r="I19" s="155">
        <f t="shared" si="8"/>
        <v>55</v>
      </c>
      <c r="J19" s="1"/>
      <c r="K19" s="1">
        <f>ROUND(((K18*100)/37500)-100,0)</f>
        <v>-9</v>
      </c>
      <c r="L19" s="1"/>
    </row>
    <row r="24">
      <c r="L24" s="11" t="s">
        <v>179</v>
      </c>
    </row>
    <row r="25">
      <c r="K25" s="11" t="s">
        <v>180</v>
      </c>
    </row>
    <row r="26">
      <c r="I26" s="2" t="s">
        <v>181</v>
      </c>
      <c r="J26" s="156" t="s">
        <v>182</v>
      </c>
      <c r="K26" s="156" t="s">
        <v>15</v>
      </c>
      <c r="L26" s="157" t="s">
        <v>183</v>
      </c>
      <c r="M26" s="25">
        <f>SUM(I28:I32)</f>
        <v>5998.8</v>
      </c>
      <c r="N26" s="2" t="s">
        <v>184</v>
      </c>
      <c r="O26" s="2" t="s">
        <v>185</v>
      </c>
      <c r="P26" s="2" t="s">
        <v>186</v>
      </c>
    </row>
    <row r="27">
      <c r="J27" s="25"/>
      <c r="K27" s="25"/>
      <c r="L27" s="15"/>
      <c r="M27" s="15" t="s">
        <v>187</v>
      </c>
      <c r="N27" s="1">
        <f>K35*M28</f>
        <v>2431.8</v>
      </c>
      <c r="O27" s="1">
        <f>N27/3</f>
        <v>810.6</v>
      </c>
      <c r="P27" s="1">
        <f>ROUND(O27*1.31,0)</f>
        <v>1062</v>
      </c>
    </row>
    <row r="28">
      <c r="I28" s="1">
        <f t="shared" ref="I28:I31" si="9">J28*K28</f>
        <v>2998.8</v>
      </c>
      <c r="J28" s="15">
        <f t="shared" ref="J28:J31" si="10">ROUNDDOWN(L28/K28)</f>
        <v>408</v>
      </c>
      <c r="K28" s="158">
        <v>7.35</v>
      </c>
      <c r="L28" s="159">
        <v>3000.0</v>
      </c>
      <c r="M28" s="27">
        <v>2.1</v>
      </c>
    </row>
    <row r="29">
      <c r="I29" s="1">
        <f t="shared" si="9"/>
        <v>3000</v>
      </c>
      <c r="J29" s="15">
        <f t="shared" si="10"/>
        <v>750</v>
      </c>
      <c r="K29" s="158">
        <v>4.0</v>
      </c>
      <c r="L29" s="159">
        <v>3000.0</v>
      </c>
      <c r="M29" s="27"/>
    </row>
    <row r="30">
      <c r="I30" s="1">
        <f t="shared" si="9"/>
        <v>0</v>
      </c>
      <c r="J30" s="15">
        <f t="shared" si="10"/>
        <v>0</v>
      </c>
      <c r="K30" s="158">
        <v>105.0</v>
      </c>
      <c r="L30" s="159">
        <v>0.0</v>
      </c>
      <c r="M30" s="27"/>
    </row>
    <row r="31">
      <c r="I31" s="1">
        <f t="shared" si="9"/>
        <v>0</v>
      </c>
      <c r="J31" s="15">
        <f t="shared" si="10"/>
        <v>0</v>
      </c>
      <c r="K31" s="158">
        <v>90.0</v>
      </c>
      <c r="L31" s="159">
        <v>0.0</v>
      </c>
      <c r="M31" s="27"/>
    </row>
    <row r="32">
      <c r="J32" s="15"/>
      <c r="K32" s="15">
        <v>0.0</v>
      </c>
      <c r="L32" s="160">
        <v>0.0</v>
      </c>
      <c r="M32" s="27"/>
    </row>
    <row r="33">
      <c r="J33" s="15"/>
      <c r="K33" s="15"/>
      <c r="L33" s="15"/>
      <c r="M33" s="27"/>
    </row>
    <row r="34">
      <c r="J34" s="2" t="s">
        <v>157</v>
      </c>
      <c r="K34" s="161" t="s">
        <v>158</v>
      </c>
      <c r="L34" s="161" t="s">
        <v>159</v>
      </c>
      <c r="M34" s="27"/>
    </row>
    <row r="35">
      <c r="K35" s="25">
        <f>SUM(J28:J32)</f>
        <v>1158</v>
      </c>
      <c r="L35" s="25">
        <f>sum(I28:I32)/K35</f>
        <v>5.180310881</v>
      </c>
      <c r="M35" s="27"/>
    </row>
    <row r="36">
      <c r="J36" s="25"/>
      <c r="K36" s="162" t="s">
        <v>188</v>
      </c>
      <c r="L36" s="162" t="s">
        <v>164</v>
      </c>
      <c r="M36" s="27"/>
    </row>
    <row r="37">
      <c r="J37" s="25"/>
      <c r="K37" s="46">
        <v>7.0</v>
      </c>
      <c r="L37" s="33">
        <f>(K37*K35)-(K35*L35)-J36</f>
        <v>2107.2</v>
      </c>
      <c r="M37" s="27"/>
    </row>
  </sheetData>
  <conditionalFormatting sqref="I3:I8 I10:I19">
    <cfRule type="cellIs" dxfId="1" priority="1" operator="greaterThan">
      <formula>0</formula>
    </cfRule>
  </conditionalFormatting>
  <conditionalFormatting sqref="I3:I8 I10:I19">
    <cfRule type="cellIs" dxfId="2" priority="2" operator="lessThan">
      <formula>0</formula>
    </cfRule>
  </conditionalFormatting>
  <conditionalFormatting sqref="M4">
    <cfRule type="cellIs" dxfId="3" priority="3" operator="greaterThan">
      <formula>0</formula>
    </cfRule>
  </conditionalFormatting>
  <conditionalFormatting sqref="M4">
    <cfRule type="cellIs" dxfId="2" priority="4" operator="lessThan">
      <formula>0</formula>
    </cfRule>
  </conditionalFormatting>
  <conditionalFormatting sqref="L3">
    <cfRule type="cellIs" dxfId="3" priority="5" operator="greaterThan">
      <formula>0</formula>
    </cfRule>
  </conditionalFormatting>
  <conditionalFormatting sqref="L5">
    <cfRule type="cellIs" dxfId="3" priority="6" operator="greaterThan">
      <formula>0</formula>
    </cfRule>
  </conditionalFormatting>
  <conditionalFormatting sqref="L3">
    <cfRule type="cellIs" dxfId="2" priority="7" operator="lessThan">
      <formula>0</formula>
    </cfRule>
  </conditionalFormatting>
  <conditionalFormatting sqref="L4">
    <cfRule type="cellIs" dxfId="1" priority="8" operator="greaterThan">
      <formula>0</formula>
    </cfRule>
  </conditionalFormatting>
  <conditionalFormatting sqref="L4">
    <cfRule type="cellIs" dxfId="2" priority="9" operator="lessThan">
      <formula>0</formula>
    </cfRule>
  </conditionalFormatting>
  <conditionalFormatting sqref="I17">
    <cfRule type="cellIs" dxfId="3" priority="10" operator="greaterThan">
      <formula>0</formula>
    </cfRule>
  </conditionalFormatting>
  <conditionalFormatting sqref="I17">
    <cfRule type="cellIs" dxfId="2" priority="11" operator="lessThan">
      <formula>0</formula>
    </cfRule>
  </conditionalFormatting>
  <conditionalFormatting sqref="N4">
    <cfRule type="cellIs" dxfId="0" priority="12" operator="greaterThan">
      <formula>0</formula>
    </cfRule>
  </conditionalFormatting>
  <conditionalFormatting sqref="N4">
    <cfRule type="cellIs" dxfId="1" priority="13" operator="greaterThan">
      <formula>0</formula>
    </cfRule>
  </conditionalFormatting>
  <conditionalFormatting sqref="N4">
    <cfRule type="cellIs" dxfId="2" priority="14" operator="lessThan">
      <formula>0</formula>
    </cfRule>
  </conditionalFormatting>
  <drawing r:id="rId1"/>
</worksheet>
</file>