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711"/>
  <workbookPr defaultThemeVersion="166925"/>
  <xr:revisionPtr revIDLastSave="0" documentId="8_{6C206109-C8B4-44EE-8D90-0B2DB0F39C9C}" xr6:coauthVersionLast="46" xr6:coauthVersionMax="46" xr10:uidLastSave="{00000000-0000-0000-0000-000000000000}"/>
  <bookViews>
    <workbookView xWindow="240" yWindow="105" windowWidth="14805" windowHeight="8010" firstSheet="2" activeTab="2" xr2:uid="{00000000-000D-0000-FFFF-FFFF00000000}"/>
  </bookViews>
  <sheets>
    <sheet name="CI tests" sheetId="1" r:id="rId1"/>
    <sheet name="Classification" sheetId="2" r:id="rId2"/>
    <sheet name="Detection" sheetId="3" r:id="rId3"/>
    <sheet name="Segmentation" sheetId="4" r:id="rId4"/>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7" i="4" l="1"/>
  <c r="N36" i="4"/>
  <c r="N35" i="4"/>
  <c r="N34" i="4"/>
  <c r="N33" i="4"/>
  <c r="N32" i="4"/>
  <c r="I40" i="3"/>
  <c r="I41" i="3"/>
  <c r="L7" i="3"/>
  <c r="L8" i="3"/>
  <c r="L9" i="3"/>
  <c r="L10" i="3"/>
  <c r="L11" i="3"/>
  <c r="L4" i="3"/>
  <c r="L6" i="3"/>
  <c r="L5" i="3"/>
  <c r="L40" i="3"/>
  <c r="L41" i="3"/>
  <c r="L36" i="3"/>
  <c r="L37" i="3"/>
  <c r="L38" i="3"/>
  <c r="L39" i="3"/>
  <c r="L35" i="3"/>
  <c r="L34" i="3"/>
  <c r="L45" i="3"/>
  <c r="L44" i="3"/>
  <c r="L43" i="3"/>
  <c r="L42" i="3"/>
  <c r="O37" i="2"/>
  <c r="P46" i="2"/>
  <c r="O46" i="2"/>
  <c r="P37" i="2"/>
  <c r="N49" i="2"/>
  <c r="N47" i="2"/>
  <c r="M47" i="2"/>
  <c r="N32" i="2"/>
  <c r="M32" i="2"/>
  <c r="N35" i="2"/>
  <c r="M35" i="2"/>
  <c r="M34" i="2"/>
  <c r="N33" i="2"/>
  <c r="M33" i="2"/>
  <c r="N34" i="2"/>
  <c r="N31" i="2"/>
  <c r="M31" i="2"/>
  <c r="N30" i="2"/>
  <c r="M30" i="2"/>
  <c r="N14" i="2"/>
  <c r="M73" i="2"/>
  <c r="M72" i="2"/>
  <c r="M71" i="2"/>
  <c r="M70" i="2"/>
  <c r="M69" i="2"/>
  <c r="M68" i="2"/>
  <c r="M67" i="2"/>
  <c r="M66" i="2"/>
  <c r="M65" i="2"/>
  <c r="M64" i="2"/>
  <c r="M84" i="2"/>
  <c r="M83" i="2"/>
  <c r="M82" i="2"/>
  <c r="M81" i="2"/>
  <c r="M80" i="2"/>
  <c r="M79" i="2"/>
  <c r="M78" i="2"/>
  <c r="M77" i="2"/>
  <c r="M76" i="2"/>
  <c r="M75" i="2"/>
  <c r="N45" i="2"/>
  <c r="N44" i="2"/>
  <c r="N43" i="2"/>
  <c r="N42" i="2"/>
  <c r="N41" i="2"/>
  <c r="N40" i="2"/>
  <c r="N39" i="2"/>
  <c r="N38" i="2"/>
  <c r="N37" i="2"/>
  <c r="N27" i="2"/>
  <c r="N26" i="2"/>
  <c r="N25" i="2"/>
  <c r="N24" i="2"/>
  <c r="N56" i="2"/>
  <c r="N54" i="2"/>
  <c r="M44" i="2"/>
  <c r="M42" i="2"/>
  <c r="M41" i="2"/>
  <c r="M40" i="2"/>
  <c r="M39" i="2"/>
  <c r="M38" i="2"/>
  <c r="M37" i="2"/>
  <c r="M54" i="2"/>
  <c r="N52" i="2"/>
  <c r="M52" i="2"/>
  <c r="N50" i="2"/>
  <c r="M50" i="2"/>
  <c r="N55" i="2"/>
  <c r="N53" i="2"/>
  <c r="N51" i="2"/>
  <c r="N61" i="2"/>
  <c r="N60" i="2"/>
  <c r="N62" i="2"/>
  <c r="N59" i="2"/>
  <c r="N58" i="2"/>
  <c r="N69" i="2"/>
  <c r="N68" i="2"/>
  <c r="N67" i="2"/>
  <c r="N66" i="2"/>
  <c r="N23" i="2"/>
  <c r="N16" i="2"/>
  <c r="N9" i="2"/>
  <c r="N8" i="2"/>
  <c r="N7" i="2"/>
  <c r="N6" i="2"/>
  <c r="N4" i="2"/>
  <c r="N5" i="2"/>
  <c r="N65" i="2"/>
  <c r="N64" i="2"/>
  <c r="N70" i="2"/>
  <c r="N71" i="2"/>
  <c r="N72" i="2"/>
  <c r="N73" i="2"/>
  <c r="N84" i="2"/>
  <c r="N83" i="2"/>
  <c r="N82" i="2"/>
  <c r="N81" i="2"/>
  <c r="N80" i="2"/>
  <c r="N79" i="2"/>
  <c r="N78" i="2"/>
  <c r="N77" i="2"/>
  <c r="N76" i="2"/>
  <c r="N75" i="2"/>
  <c r="M5" i="3"/>
  <c r="M6" i="3"/>
  <c r="M7" i="3"/>
  <c r="M4" i="3"/>
  <c r="M9" i="3"/>
  <c r="M10" i="3"/>
  <c r="M56" i="2"/>
  <c r="M11" i="3"/>
  <c r="M8" i="3"/>
  <c r="M62" i="2"/>
  <c r="M59" i="2"/>
  <c r="M58" i="2"/>
  <c r="M61" i="2"/>
  <c r="M60" i="2"/>
  <c r="M55" i="2"/>
  <c r="M53" i="2"/>
  <c r="M51" i="2"/>
  <c r="M49" i="2"/>
  <c r="M45" i="2"/>
  <c r="M43" i="2"/>
  <c r="M28" i="2"/>
  <c r="M27" i="2"/>
  <c r="M26" i="2"/>
  <c r="M22" i="2"/>
  <c r="M21" i="2"/>
  <c r="M16" i="2"/>
  <c r="M9" i="2"/>
  <c r="M6" i="2"/>
  <c r="M20" i="2" l="1"/>
  <c r="M5" i="2"/>
  <c r="M15" i="2"/>
  <c r="M14" i="2"/>
  <c r="M25" i="2"/>
  <c r="M19" i="2"/>
  <c r="M13" i="2"/>
  <c r="M24" i="2"/>
  <c r="M18" i="2"/>
  <c r="M11" i="2"/>
  <c r="M8" i="2"/>
  <c r="M23" i="2" l="1"/>
  <c r="M17" i="2" l="1"/>
  <c r="M10" i="2"/>
  <c r="M7"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tc={87C0160C-FE3B-4D58-8024-F853BA9D83FF}</author>
  </authors>
  <commentList>
    <comment ref="J13" authorId="0" shapeId="0" xr:uid="{87C0160C-FE3B-4D58-8024-F853BA9D83F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What is the memory size on this t4 machine? Are all faster_rcnn model run out of memory during the test?
Reply:
    @Andrei Ivanov 
Reply:
    Never mind, Just realize the #1 for object detection is different from the image classification
Reply:
    Sorry, I have no idea what is the memory size on t4. Actually, for faster_rcnn it's NOT a memory problem. The problem is: ValueError: zero-size array to reduction operation maximum which has no identity.</t>
      </text>
    </comment>
  </commentList>
</comments>
</file>

<file path=xl/sharedStrings.xml><?xml version="1.0" encoding="utf-8"?>
<sst xmlns="http://schemas.openxmlformats.org/spreadsheetml/2006/main" count="760" uniqueCount="328">
  <si>
    <t>Partitions:</t>
  </si>
  <si>
    <t>Test name:</t>
  </si>
  <si>
    <t>AMD_Ampere</t>
  </si>
  <si>
    <t>3090_A102</t>
  </si>
  <si>
    <t>Intel_Ampere</t>
  </si>
  <si>
    <t>A100</t>
  </si>
  <si>
    <t>v100sPCIe</t>
  </si>
  <si>
    <t>dgx1</t>
  </si>
  <si>
    <t>dgx1v32g</t>
  </si>
  <si>
    <t>t4</t>
  </si>
  <si>
    <t>L3_joc_RN50_convergence_fp16</t>
  </si>
  <si>
    <t>#3</t>
  </si>
  <si>
    <t>L3_joc_RN50_convergence_fp32</t>
  </si>
  <si>
    <t>#15</t>
  </si>
  <si>
    <t>L3_joc_RN50_fullinferbench_fp16</t>
  </si>
  <si>
    <t>L3_joc_RN50_fullinferbench_fp32</t>
  </si>
  <si>
    <t>L3_joc_RN50_fulltrainbench_fp16</t>
  </si>
  <si>
    <t>L3_joc_RN50_fulltrainbench_fp32</t>
  </si>
  <si>
    <t>#4</t>
  </si>
  <si>
    <t>L1_joc_RN50_inferbench_fp16</t>
  </si>
  <si>
    <t>L1_joc_RN50_inferbench_fp32</t>
  </si>
  <si>
    <t>L2_joc_RN50_train_fp16</t>
  </si>
  <si>
    <t>L2_joc_RN50_train_fp32</t>
  </si>
  <si>
    <t>L1_joc_RN50_trainbench_fp16</t>
  </si>
  <si>
    <t>L1_joc_RN50_trainbench_fp32</t>
  </si>
  <si>
    <t>L3_MaskRCNN_8GPU_1epoch</t>
  </si>
  <si>
    <t>#14</t>
  </si>
  <si>
    <t>L3_RN50v1b_gluon_full</t>
  </si>
  <si>
    <t>#1</t>
  </si>
  <si>
    <t>L3_RN50v1b_gluon_hvd_full</t>
  </si>
  <si>
    <t>L3_RN50v1b_amp_full</t>
  </si>
  <si>
    <t>#1A</t>
  </si>
  <si>
    <t>L3_RN50v1b_amp_hvd_full</t>
  </si>
  <si>
    <t>L3_mlperf_RN50v1b_full</t>
  </si>
  <si>
    <t>#11</t>
  </si>
  <si>
    <t>#12</t>
  </si>
  <si>
    <t>#10</t>
  </si>
  <si>
    <t>#7</t>
  </si>
  <si>
    <t>#1B</t>
  </si>
  <si>
    <t>L3_mlperf_RN50v1b_hvd_full</t>
  </si>
  <si>
    <t>#5</t>
  </si>
  <si>
    <t>L3_normconv2_RN50v1b_full</t>
  </si>
  <si>
    <t>L3_normconv2_RN50v1b_hvd_full</t>
  </si>
  <si>
    <t>L3_resnet50_full</t>
  </si>
  <si>
    <t>#6</t>
  </si>
  <si>
    <t>L3_resnet50v1b_full</t>
  </si>
  <si>
    <t>L1_resnet50_4GPU_1epoch</t>
  </si>
  <si>
    <t>L1_resnet50_4GPU_1epoch_nccl</t>
  </si>
  <si>
    <t>L1_resnet50_fp16_4GPU_1epoch</t>
  </si>
  <si>
    <t>L1_resnet50_fp16_4GPU_1epoch_nccl</t>
  </si>
  <si>
    <t>L1_alexnet_4GPU_1epoch</t>
  </si>
  <si>
    <t>L1_inceptionv3_4GPU_1epoch</t>
  </si>
  <si>
    <t>L1_inceptionv3_4GPU_1epoch_nccl</t>
  </si>
  <si>
    <t>L1_inceptionv3_fp16_4GPU_1epoch</t>
  </si>
  <si>
    <t>L1_inceptionv3_fp16_4GPU_1epoch_nccl</t>
  </si>
  <si>
    <t>L2_inceptionv3_4GPU_3epoch</t>
  </si>
  <si>
    <t>L2_inceptionv3_fp16_4GPU_3epoch</t>
  </si>
  <si>
    <t>L1_tensorrt_lenet5</t>
  </si>
  <si>
    <t>#1:  File "../src/storage/./pooled_storage_manager.h", line 192</t>
  </si>
  <si>
    <t>MXNetError: Memory allocation failed out of memory</t>
  </si>
  <si>
    <t xml:space="preserve"> #1A: File "../include/mshadow/././././cuda/tensor_gpu-inl.cuh", line 129</t>
  </si>
  <si>
    <t>Name: Check failed: err == cudaSuccess (2 vs. 0) : MapPlanKernel ErrStr:out of memory</t>
  </si>
  <si>
    <t>#1B: File "../src/operator/nn/./cudnn/cudnn_convolution-inl.h", line 761</t>
  </si>
  <si>
    <t>MXNetError: Failed to find backprop-to-filter convolution algorithm 1 with workspace size of 268435456 bytes, please consider reducing batch/model size or increasing the workspace size</t>
  </si>
  <si>
    <t>#2: File "/usr/local/lib/python3.6/dist-packages/horovod-0.20.2-py3.6-linux-x86_64.egg/horovod/runner/common/util/hosts.py", line 19, in &lt;module&gt;</t>
  </si>
  <si>
    <t xml:space="preserve">    from dataclasses import dataclass</t>
  </si>
  <si>
    <t>ModuleNotFoundError: No module named 'dataclasses'</t>
  </si>
  <si>
    <t>#3: Looks OK, but not reproducible</t>
  </si>
  <si>
    <t>#4: Hangs</t>
  </si>
  <si>
    <t>#5: Segmentation fault:</t>
  </si>
  <si>
    <t>[5240829d154d:2945 :0:2945] Caught signal 11 (Segmentation fault: address not mapped to object at address (nil))</t>
  </si>
  <si>
    <t>#6: RuntimeError: Critical error in pipeline:</t>
  </si>
  <si>
    <t>Error when executing GPU operator CropMirrorNormalize encountered:</t>
  </si>
  <si>
    <t>CUDA allocation failed</t>
  </si>
  <si>
    <t>Current pipeline object is no longer valid.</t>
  </si>
  <si>
    <t xml:space="preserve">Saw non-zero command return value 256.  Exit code = 1 </t>
  </si>
  <si>
    <t>#7: mxnet.base.MXNetError: Traceback (most recent call last):</t>
  </si>
  <si>
    <t xml:space="preserve">  File "../src/operator/nn/./cudnn/cudnn_common_op.h", line 59</t>
  </si>
  <si>
    <t>cuDNN: Check failed: e == CUDNN_STATUS_SUCCESS (8 vs. 0) : CUDNN_STATUS_EXECUTION_FAILED</t>
  </si>
  <si>
    <t>#8: File "../include/mxnet/base.h", line 490, CUDA: Check failed: e == cudaSuccess (101 vs. 0) : invalid device ordinal</t>
  </si>
  <si>
    <t>#9:  File "../src/engine/./../common/cuda/utils.h", line 397 CUDA: Check failed: e == cudaSuccess || e == cudaErrorCudartUnloading: invalid device ordinal</t>
  </si>
  <si>
    <t xml:space="preserve"> #10: File "../src/operator/nn/norm_convolution.cu", line 106, MXNetError: No fallback impl for unsupported NormConvolution configuration.</t>
  </si>
  <si>
    <t>#11: ../include/mshadow/./stream_gpu-inl.h:134: Check failed: err == CUBLAS_STATUS_SUCCESS (3 vs. 0) : Create cublas handle failed</t>
  </si>
  <si>
    <t>Aborted (core dumped)</t>
  </si>
  <si>
    <t>#12: File "../src/operator/nn/./normalized_convolution-inl.h", line 171 MXNetError: Only cudnn-based NormalizedConvolution supported.</t>
  </si>
  <si>
    <t>Saw non-zero command return value 256.  Exit code = 1</t>
  </si>
  <si>
    <t>#13: File "../src/engine/threaded_engine.cc", line 334</t>
  </si>
  <si>
    <t>:MXNetError: Check failed: exec_ctx.dev_id &lt; device_count_ (6 vs. 1) : Invalid GPU Id: 6, Valid device id should be less than device_count: 1</t>
  </si>
  <si>
    <t>#14: [1,5]&lt;stderr&gt;:OSError: ~/.mxnet/datasets/coco is not a valid dir. Did you forget to initialize  datasets described in: `http://gluon-cv.mxnet.io/build/examples_datasets/index.html`?   You need to initialize each dataset only once.</t>
  </si>
  <si>
    <t xml:space="preserve">#15: [1,0]&lt;stderr&gt;:[2020-10-13 00:31:16.202588: W /opt/mxnet/3rdparty/horovod/horovod/common/stall_inspector.cc:105] One or more tensors were submitted to be reduced, gathered or broadcasted by subset of ranks and are waiting for remainder of ranks for more than 60 seconds. This may indicate that different ranks are trying to submit different tensors or that only subset of ranks is submitting tensors, which will cause deadlock. </t>
  </si>
  <si>
    <t>[1,0]&lt;stderr&gt;:Missing ranks:</t>
  </si>
  <si>
    <t>[1,0]&lt;stderr&gt;:0: [horovod_allreduce.0, horovod_allreduce.1, horovod_allreduce.12, horovod_allreduce.13, horovod_allreduce.132, horovod_allreduce.133 ...]</t>
  </si>
  <si>
    <t>[1,0]&lt;stderr&gt;:1: [horovod_allreduce.0, horovod_allreduce.1, horovod_allreduce.12, horovod_allreduce.13, horovod_allreduce.132, horovod_allreduce.133 ...]</t>
  </si>
  <si>
    <t>[1,0]&lt;stderr&gt;:2: [horovod_allreduce.0, horovod_allreduce.1, horovod_allreduce.12, horovod_allreduce.13, horovod_allreduce.132, horovod_allreduce.133 ...]</t>
  </si>
  <si>
    <t>[1,0]&lt;stderr&gt;:4: [horovod_allreduce.0, horovod_allreduce.1, horovod_allreduce.12, horovod_allreduce.13, horovod_allreduce.132, horovod_allreduce.133 ...]</t>
  </si>
  <si>
    <t>[1,0]&lt;stderr&gt;:5: [horovod_allreduce.0, horovod_allreduce.1, horovod_allreduce.12, horovod_allreduce.13, horovod_allreduce.132, horovod_allreduce.133 ...]</t>
  </si>
  <si>
    <t>FP16 vs. FP32</t>
  </si>
  <si>
    <t>AMP &amp; float32</t>
  </si>
  <si>
    <t>AMP &amp; float16</t>
  </si>
  <si>
    <t>Float32</t>
  </si>
  <si>
    <t>xpl</t>
  </si>
  <si>
    <t>float16(s/sec)/float32(s/sec)</t>
  </si>
  <si>
    <t>Traning costs: NO_AMP/AMP</t>
  </si>
  <si>
    <t>CUDA_GRAPH/NO_CUDA_GRAPH</t>
  </si>
  <si>
    <t xml:space="preserve">ResNet: </t>
  </si>
  <si>
    <t>ResNet18_v1</t>
  </si>
  <si>
    <t>Slow</t>
  </si>
  <si>
    <t>Slow: 65 s/sec</t>
  </si>
  <si>
    <t xml:space="preserve">#5 </t>
  </si>
  <si>
    <t>ResNet18_v1b</t>
  </si>
  <si>
    <t>Slow: 158-1700 s/sec</t>
  </si>
  <si>
    <t>ResNet18_v2</t>
  </si>
  <si>
    <t>ResNet34_v1</t>
  </si>
  <si>
    <t>ResNet34_v1b</t>
  </si>
  <si>
    <t>ResNet34_v2</t>
  </si>
  <si>
    <t>ResNet50_v1</t>
  </si>
  <si>
    <t>ResNet50_v1b</t>
  </si>
  <si>
    <t>ResNet50_v1b_gn</t>
  </si>
  <si>
    <t>#2</t>
  </si>
  <si>
    <t>ResNet50_v1c</t>
  </si>
  <si>
    <t>ResNet50_v1d</t>
  </si>
  <si>
    <t>ResNet50_v1d_no_mixup</t>
  </si>
  <si>
    <t>ResNet50_v2</t>
  </si>
  <si>
    <t>ResNet101_v1</t>
  </si>
  <si>
    <t>ResNet101_v1b</t>
  </si>
  <si>
    <t>ResNet101_v1c</t>
  </si>
  <si>
    <t>ResNet101_v1d</t>
  </si>
  <si>
    <t>ResNet101_v1d_no_mixup</t>
  </si>
  <si>
    <t>ResNet101_v2</t>
  </si>
  <si>
    <t>ResNet152_v1</t>
  </si>
  <si>
    <t>ResNet152_v1b</t>
  </si>
  <si>
    <t>ResNet152_v1c</t>
  </si>
  <si>
    <t>ResNet152_v1d</t>
  </si>
  <si>
    <t>ResNet152_v1d_no_mixup</t>
  </si>
  <si>
    <t>ResNet152_v2</t>
  </si>
  <si>
    <t>ResNext:</t>
  </si>
  <si>
    <t>ResNext50_32x4d</t>
  </si>
  <si>
    <t>ResNet101_32x4d</t>
  </si>
  <si>
    <t>rmse=nan for float166</t>
  </si>
  <si>
    <t>ResNet101_64x4d</t>
  </si>
  <si>
    <t>SE_ResNext50_32x4d</t>
  </si>
  <si>
    <t>SE_ResNet101_32x4d</t>
  </si>
  <si>
    <t>SE_ResNet101_64x4d</t>
  </si>
  <si>
    <t>MobileNet:</t>
  </si>
  <si>
    <t>MobilNet0.25</t>
  </si>
  <si>
    <t>MobilNetV2_0.25</t>
  </si>
  <si>
    <t>MobilNet0.5</t>
  </si>
  <si>
    <t>MobilNetV2_0.5</t>
  </si>
  <si>
    <t>MobilNet0.75</t>
  </si>
  <si>
    <t>MobilNetV2_0.75</t>
  </si>
  <si>
    <t>MobilNet1.0</t>
  </si>
  <si>
    <t>MobilNetV2_1.0</t>
  </si>
  <si>
    <t>MobilNet1.0_no_mixup</t>
  </si>
  <si>
    <t>MobilNetV3_Large</t>
  </si>
  <si>
    <t>#1:</t>
  </si>
  <si>
    <t>MobilNetV3_Small</t>
  </si>
  <si>
    <t>VGG:</t>
  </si>
  <si>
    <t>VGG11</t>
  </si>
  <si>
    <t>VGG11_bn</t>
  </si>
  <si>
    <t>VGG13</t>
  </si>
  <si>
    <t>VGG13_bn</t>
  </si>
  <si>
    <t>VGG16</t>
  </si>
  <si>
    <t>VGG16_bn</t>
  </si>
  <si>
    <t>VGG19</t>
  </si>
  <si>
    <t>VGG19_bn</t>
  </si>
  <si>
    <t>Others:</t>
  </si>
  <si>
    <t xml:space="preserve">xpl </t>
  </si>
  <si>
    <t>darknet53</t>
  </si>
  <si>
    <t>darknet53_no_mixup</t>
  </si>
  <si>
    <t>InceptionV3</t>
  </si>
  <si>
    <t>InceptionV3_no_mixup</t>
  </si>
  <si>
    <t>Xception</t>
  </si>
  <si>
    <t>CIFAR10 Vanila:</t>
  </si>
  <si>
    <t>v100sPCIe, #epochs=5</t>
  </si>
  <si>
    <t>xpl, #epochs=5</t>
  </si>
  <si>
    <t>CIFAR_ResNet20_v1</t>
  </si>
  <si>
    <t>CIFAR_ResNet56_v1</t>
  </si>
  <si>
    <t>CIFAR_ResNet110_v1</t>
  </si>
  <si>
    <t>CIFAR_ResNet20_v2</t>
  </si>
  <si>
    <t>CIFAR_ResNet56_v2</t>
  </si>
  <si>
    <t>CIFAR_ResNet110_v2</t>
  </si>
  <si>
    <t>CIFAR_WideResNet16_10</t>
  </si>
  <si>
    <t>CIFAR_WideResNet28_10</t>
  </si>
  <si>
    <t>CIFAR_WideResNet40_8</t>
  </si>
  <si>
    <t>CIFAR_ResNeXt29_16x64d</t>
  </si>
  <si>
    <t>CIFAR10 Mix-Up:</t>
  </si>
  <si>
    <t xml:space="preserve"> #2: File "/opt/gluon-cv/gluoncv/nn/gn.py", line 67, in hybrid_forward</t>
  </si>
  <si>
    <t xml:space="preserve">    y = x.expand_dims(0).reshape(0, 0, self.ngroups, -1)</t>
  </si>
  <si>
    <t xml:space="preserve">  File "/opt/mxnet/python/mxnet/symbol/symbol.py", line 2093, in reshape</t>
  </si>
  <si>
    <t xml:space="preserve">    return op.reshape(self, *args, **kwargs)</t>
  </si>
  <si>
    <t xml:space="preserve">  File "&lt;string&gt;", line 99, in reshape</t>
  </si>
  <si>
    <t>File "/opt/mxnet/python/mxnet/_ctypes/symbol.py", line 132, in _symbol_creator</t>
  </si>
  <si>
    <t>    ctypes.byref(sym_handle)))</t>
  </si>
  <si>
    <t>  File "/opt/mxnet/python/mxnet/base.py", line 246, in check_call</t>
  </si>
  <si>
    <t>    raise get_last_ffi_error()</t>
  </si>
  <si>
    <t>mxnet.base.MXNetError: MXNetError: Invalid Parameter format for keep_highest expect boolean but value='-1', in operator Reshape(name="", keep_highest="-1", target_shape="32", shape="0", reverse="0")</t>
  </si>
  <si>
    <t>#3: rmse = nan</t>
  </si>
  <si>
    <t>Memory allocation problem appeared only for float32</t>
  </si>
  <si>
    <t>  For USE_AMP=1:  File "../include/mxnet/././tensor_blob.h", line 215</t>
  </si>
  <si>
    <t>MXNetError: Check failed: mshadow: :DataType&lt;DType&gt;::kFlag == type_flag_: TBlob.get_with_shape: data type do not match specified type.Expected: half v.s. given float</t>
  </si>
  <si>
    <t>AMP</t>
  </si>
  <si>
    <t>Traning costs: float32/float16</t>
  </si>
  <si>
    <t xml:space="preserve">SSD: </t>
  </si>
  <si>
    <t>ssd_300_vgg16_atrous_voc </t>
  </si>
  <si>
    <t>ssd_512_vgg16_atrous_voc</t>
  </si>
  <si>
    <t>ssd_512_resnet50_v1_voc</t>
  </si>
  <si>
    <t>ssd_512_mobilenet1.0_voc</t>
  </si>
  <si>
    <t>ssd_300_vgg16_atrous_coco</t>
  </si>
  <si>
    <t>ssd_512_vgg16_atrous_coco</t>
  </si>
  <si>
    <t>ssd_512_resnet50_v1_coco</t>
  </si>
  <si>
    <t>ssd_512_mobilenet1.0_coco</t>
  </si>
  <si>
    <t xml:space="preserve">Faster-RCNN: </t>
  </si>
  <si>
    <t>faster_rcnn_resnet50_v1b_voc</t>
  </si>
  <si>
    <t>faster_rcnn_resnet50_v1b_coco</t>
  </si>
  <si>
    <t>faster_rcnn_resnet101_v1d_coco</t>
  </si>
  <si>
    <t>faster_rcnn_fpn_resnet50_v1b_coco</t>
  </si>
  <si>
    <t>faster_rcnn_fpn_resnet101_v1d_coco</t>
  </si>
  <si>
    <t>faster_rcnn_fpn_bn_resnet50_v1b_coco</t>
  </si>
  <si>
    <t>faster_rcnn_fpn_syncbn_resnest50_coco</t>
  </si>
  <si>
    <t>faster_rcnn_fpn_syncbn_resnest101_coco</t>
  </si>
  <si>
    <t>faster_rcnn_fpn_syncbn_resnest269_coco</t>
  </si>
  <si>
    <t xml:space="preserve">YOLO-v3: </t>
  </si>
  <si>
    <t>yolo3_darknet53_voc_320</t>
  </si>
  <si>
    <t>#4, time 332.092</t>
  </si>
  <si>
    <t>yolo3_darknet53_voc_416</t>
  </si>
  <si>
    <t>#4, time 326.935</t>
  </si>
  <si>
    <t>yolo3_mobilenet1.0_voc_320</t>
  </si>
  <si>
    <t>#4: time 325.930</t>
  </si>
  <si>
    <t>yolo3_mobilenet1.0_voc_416</t>
  </si>
  <si>
    <t>#4 time 330.505</t>
  </si>
  <si>
    <t>yolo3_darknet53_coco_320</t>
  </si>
  <si>
    <t xml:space="preserve">#4, time 3215.458 </t>
  </si>
  <si>
    <t>yolo3_darknet53_coco_416</t>
  </si>
  <si>
    <t>#4, time 3226.793</t>
  </si>
  <si>
    <t>yolo3_darknet53_coco_608</t>
  </si>
  <si>
    <t>#4, #5, time 1681.684</t>
  </si>
  <si>
    <t>yolo3_mobilenet1.0_coco_320</t>
  </si>
  <si>
    <t>#4, time 1650.101</t>
  </si>
  <si>
    <t>yolo3_mobilenet1.0_coco_416</t>
  </si>
  <si>
    <t>#4, time 1681.576</t>
  </si>
  <si>
    <t>yolo3_mobilenet1.0_coco_608</t>
  </si>
  <si>
    <t>#4, #5: time 1670.357</t>
  </si>
  <si>
    <t xml:space="preserve">CenterNet: </t>
  </si>
  <si>
    <t>center_net_resnet18_v1b_voc</t>
  </si>
  <si>
    <t>center_net_resnet18_v1b_dcnv2_voc</t>
  </si>
  <si>
    <t>center_net_resnet50_v1b_voc</t>
  </si>
  <si>
    <t>center_net_resnet50_v1b_dcnv2_voc</t>
  </si>
  <si>
    <t>center_net_resnet101_v1b_voc</t>
  </si>
  <si>
    <t>center_net_resnet101_v1b_dcnv2_voc</t>
  </si>
  <si>
    <t>center_net_resnet18_v1b_coco</t>
  </si>
  <si>
    <t>center_net_resnet18_v1b_dcnv2_coco</t>
  </si>
  <si>
    <t>center_net_resnet50_v1b_coco</t>
  </si>
  <si>
    <t>center_net_resnet50_v1b_dcnv2_coco</t>
  </si>
  <si>
    <t>center_net_resnet101_v1b_coco</t>
  </si>
  <si>
    <t>center_net_resnet101_v1b_dcnv2_coco</t>
  </si>
  <si>
    <t>#1: File "/opt/gluon-cv/gluoncv/data/batchify.py", line 42, in &lt;listcomp&gt;</t>
  </si>
  <si>
    <t>    max_lengths = [np.max(l, axis=0, keepdims=len(pad_axis) == 1) for l in original_length]</t>
  </si>
  <si>
    <t>  File "&lt;__array_function__ internals&gt;", line 6, in amax</t>
  </si>
  <si>
    <t>  File "/usr/local/lib/python3.6/dist-packages/numpy/core/fromnumeric.py", line 2668, in amax</t>
  </si>
  <si>
    <t>    keepdims=keepdims, initial=initial, where=where)</t>
  </si>
  <si>
    <t>  File "/usr/local/lib/python3.6/dist-packages/numpy/core/fromnumeric.py", line 90, in _wrapreduction</t>
  </si>
  <si>
    <t>    return ufunc.reduce(obj, axis, dtype, out, **passkwargs)</t>
  </si>
  <si>
    <t>ValueError: zero-size array to reduction operation maximum which has no identity</t>
  </si>
  <si>
    <t>#3: terminate called after throwing an instance of 'dmlc::Error'</t>
  </si>
  <si>
    <t>  what():  [06:21:04] ../src/operator/nn/./../linalg_impl.h:160: FP16 gemm on cpu not implemented!</t>
  </si>
  <si>
    <t>#4: INFO:root:[Epoch 0][Batch 399], LR: 1.00E-03, Speed: 40.557 samples/sec, ObjLoss=nan, BoxCenterLoss=nan, BoxScaleLoss=nan, ClassLoss=nan</t>
  </si>
  <si>
    <t>AND Option dtype=float16 is not implemented</t>
  </si>
  <si>
    <t>#5 INFO:root:[Epoch 0] Training cost: 1681.684, ObjLoss=nan, BoxCenterLoss=nan, BoxScaleLoss=nan, ClassLoss=nan
corrupted double-linked list</t>
  </si>
  <si>
    <t>Option dtype=float16 is not implemented</t>
  </si>
  <si>
    <t>#6 Hangs</t>
  </si>
  <si>
    <t xml:space="preserve">#7: INFO:root:[Epoch 0][Batch 99], Speed: 58.320 samples/sec, CrossEntropy=nan, SmoothL1=nan
</t>
  </si>
  <si>
    <t>v100pcie32g</t>
  </si>
  <si>
    <t xml:space="preserve">ADE20K: </t>
  </si>
  <si>
    <t>fcn_resnet50_ade</t>
  </si>
  <si>
    <t>#8</t>
  </si>
  <si>
    <t>#7 (for AMP)</t>
  </si>
  <si>
    <t>fcn_resnet101_ade</t>
  </si>
  <si>
    <t>psp_resnet50_ade</t>
  </si>
  <si>
    <t>psp_resnet101_ade</t>
  </si>
  <si>
    <t>deeplab_resnet50_ade</t>
  </si>
  <si>
    <t>deeplab_resnet101_ade</t>
  </si>
  <si>
    <t>deeplab_resnest50_ade</t>
  </si>
  <si>
    <t>deeplab_resnest101_ade</t>
  </si>
  <si>
    <t>deeplab_resnest200_ade</t>
  </si>
  <si>
    <t>deeplab_resnest269_ade</t>
  </si>
  <si>
    <t>Pretrain_MS-COCO:</t>
  </si>
  <si>
    <t>fcn_resnet101_coco</t>
  </si>
  <si>
    <t>psp_resnet101_coco</t>
  </si>
  <si>
    <t>#1 (for float32)</t>
  </si>
  <si>
    <t>deeplab_resnet101_coco</t>
  </si>
  <si>
    <t>Pascal VOC:</t>
  </si>
  <si>
    <t>fcn_resnet101_voc</t>
  </si>
  <si>
    <t>psp_resnet101_voc</t>
  </si>
  <si>
    <t>deeplab_resnet101_voc</t>
  </si>
  <si>
    <t>deeplab_resnet152_voc</t>
  </si>
  <si>
    <t>Cityscapes:</t>
  </si>
  <si>
    <t>psp_resnet101_citys</t>
  </si>
  <si>
    <t>danet_resnet50_citys</t>
  </si>
  <si>
    <t>danet_resnet101_citys</t>
  </si>
  <si>
    <t>icnet_resnet50_citys</t>
  </si>
  <si>
    <t>fastscnn_citys</t>
  </si>
  <si>
    <t>MHP-V1:</t>
  </si>
  <si>
    <t>icnet_resnet50_mhpv1</t>
  </si>
  <si>
    <t>#8: 1/371.674</t>
  </si>
  <si>
    <t>Instance_MS-COCO:</t>
  </si>
  <si>
    <t>mask_rcnn_resnet18_v1b_coco</t>
  </si>
  <si>
    <t>#6: 5360.154</t>
  </si>
  <si>
    <t>mask_rcnn_fpn_resnet18_v1b_coco</t>
  </si>
  <si>
    <t>#6: 6710.107</t>
  </si>
  <si>
    <t>mask_rcnn_resnet50_v1b_coco</t>
  </si>
  <si>
    <t>#6: 6881.383</t>
  </si>
  <si>
    <t>mask_rcnn_fpn_resnet50_v1b_coco</t>
  </si>
  <si>
    <t>#6: 6424.635</t>
  </si>
  <si>
    <t>mask_rcnn_resnet101_v1d_coco</t>
  </si>
  <si>
    <t>#6: 2373.653</t>
  </si>
  <si>
    <t>mask_rcnn_fpn_resnet101_v1d_coco</t>
  </si>
  <si>
    <t>#6: 4025.204</t>
  </si>
  <si>
    <t>#2: Hangs</t>
  </si>
  <si>
    <t>#4: File "../train.py", line 296, in &lt;module&gt;</t>
  </si>
  <si>
    <t>    trainer = Trainer(args, logger)</t>
  </si>
  <si>
    <t>  File "../train.py", line 192, in __init__</t>
  </si>
  <si>
    <t>    raise RuntimeError("=&gt; no checkpoint found at '{}'".format(args.resume))</t>
  </si>
  <si>
    <t>RuntimeError: =&gt; no checkpoint found at 'runs/pascal_aug/deeplab/res101/checkpoint.params'</t>
  </si>
  <si>
    <t>#5: Not enough memory to load DBs. At least  12.260 GB needed, but only   2.755 GBs are available</t>
  </si>
  <si>
    <t>#6: Float16 is not implemented</t>
  </si>
  <si>
    <t>#7:                                                                                                                 
File "/opt/mxnet/python/mxnet/_ctypes/ndarray.py", line 91, in _imperative_invoke
    ctypes.byref(out_stypes)))
  File "/opt/mxnet/python/mxnet/base.py", line 246, in check_call
    raise get_last_ffi_error()
mxnet.base.MXNetError: MXNetError: Out of range value for grad_scale, value='5.877471754111438e-39', in operator SoftmaxOutput(name="", normalization="valid", multi_output="True", ignore_label="-1", use_ignore="True", grad_scale="5.877471754111438e-39")</t>
  </si>
  <si>
    <t xml:space="preserve">#8: Hang for float32 AND </t>
  </si>
  <si>
    <t>for float16:  File "../include/mxnet/././tensor_blob.h", line 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</si>
</sst>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4">
    <font>
      <sz val="11"/>
      <color theme="1"/>
      <name val="Calibri"/>
      <family val="2"/>
      <scheme val="minor"/>
    </font>
    <font>
      <sz val="11"/>
      <color rgb="FF323130"/>
      <name val="Calibri"/>
    </font>
    <font>
      <sz val="11"/>
      <color rgb="FF444444"/>
      <name val="Calibri"/>
      <family val="2"/>
      <charset val="1"/>
    </font>
    <font>
      <sz val="11"/>
      <color rgb="FF201F1E"/>
      <name val="Segoe UI"/>
      <charset val="1"/>
    </font>
    <font>
      <sz val="11"/>
      <color rgb="FF000000"/>
      <name val="Calibri"/>
      <family val="2"/>
      <scheme val="minor"/>
    </font>
    <font>
      <sz val="11"/>
      <color rgb="FFFFFFFF"/>
      <name val="Calibri"/>
      <family val="2"/>
      <charset val="1"/>
    </font>
    <font>
      <b/>
      <sz val="11"/>
      <color theme="1"/>
      <name val="Calibri"/>
      <family val="2"/>
      <scheme val="minor"/>
    </font>
    <font>
      <b/>
      <sz val="11"/>
      <color rgb="FF444444"/>
      <name val="Calibri"/>
      <family val="2"/>
      <charset val="1"/>
    </font>
    <font>
      <sz val="12"/>
      <color theme="1"/>
      <name val="Roboto"/>
      <charset val="1"/>
    </font>
    <font>
      <sz val="11"/>
      <color rgb="FFFFFFFF"/>
      <name val="Calibri"/>
      <family val="2"/>
      <scheme val="minor"/>
    </font>
    <font>
      <sz val="11"/>
      <color rgb="FF000000"/>
      <name val="Calibri"/>
      <charset val="1"/>
    </font>
    <font>
      <sz val="11"/>
      <color rgb="FF00B050"/>
      <name val="Calibri"/>
      <family val="2"/>
      <scheme val="minor"/>
    </font>
    <font>
      <sz val="11"/>
      <color rgb="FF444444"/>
      <name val="Calibri"/>
      <charset val="1"/>
    </font>
    <font>
      <sz val="11"/>
      <color rgb="FF000000"/>
      <name val="Calibri"/>
      <family val="2"/>
      <charset val="1"/>
    </font>
  </fonts>
  <fills count="27">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rgb="FF70AD47"/>
        <bgColor indexed="64"/>
      </patternFill>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rgb="FF0070C0"/>
        <bgColor indexed="64"/>
      </patternFill>
    </fill>
    <fill>
      <patternFill patternType="solid">
        <fgColor rgb="FFC65911"/>
        <bgColor indexed="64"/>
      </patternFill>
    </fill>
    <fill>
      <patternFill patternType="solid">
        <fgColor rgb="FFFCE4D6"/>
        <bgColor indexed="64"/>
      </patternFill>
    </fill>
    <fill>
      <patternFill patternType="solid">
        <fgColor rgb="FF44546A"/>
        <bgColor indexed="64"/>
      </patternFill>
    </fill>
    <fill>
      <patternFill patternType="solid">
        <fgColor rgb="FFA6A6A6"/>
        <bgColor indexed="64"/>
      </patternFill>
    </fill>
    <fill>
      <patternFill patternType="solid">
        <fgColor rgb="FF3A3838"/>
        <bgColor indexed="64"/>
      </patternFill>
    </fill>
    <fill>
      <patternFill patternType="solid">
        <fgColor rgb="FF1F4E78"/>
        <bgColor indexed="64"/>
      </patternFill>
    </fill>
    <fill>
      <patternFill patternType="solid">
        <fgColor rgb="FF00B050"/>
        <bgColor indexed="64"/>
      </patternFill>
    </fill>
    <fill>
      <patternFill patternType="solid">
        <fgColor rgb="FFFF0000"/>
        <bgColor indexed="64"/>
      </patternFill>
    </fill>
    <fill>
      <patternFill patternType="solid">
        <fgColor rgb="FFB4C6E7"/>
        <bgColor indexed="64"/>
      </patternFill>
    </fill>
    <fill>
      <patternFill patternType="solid">
        <fgColor rgb="FFC6E0B4"/>
        <bgColor indexed="64"/>
      </patternFill>
    </fill>
    <fill>
      <patternFill patternType="solid">
        <fgColor rgb="FF305496"/>
        <bgColor indexed="64"/>
      </patternFill>
    </fill>
    <fill>
      <patternFill patternType="solid">
        <fgColor rgb="FF8497B0"/>
        <bgColor indexed="64"/>
      </patternFill>
    </fill>
    <fill>
      <patternFill patternType="solid">
        <fgColor rgb="FFF8CBAD"/>
        <bgColor indexed="64"/>
      </patternFill>
    </fill>
    <fill>
      <patternFill patternType="solid">
        <fgColor rgb="FFF4B084"/>
        <bgColor indexed="64"/>
      </patternFill>
    </fill>
    <fill>
      <patternFill patternType="solid">
        <fgColor rgb="FF2F75B5"/>
        <bgColor indexed="64"/>
      </patternFill>
    </fill>
    <fill>
      <patternFill patternType="solid">
        <fgColor rgb="FFDBDBDB"/>
        <bgColor indexed="64"/>
      </patternFill>
    </fill>
    <fill>
      <patternFill patternType="solid">
        <fgColor rgb="FFFFE699"/>
        <bgColor indexed="64"/>
      </patternFill>
    </fill>
    <fill>
      <patternFill patternType="solid">
        <fgColor rgb="FFD6DCE4"/>
        <bgColor indexed="64"/>
      </patternFill>
    </fill>
  </fills>
  <borders count="1">
    <border>
      <left/>
      <right/>
      <top/>
      <bottom/>
      <diagonal/>
    </border>
  </borders>
  <cellStyleXfs count="1">
    <xf numFmtId="0" fontId="0" fillId="0" borderId="0"/>
  </cellStyleXfs>
  <cellXfs count="64">
    <xf numFmtId="0" fontId="0" fillId="0" borderId="0" xfId="0"/>
    <xf numFmtId="0" fontId="1" fillId="2" borderId="0" xfId="0" applyFont="1" applyFill="1" applyAlignment="1"/>
    <xf numFmtId="0" fontId="2" fillId="0" borderId="0" xfId="0" applyFont="1"/>
    <xf numFmtId="0" fontId="0" fillId="0" borderId="0" xfId="0" applyAlignment="1">
      <alignment horizontal="center"/>
    </xf>
    <xf numFmtId="0" fontId="0" fillId="3" borderId="0" xfId="0" applyFill="1" applyAlignment="1">
      <alignment horizontal="center"/>
    </xf>
    <xf numFmtId="0" fontId="0" fillId="4" borderId="0" xfId="0" applyFill="1"/>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0" borderId="0" xfId="0" applyFill="1" applyAlignment="1">
      <alignment horizontal="center"/>
    </xf>
    <xf numFmtId="0" fontId="3" fillId="0" borderId="0" xfId="0" applyFont="1"/>
    <xf numFmtId="0" fontId="0" fillId="10" borderId="0" xfId="0" applyFill="1" applyAlignment="1">
      <alignment horizontal="center"/>
    </xf>
    <xf numFmtId="0" fontId="0" fillId="11" borderId="0" xfId="0" applyFill="1" applyAlignment="1">
      <alignment horizontal="center"/>
    </xf>
    <xf numFmtId="0" fontId="4" fillId="12" borderId="0" xfId="0" applyFont="1" applyFill="1" applyAlignment="1">
      <alignment horizontal="center"/>
    </xf>
    <xf numFmtId="0" fontId="5" fillId="13" borderId="0" xfId="0" applyFont="1" applyFill="1" applyAlignment="1">
      <alignment horizontal="center" vertical="top"/>
    </xf>
    <xf numFmtId="0" fontId="5" fillId="14" borderId="0" xfId="0" applyFont="1" applyFill="1" applyAlignment="1">
      <alignment horizontal="center" vertical="top"/>
    </xf>
    <xf numFmtId="0" fontId="0" fillId="15" borderId="0" xfId="0" applyFill="1"/>
    <xf numFmtId="0" fontId="0" fillId="0" borderId="0" xfId="0" applyFont="1"/>
    <xf numFmtId="0" fontId="6" fillId="17"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vertical="center"/>
    </xf>
    <xf numFmtId="0" fontId="0" fillId="0" borderId="0" xfId="0" applyFont="1" applyAlignment="1">
      <alignment horizontal="left" vertical="center"/>
    </xf>
    <xf numFmtId="0" fontId="0" fillId="0" borderId="0" xfId="0" applyAlignment="1">
      <alignment horizontal="left"/>
    </xf>
    <xf numFmtId="0" fontId="0" fillId="15" borderId="0" xfId="0" applyFill="1" applyAlignment="1">
      <alignment horizontal="center" vertical="top"/>
    </xf>
    <xf numFmtId="0" fontId="0" fillId="16" borderId="0" xfId="0" applyFill="1" applyAlignment="1">
      <alignment horizontal="center"/>
    </xf>
    <xf numFmtId="0" fontId="0" fillId="15" borderId="0" xfId="0" applyFill="1" applyAlignment="1">
      <alignment horizontal="center"/>
    </xf>
    <xf numFmtId="0" fontId="0" fillId="18" borderId="0" xfId="0" applyFill="1"/>
    <xf numFmtId="0" fontId="8" fillId="0" borderId="0" xfId="0" applyFont="1"/>
    <xf numFmtId="0" fontId="9" fillId="16" borderId="0" xfId="0" applyFont="1" applyFill="1" applyAlignment="1">
      <alignment horizontal="center"/>
    </xf>
    <xf numFmtId="0" fontId="9"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164" fontId="0" fillId="16" borderId="0" xfId="0" applyNumberFormat="1" applyFill="1" applyAlignment="1">
      <alignment horizontal="center"/>
    </xf>
    <xf numFmtId="0" fontId="0" fillId="17" borderId="0" xfId="0" applyFill="1" applyAlignment="1">
      <alignment horizontal="center"/>
    </xf>
    <xf numFmtId="0" fontId="0" fillId="17" borderId="0" xfId="0" applyFill="1"/>
    <xf numFmtId="0" fontId="0" fillId="22" borderId="0" xfId="0" applyFont="1" applyFill="1"/>
    <xf numFmtId="0" fontId="2" fillId="0" borderId="0" xfId="0" quotePrefix="1" applyFont="1"/>
    <xf numFmtId="0" fontId="2" fillId="17" borderId="0" xfId="0" applyFont="1" applyFill="1" applyAlignment="1">
      <alignment horizontal="center"/>
    </xf>
    <xf numFmtId="0" fontId="9" fillId="9" borderId="0" xfId="0" applyFont="1" applyFill="1" applyAlignment="1">
      <alignment horizontal="center"/>
    </xf>
    <xf numFmtId="0" fontId="2" fillId="0" borderId="0" xfId="0" applyFont="1" applyAlignment="1">
      <alignment horizontal="center"/>
    </xf>
    <xf numFmtId="164" fontId="0" fillId="5" borderId="0" xfId="0" applyNumberFormat="1" applyFill="1" applyAlignment="1">
      <alignment horizontal="center"/>
    </xf>
    <xf numFmtId="0" fontId="0" fillId="22" borderId="0" xfId="0" applyFill="1" applyAlignment="1">
      <alignment horizontal="center"/>
    </xf>
    <xf numFmtId="164" fontId="0" fillId="5" borderId="0" xfId="0" applyNumberFormat="1" applyFont="1" applyFill="1" applyAlignment="1">
      <alignment horizontal="center"/>
    </xf>
    <xf numFmtId="164" fontId="0" fillId="15" borderId="0" xfId="0" applyNumberFormat="1" applyFill="1" applyAlignment="1">
      <alignment horizontal="center"/>
    </xf>
    <xf numFmtId="164" fontId="0" fillId="15" borderId="0" xfId="0" applyNumberFormat="1" applyFont="1" applyFill="1" applyAlignment="1">
      <alignment horizontal="center"/>
    </xf>
    <xf numFmtId="164" fontId="0" fillId="22" borderId="0" xfId="0" applyNumberFormat="1" applyFont="1" applyFill="1" applyAlignment="1">
      <alignment horizontal="center"/>
    </xf>
    <xf numFmtId="0" fontId="10" fillId="0" borderId="0" xfId="0" quotePrefix="1" applyFont="1"/>
    <xf numFmtId="0" fontId="0" fillId="0" borderId="0" xfId="0" applyAlignment="1">
      <alignment wrapText="1"/>
    </xf>
    <xf numFmtId="0" fontId="0" fillId="23" borderId="0" xfId="0" applyFill="1" applyAlignment="1">
      <alignment horizontal="center"/>
    </xf>
    <xf numFmtId="0" fontId="11" fillId="15" borderId="0" xfId="0" applyFont="1" applyFill="1"/>
    <xf numFmtId="0" fontId="2" fillId="24" borderId="0" xfId="0" applyFont="1" applyFill="1" applyAlignment="1">
      <alignment horizontal="center"/>
    </xf>
    <xf numFmtId="0" fontId="0" fillId="21" borderId="0" xfId="0" applyFill="1"/>
    <xf numFmtId="0" fontId="0" fillId="25" borderId="0" xfId="0" applyFill="1"/>
    <xf numFmtId="0" fontId="2" fillId="21" borderId="0" xfId="0" applyFont="1" applyFill="1"/>
    <xf numFmtId="164" fontId="4" fillId="15" borderId="0" xfId="0" applyNumberFormat="1" applyFont="1" applyFill="1" applyAlignment="1">
      <alignment horizontal="center"/>
    </xf>
    <xf numFmtId="0" fontId="12" fillId="17" borderId="0" xfId="0" applyFont="1" applyFill="1" applyAlignment="1">
      <alignment horizontal="center"/>
    </xf>
    <xf numFmtId="164" fontId="13" fillId="15" borderId="0" xfId="0" quotePrefix="1" applyNumberFormat="1" applyFont="1" applyFill="1" applyAlignment="1">
      <alignment horizontal="center"/>
    </xf>
    <xf numFmtId="0" fontId="9" fillId="20" borderId="0" xfId="0" applyFont="1" applyFill="1" applyAlignment="1">
      <alignment horizontal="center"/>
    </xf>
    <xf numFmtId="0" fontId="0" fillId="19" borderId="0" xfId="0" applyFill="1" applyAlignment="1">
      <alignment wrapText="1"/>
    </xf>
    <xf numFmtId="164" fontId="0" fillId="19" borderId="0" xfId="0" applyNumberFormat="1" applyFill="1" applyAlignment="1">
      <alignment horizontal="center"/>
    </xf>
    <xf numFmtId="0" fontId="2" fillId="21" borderId="0" xfId="0" quotePrefix="1" applyFont="1" applyFill="1" applyAlignment="1">
      <alignment horizontal="center" wrapText="1"/>
    </xf>
    <xf numFmtId="165" fontId="0" fillId="26" borderId="0" xfId="0" applyNumberForma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ocumenttasks/documenttask1.xml><?xml version="1.0" encoding="utf-8"?>
<Tasks xmlns="http://schemas.microsoft.com/office/tasks/2019/documenttasks">
  <Task id="{ACE5A8E3-C068-4D21-B1AE-A4D79DF3C7A1}">
    <Anchor>
      <Comment id="{87C0160C-FE3B-4D58-8024-F853BA9D83FF}"/>
    </Anchor>
    <History>
      <Event time="2020-10-23T18:34:49.31" id="{D561FFFD-95C0-44D3-BE46-63F487D1E3D9}">
        <Attribution userId="S::tristonc@nvidia.com::c96515e5-fa3a-4f9d-b866-10e43047a6f9" userName="Triston Cao" userProvider="AD"/>
        <Anchor>
          <Comment id="{F3ECD86D-3290-4297-A413-011FAD3F122D}"/>
        </Anchor>
        <Create/>
      </Event>
      <Event time="2020-10-23T18:34:49.31" id="{BE354964-52B2-4BD3-83CB-812CCE97C579}">
        <Attribution userId="S::tristonc@nvidia.com::c96515e5-fa3a-4f9d-b866-10e43047a6f9" userName="Triston Cao" userProvider="AD"/>
        <Anchor>
          <Comment id="{F3ECD86D-3290-4297-A413-011FAD3F122D}"/>
        </Anchor>
        <Assign userId="S::andreii@nvidia.com::0a56af41-6a3b-4231-adfc-2d86c92fa06d" userName="Andrei Ivanov" userProvider="AD"/>
      </Event>
      <Event time="2020-10-23T18:34:49.31" id="{372B43FA-2994-4DE8-AD17-B5341A1D7E27}">
        <Attribution userId="S::tristonc@nvidia.com::c96515e5-fa3a-4f9d-b866-10e43047a6f9" userName="Triston Cao" userProvider="AD"/>
        <Anchor>
          <Comment id="{F3ECD86D-3290-4297-A413-011FAD3F122D}"/>
        </Anchor>
        <SetTitle title="@Andrei Ivanov"/>
      </Event>
    </History>
  </Task>
</Tasks>
</file>

<file path=xl/persons/person.xml><?xml version="1.0" encoding="utf-8"?>
<personList xmlns="http://schemas.microsoft.com/office/spreadsheetml/2018/threadedcomments" xmlns:x="http://schemas.openxmlformats.org/spreadsheetml/2006/main">
  <person displayName="Andrei Ivanov" id="{E004FBDF-5498-48BE-9993-495D493018C3}" userId="andreii@nvidia.com" providerId="PeoplePicker"/>
  <person displayName="Andrei Ivanov" id="{EA304D81-41D1-4D61-ABC7-93E37EF17830}" userId="S::andreii@nvidia.com::0a56af41-6a3b-4231-adfc-2d86c92fa06d" providerId="AD"/>
  <person displayName="Triston Cao" id="{F0AAB12A-D1C5-4408-88FF-BA1C8CBA3D6A}" userId="S::tristonc@nvidia.com::c96515e5-fa3a-4f9d-b866-10e43047a6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0-10-23T18:34:38.14" personId="{F0AAB12A-D1C5-4408-88FF-BA1C8CBA3D6A}" id="{87C0160C-FE3B-4D58-8024-F853BA9D83FF}">
    <text>What is the memory size on this t4 machine? Are all faster_rcnn model run out of memory during the test?</text>
  </threadedComment>
  <threadedComment ref="J13" dT="2020-10-23T18:34:49.42" personId="{F0AAB12A-D1C5-4408-88FF-BA1C8CBA3D6A}" id="{F3ECD86D-3290-4297-A413-011FAD3F122D}" parentId="{87C0160C-FE3B-4D58-8024-F853BA9D83FF}">
    <text xml:space="preserve">@Andrei Ivanov </text>
    <mentions>
      <mention mentionpersonId="{E004FBDF-5498-48BE-9993-495D493018C3}" mentionId="{09E03494-08D4-4C35-98DD-56EF8BD5145D}" startIndex="0" length="14"/>
    </mentions>
  </threadedComment>
  <threadedComment ref="J13" dT="2020-10-23T19:48:39.17" personId="{F0AAB12A-D1C5-4408-88FF-BA1C8CBA3D6A}" id="{5DD8333B-27C8-4ECC-AF15-C349A963CEC9}" parentId="{87C0160C-FE3B-4D58-8024-F853BA9D83FF}">
    <text>Never mind, Just realize the #1 for object detection is different from the image classification</text>
  </threadedComment>
  <threadedComment ref="J13" dT="2020-11-25T19:33:34.99" personId="{EA304D81-41D1-4D61-ABC7-93E37EF17830}" id="{BE3048A8-576C-4C48-9AAB-98538E822D82}" parentId="{87C0160C-FE3B-4D58-8024-F853BA9D83FF}">
    <text>Sorry, I have no idea what is the memory size on t4. Actually, for faster_rcnn it's NOT a memory problem. The problem is: ValueError: zero-size array to reduction operation maximum which has no identity.</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4"/>
  <sheetViews>
    <sheetView topLeftCell="A30" workbookViewId="0">
      <selection activeCell="A55" sqref="A55"/>
    </sheetView>
  </sheetViews>
  <sheetFormatPr defaultRowHeight="15"/>
  <cols>
    <col min="1" max="1" width="35.85546875" customWidth="1"/>
    <col min="2" max="2" width="13.7109375" customWidth="1"/>
    <col min="3" max="3" width="10.140625" customWidth="1"/>
    <col min="4" max="4" width="12.85546875" customWidth="1"/>
    <col min="6" max="6" width="12" customWidth="1"/>
  </cols>
  <sheetData>
    <row r="1" spans="1:9">
      <c r="G1" t="s">
        <v>0</v>
      </c>
    </row>
    <row r="2" spans="1:9">
      <c r="A2" t="s">
        <v>1</v>
      </c>
      <c r="B2" s="3" t="s">
        <v>2</v>
      </c>
      <c r="C2" t="s">
        <v>3</v>
      </c>
      <c r="D2" t="s">
        <v>4</v>
      </c>
      <c r="E2" s="3" t="s">
        <v>5</v>
      </c>
      <c r="F2" s="3" t="s">
        <v>6</v>
      </c>
      <c r="G2" s="3" t="s">
        <v>7</v>
      </c>
      <c r="H2" s="3" t="s">
        <v>8</v>
      </c>
      <c r="I2" s="3" t="s">
        <v>9</v>
      </c>
    </row>
    <row r="3" spans="1:9">
      <c r="A3" s="1" t="s">
        <v>10</v>
      </c>
      <c r="B3" s="5"/>
      <c r="C3" s="5"/>
      <c r="D3" s="5"/>
      <c r="E3" s="6" t="s">
        <v>11</v>
      </c>
      <c r="F3" s="6" t="s">
        <v>11</v>
      </c>
      <c r="G3" s="6" t="s">
        <v>11</v>
      </c>
      <c r="I3" s="6" t="s">
        <v>11</v>
      </c>
    </row>
    <row r="4" spans="1:9">
      <c r="A4" s="1" t="s">
        <v>12</v>
      </c>
      <c r="B4" s="5"/>
      <c r="C4" s="5"/>
      <c r="D4" s="5"/>
      <c r="E4" s="17" t="s">
        <v>13</v>
      </c>
      <c r="F4" s="6" t="s">
        <v>11</v>
      </c>
      <c r="G4" s="6" t="s">
        <v>11</v>
      </c>
      <c r="I4" s="6" t="s">
        <v>11</v>
      </c>
    </row>
    <row r="5" spans="1:9">
      <c r="A5" s="1" t="s">
        <v>14</v>
      </c>
      <c r="B5" s="6" t="s">
        <v>11</v>
      </c>
      <c r="C5" s="6" t="s">
        <v>11</v>
      </c>
      <c r="D5" s="6" t="s">
        <v>11</v>
      </c>
      <c r="E5" s="6" t="s">
        <v>11</v>
      </c>
      <c r="F5" s="6" t="s">
        <v>11</v>
      </c>
      <c r="G5" s="6" t="s">
        <v>11</v>
      </c>
      <c r="I5" s="6" t="s">
        <v>11</v>
      </c>
    </row>
    <row r="6" spans="1:9">
      <c r="A6" s="1" t="s">
        <v>15</v>
      </c>
      <c r="B6" s="6" t="s">
        <v>11</v>
      </c>
      <c r="C6" s="6" t="s">
        <v>11</v>
      </c>
      <c r="D6" s="6" t="s">
        <v>11</v>
      </c>
      <c r="E6" s="6" t="s">
        <v>11</v>
      </c>
      <c r="F6" s="6" t="s">
        <v>11</v>
      </c>
      <c r="G6" s="6" t="s">
        <v>11</v>
      </c>
      <c r="I6" s="6" t="s">
        <v>11</v>
      </c>
    </row>
    <row r="7" spans="1:9">
      <c r="A7" s="1" t="s">
        <v>16</v>
      </c>
      <c r="B7" s="6" t="s">
        <v>11</v>
      </c>
      <c r="C7" s="6" t="s">
        <v>11</v>
      </c>
      <c r="D7" s="6" t="s">
        <v>11</v>
      </c>
      <c r="E7" s="6" t="s">
        <v>11</v>
      </c>
      <c r="F7" s="6" t="s">
        <v>11</v>
      </c>
      <c r="G7" s="6" t="s">
        <v>11</v>
      </c>
      <c r="I7" s="6" t="s">
        <v>11</v>
      </c>
    </row>
    <row r="8" spans="1:9">
      <c r="A8" s="1" t="s">
        <v>17</v>
      </c>
      <c r="B8" s="7" t="s">
        <v>18</v>
      </c>
      <c r="C8" s="6" t="s">
        <v>11</v>
      </c>
      <c r="D8" s="7" t="s">
        <v>18</v>
      </c>
      <c r="E8" s="7" t="s">
        <v>18</v>
      </c>
      <c r="F8" s="6" t="s">
        <v>11</v>
      </c>
      <c r="G8" s="6" t="s">
        <v>11</v>
      </c>
      <c r="I8" s="6" t="s">
        <v>11</v>
      </c>
    </row>
    <row r="9" spans="1:9">
      <c r="A9" s="1" t="s">
        <v>19</v>
      </c>
      <c r="B9" s="6" t="s">
        <v>11</v>
      </c>
      <c r="C9" s="6" t="s">
        <v>11</v>
      </c>
      <c r="D9" s="6" t="s">
        <v>11</v>
      </c>
      <c r="E9" s="6" t="s">
        <v>11</v>
      </c>
      <c r="F9" s="6" t="s">
        <v>11</v>
      </c>
      <c r="G9" s="6" t="s">
        <v>11</v>
      </c>
      <c r="I9" s="6" t="s">
        <v>11</v>
      </c>
    </row>
    <row r="10" spans="1:9">
      <c r="A10" t="s">
        <v>20</v>
      </c>
      <c r="B10" s="6" t="s">
        <v>11</v>
      </c>
      <c r="C10" s="6" t="s">
        <v>11</v>
      </c>
      <c r="D10" s="6" t="s">
        <v>11</v>
      </c>
      <c r="E10" s="6" t="s">
        <v>11</v>
      </c>
      <c r="F10" s="6" t="s">
        <v>11</v>
      </c>
      <c r="G10" s="6" t="s">
        <v>11</v>
      </c>
      <c r="I10" s="6" t="s">
        <v>11</v>
      </c>
    </row>
    <row r="11" spans="1:9">
      <c r="A11" s="2" t="s">
        <v>21</v>
      </c>
      <c r="B11" s="5"/>
      <c r="C11" s="5"/>
      <c r="D11" s="5"/>
      <c r="E11" s="6" t="s">
        <v>11</v>
      </c>
      <c r="F11" s="6" t="s">
        <v>11</v>
      </c>
      <c r="G11" s="6" t="s">
        <v>11</v>
      </c>
      <c r="I11" s="6" t="s">
        <v>11</v>
      </c>
    </row>
    <row r="12" spans="1:9">
      <c r="A12" s="2" t="s">
        <v>22</v>
      </c>
      <c r="B12" s="5"/>
      <c r="C12" s="5"/>
      <c r="D12" s="5"/>
      <c r="E12" s="17" t="s">
        <v>13</v>
      </c>
      <c r="F12" s="6" t="s">
        <v>11</v>
      </c>
      <c r="G12" s="6" t="s">
        <v>11</v>
      </c>
      <c r="I12" s="6" t="s">
        <v>11</v>
      </c>
    </row>
    <row r="13" spans="1:9">
      <c r="A13" s="1" t="s">
        <v>23</v>
      </c>
      <c r="B13" s="6" t="s">
        <v>11</v>
      </c>
      <c r="C13" s="6" t="s">
        <v>11</v>
      </c>
      <c r="D13" s="6" t="s">
        <v>11</v>
      </c>
      <c r="E13" s="6" t="s">
        <v>11</v>
      </c>
      <c r="F13" s="6" t="s">
        <v>11</v>
      </c>
      <c r="G13" s="6" t="s">
        <v>11</v>
      </c>
      <c r="I13" s="6" t="s">
        <v>11</v>
      </c>
    </row>
    <row r="14" spans="1:9">
      <c r="A14" s="1" t="s">
        <v>24</v>
      </c>
      <c r="B14" s="7" t="s">
        <v>18</v>
      </c>
      <c r="C14" s="6" t="s">
        <v>11</v>
      </c>
      <c r="D14" s="7" t="s">
        <v>18</v>
      </c>
      <c r="E14" s="7" t="s">
        <v>18</v>
      </c>
      <c r="F14" s="6" t="s">
        <v>11</v>
      </c>
      <c r="G14" s="6" t="s">
        <v>11</v>
      </c>
      <c r="I14" s="6" t="s">
        <v>11</v>
      </c>
    </row>
    <row r="15" spans="1:9">
      <c r="A15" t="s">
        <v>25</v>
      </c>
      <c r="B15" s="5"/>
      <c r="C15" s="5"/>
      <c r="D15" s="5"/>
      <c r="E15" s="16" t="s">
        <v>26</v>
      </c>
      <c r="F15" s="16" t="s">
        <v>26</v>
      </c>
      <c r="G15" s="16" t="s">
        <v>26</v>
      </c>
      <c r="I15" s="16" t="s">
        <v>26</v>
      </c>
    </row>
    <row r="16" spans="1:9">
      <c r="A16" t="s">
        <v>27</v>
      </c>
      <c r="B16" s="4" t="s">
        <v>28</v>
      </c>
      <c r="C16" s="4" t="s">
        <v>28</v>
      </c>
      <c r="D16" s="5"/>
      <c r="E16" s="5"/>
      <c r="F16" s="5"/>
      <c r="G16" s="6" t="s">
        <v>11</v>
      </c>
      <c r="H16" s="5"/>
      <c r="I16" s="5"/>
    </row>
    <row r="17" spans="1:9">
      <c r="A17" t="s">
        <v>29</v>
      </c>
      <c r="B17" s="4" t="s">
        <v>28</v>
      </c>
      <c r="C17" s="4" t="s">
        <v>28</v>
      </c>
      <c r="D17" s="5"/>
      <c r="E17" s="5"/>
      <c r="F17" s="6" t="s">
        <v>11</v>
      </c>
      <c r="G17" s="6" t="s">
        <v>11</v>
      </c>
      <c r="H17" s="6" t="s">
        <v>11</v>
      </c>
      <c r="I17" s="6" t="s">
        <v>11</v>
      </c>
    </row>
    <row r="18" spans="1:9">
      <c r="A18" t="s">
        <v>30</v>
      </c>
      <c r="B18" s="4" t="s">
        <v>28</v>
      </c>
      <c r="C18" s="4" t="s">
        <v>28</v>
      </c>
      <c r="D18" s="6" t="s">
        <v>11</v>
      </c>
      <c r="E18" s="6" t="s">
        <v>11</v>
      </c>
      <c r="F18" s="6" t="s">
        <v>11</v>
      </c>
      <c r="G18" s="4" t="s">
        <v>31</v>
      </c>
      <c r="H18" s="6" t="s">
        <v>11</v>
      </c>
      <c r="I18" s="4" t="s">
        <v>31</v>
      </c>
    </row>
    <row r="19" spans="1:9">
      <c r="A19" t="s">
        <v>32</v>
      </c>
      <c r="B19" s="7" t="s">
        <v>18</v>
      </c>
      <c r="C19" s="7" t="s">
        <v>18</v>
      </c>
      <c r="D19" s="6" t="s">
        <v>11</v>
      </c>
      <c r="E19" s="6" t="s">
        <v>11</v>
      </c>
      <c r="F19" s="6" t="s">
        <v>11</v>
      </c>
      <c r="G19" s="4" t="s">
        <v>28</v>
      </c>
      <c r="H19" s="6" t="s">
        <v>11</v>
      </c>
      <c r="I19" s="4" t="s">
        <v>28</v>
      </c>
    </row>
    <row r="20" spans="1:9">
      <c r="A20" t="s">
        <v>33</v>
      </c>
      <c r="B20" s="4" t="s">
        <v>28</v>
      </c>
      <c r="C20" s="14" t="s">
        <v>34</v>
      </c>
      <c r="D20" s="15" t="s">
        <v>35</v>
      </c>
      <c r="E20" s="13" t="s">
        <v>36</v>
      </c>
      <c r="F20" s="9" t="s">
        <v>37</v>
      </c>
      <c r="G20" s="4" t="s">
        <v>38</v>
      </c>
      <c r="H20" s="9" t="s">
        <v>37</v>
      </c>
      <c r="I20" s="4" t="s">
        <v>28</v>
      </c>
    </row>
    <row r="21" spans="1:9">
      <c r="A21" t="s">
        <v>39</v>
      </c>
      <c r="B21" s="8" t="s">
        <v>40</v>
      </c>
      <c r="C21" s="8" t="s">
        <v>40</v>
      </c>
      <c r="D21" s="15" t="s">
        <v>35</v>
      </c>
      <c r="E21" s="13" t="s">
        <v>36</v>
      </c>
      <c r="F21" s="6" t="s">
        <v>11</v>
      </c>
      <c r="G21" s="4" t="s">
        <v>38</v>
      </c>
      <c r="H21" s="6" t="s">
        <v>11</v>
      </c>
      <c r="I21" s="6" t="s">
        <v>11</v>
      </c>
    </row>
    <row r="22" spans="1:9">
      <c r="A22" t="s">
        <v>41</v>
      </c>
      <c r="B22" s="4" t="s">
        <v>28</v>
      </c>
      <c r="C22" s="4" t="s">
        <v>28</v>
      </c>
      <c r="D22" s="13" t="s">
        <v>36</v>
      </c>
      <c r="E22" s="13" t="s">
        <v>36</v>
      </c>
      <c r="F22" s="9" t="s">
        <v>37</v>
      </c>
      <c r="G22" s="4" t="s">
        <v>38</v>
      </c>
      <c r="H22" s="9" t="s">
        <v>37</v>
      </c>
      <c r="I22" s="4" t="s">
        <v>28</v>
      </c>
    </row>
    <row r="23" spans="1:9">
      <c r="A23" t="s">
        <v>42</v>
      </c>
      <c r="B23" s="8" t="s">
        <v>40</v>
      </c>
      <c r="C23" s="8" t="s">
        <v>40</v>
      </c>
      <c r="D23" s="13" t="s">
        <v>36</v>
      </c>
      <c r="E23" s="13" t="s">
        <v>36</v>
      </c>
      <c r="F23" s="6" t="s">
        <v>11</v>
      </c>
      <c r="G23" s="4" t="s">
        <v>38</v>
      </c>
      <c r="H23" s="6" t="s">
        <v>11</v>
      </c>
      <c r="I23" s="6" t="s">
        <v>11</v>
      </c>
    </row>
    <row r="24" spans="1:9">
      <c r="A24" t="s">
        <v>43</v>
      </c>
      <c r="B24" s="10" t="s">
        <v>44</v>
      </c>
      <c r="C24" s="10" t="s">
        <v>44</v>
      </c>
      <c r="D24" s="5"/>
      <c r="E24" s="5"/>
      <c r="F24" s="4" t="s">
        <v>28</v>
      </c>
      <c r="G24" s="4" t="s">
        <v>28</v>
      </c>
      <c r="H24" s="4" t="s">
        <v>28</v>
      </c>
      <c r="I24" s="4" t="s">
        <v>28</v>
      </c>
    </row>
    <row r="25" spans="1:9">
      <c r="A25" t="s">
        <v>45</v>
      </c>
      <c r="B25" s="10" t="s">
        <v>44</v>
      </c>
      <c r="C25" s="10" t="s">
        <v>44</v>
      </c>
      <c r="D25" s="5"/>
      <c r="E25" s="5"/>
      <c r="F25" s="4" t="s">
        <v>28</v>
      </c>
      <c r="G25" s="4" t="s">
        <v>28</v>
      </c>
      <c r="H25" s="4" t="s">
        <v>28</v>
      </c>
      <c r="I25" s="4" t="s">
        <v>28</v>
      </c>
    </row>
    <row r="26" spans="1:9">
      <c r="A26" t="s">
        <v>46</v>
      </c>
      <c r="B26" s="5"/>
      <c r="C26" s="5"/>
      <c r="D26" s="5"/>
      <c r="E26" s="5"/>
      <c r="F26" s="6" t="s">
        <v>11</v>
      </c>
      <c r="G26" s="4" t="s">
        <v>28</v>
      </c>
      <c r="H26" s="6" t="s">
        <v>11</v>
      </c>
      <c r="I26" s="4" t="s">
        <v>28</v>
      </c>
    </row>
    <row r="27" spans="1:9">
      <c r="A27" t="s">
        <v>47</v>
      </c>
      <c r="B27" s="5"/>
      <c r="C27" s="5"/>
      <c r="D27" s="5"/>
      <c r="E27" s="5"/>
      <c r="F27" s="6" t="s">
        <v>11</v>
      </c>
      <c r="G27" s="4" t="s">
        <v>28</v>
      </c>
      <c r="H27" s="6" t="s">
        <v>11</v>
      </c>
      <c r="I27" s="4" t="s">
        <v>28</v>
      </c>
    </row>
    <row r="28" spans="1:9">
      <c r="A28" t="s">
        <v>48</v>
      </c>
      <c r="B28" s="5"/>
      <c r="C28" s="5"/>
      <c r="D28" s="5"/>
      <c r="E28" s="5"/>
      <c r="F28" s="5"/>
      <c r="G28" s="6" t="s">
        <v>11</v>
      </c>
      <c r="H28" s="5"/>
      <c r="I28" s="5"/>
    </row>
    <row r="29" spans="1:9">
      <c r="A29" t="s">
        <v>49</v>
      </c>
      <c r="B29" s="5"/>
      <c r="C29" s="5"/>
      <c r="D29" s="5"/>
      <c r="E29" s="5"/>
      <c r="F29" s="5"/>
      <c r="G29" s="6" t="s">
        <v>11</v>
      </c>
      <c r="H29" s="5"/>
      <c r="I29" s="5"/>
    </row>
    <row r="30" spans="1:9">
      <c r="A30" t="s">
        <v>50</v>
      </c>
      <c r="B30" s="5"/>
      <c r="C30" s="5"/>
      <c r="D30" s="5"/>
      <c r="E30" s="5"/>
      <c r="F30" s="6" t="s">
        <v>11</v>
      </c>
      <c r="G30" s="5"/>
      <c r="H30" s="6" t="s">
        <v>11</v>
      </c>
      <c r="I30" s="6" t="s">
        <v>11</v>
      </c>
    </row>
    <row r="31" spans="1:9">
      <c r="A31" t="s">
        <v>51</v>
      </c>
      <c r="B31" s="5"/>
      <c r="C31" s="5"/>
      <c r="D31" s="5"/>
      <c r="E31" s="5"/>
      <c r="F31" s="6" t="s">
        <v>11</v>
      </c>
      <c r="G31" s="6" t="s">
        <v>11</v>
      </c>
      <c r="H31" s="6" t="s">
        <v>11</v>
      </c>
      <c r="I31" s="6" t="s">
        <v>11</v>
      </c>
    </row>
    <row r="32" spans="1:9">
      <c r="A32" t="s">
        <v>52</v>
      </c>
      <c r="B32" s="5"/>
      <c r="C32" s="5"/>
      <c r="D32" s="5"/>
      <c r="E32" s="5"/>
      <c r="F32" s="6" t="s">
        <v>11</v>
      </c>
      <c r="G32" s="6" t="s">
        <v>11</v>
      </c>
      <c r="H32" s="6" t="s">
        <v>11</v>
      </c>
      <c r="I32" s="6" t="s">
        <v>11</v>
      </c>
    </row>
    <row r="33" spans="1:9">
      <c r="A33" t="s">
        <v>53</v>
      </c>
      <c r="B33" s="5"/>
      <c r="C33" s="5"/>
      <c r="D33" s="5"/>
      <c r="E33" s="5"/>
      <c r="F33" s="6" t="s">
        <v>11</v>
      </c>
      <c r="G33" s="6" t="s">
        <v>11</v>
      </c>
      <c r="H33" s="6" t="s">
        <v>11</v>
      </c>
      <c r="I33" s="6" t="s">
        <v>11</v>
      </c>
    </row>
    <row r="34" spans="1:9">
      <c r="A34" t="s">
        <v>54</v>
      </c>
      <c r="B34" s="5"/>
      <c r="C34" s="5"/>
      <c r="D34" s="5"/>
      <c r="E34" s="5"/>
      <c r="F34" s="6" t="s">
        <v>11</v>
      </c>
      <c r="G34" s="6" t="s">
        <v>11</v>
      </c>
      <c r="H34" s="6" t="s">
        <v>11</v>
      </c>
      <c r="I34" s="6" t="s">
        <v>11</v>
      </c>
    </row>
    <row r="35" spans="1:9">
      <c r="A35" t="s">
        <v>55</v>
      </c>
      <c r="B35" s="5"/>
      <c r="C35" s="5"/>
      <c r="D35" s="5"/>
      <c r="E35" s="5"/>
      <c r="F35" s="6" t="s">
        <v>11</v>
      </c>
      <c r="G35" s="6" t="s">
        <v>11</v>
      </c>
      <c r="H35" s="6" t="s">
        <v>11</v>
      </c>
      <c r="I35" s="6" t="s">
        <v>11</v>
      </c>
    </row>
    <row r="36" spans="1:9">
      <c r="A36" t="s">
        <v>56</v>
      </c>
      <c r="B36" s="5"/>
      <c r="C36" s="5"/>
      <c r="D36" s="5"/>
      <c r="E36" s="5"/>
      <c r="F36" s="6" t="s">
        <v>11</v>
      </c>
      <c r="G36" s="6" t="s">
        <v>11</v>
      </c>
      <c r="H36" s="6" t="s">
        <v>11</v>
      </c>
      <c r="I36" s="6" t="s">
        <v>11</v>
      </c>
    </row>
    <row r="37" spans="1:9">
      <c r="A37" t="s">
        <v>57</v>
      </c>
      <c r="B37" s="5"/>
      <c r="C37" s="5"/>
      <c r="D37" s="5"/>
      <c r="E37" s="5"/>
      <c r="F37" s="5"/>
      <c r="G37" s="5"/>
      <c r="H37" s="5"/>
      <c r="I37" s="5"/>
    </row>
    <row r="38" spans="1:9">
      <c r="B38" s="11"/>
    </row>
    <row r="39" spans="1:9">
      <c r="B39" s="11"/>
    </row>
    <row r="40" spans="1:9">
      <c r="A40" t="s">
        <v>58</v>
      </c>
    </row>
    <row r="41" spans="1:9">
      <c r="A41" t="s">
        <v>59</v>
      </c>
    </row>
    <row r="43" spans="1:9">
      <c r="A43" t="s">
        <v>60</v>
      </c>
    </row>
    <row r="44" spans="1:9">
      <c r="A44" t="s">
        <v>61</v>
      </c>
    </row>
    <row r="46" spans="1:9" ht="16.5">
      <c r="A46" s="12" t="s">
        <v>62</v>
      </c>
    </row>
    <row r="47" spans="1:9" ht="16.5">
      <c r="A47" s="12" t="s">
        <v>63</v>
      </c>
    </row>
    <row r="48" spans="1:9" ht="16.5">
      <c r="A48" s="12"/>
    </row>
    <row r="49" spans="1:1">
      <c r="A49" t="s">
        <v>64</v>
      </c>
    </row>
    <row r="50" spans="1:1">
      <c r="A50" t="s">
        <v>65</v>
      </c>
    </row>
    <row r="51" spans="1:1">
      <c r="A51" t="s">
        <v>66</v>
      </c>
    </row>
    <row r="53" spans="1:1">
      <c r="A53" t="s">
        <v>67</v>
      </c>
    </row>
    <row r="55" spans="1:1">
      <c r="A55" t="s">
        <v>68</v>
      </c>
    </row>
    <row r="57" spans="1:1">
      <c r="A57" t="s">
        <v>69</v>
      </c>
    </row>
    <row r="58" spans="1:1">
      <c r="A58" t="s">
        <v>70</v>
      </c>
    </row>
    <row r="60" spans="1:1">
      <c r="A60" t="s">
        <v>71</v>
      </c>
    </row>
    <row r="61" spans="1:1">
      <c r="A61" t="s">
        <v>72</v>
      </c>
    </row>
    <row r="62" spans="1:1">
      <c r="A62" t="s">
        <v>73</v>
      </c>
    </row>
    <row r="63" spans="1:1">
      <c r="A63" t="s">
        <v>74</v>
      </c>
    </row>
    <row r="64" spans="1:1">
      <c r="A64" t="s">
        <v>75</v>
      </c>
    </row>
    <row r="66" spans="1:1">
      <c r="A66" t="s">
        <v>76</v>
      </c>
    </row>
    <row r="67" spans="1:1">
      <c r="A67" t="s">
        <v>77</v>
      </c>
    </row>
    <row r="68" spans="1:1">
      <c r="A68" t="s">
        <v>78</v>
      </c>
    </row>
    <row r="70" spans="1:1">
      <c r="A70" t="s">
        <v>79</v>
      </c>
    </row>
    <row r="72" spans="1:1">
      <c r="A72" t="s">
        <v>80</v>
      </c>
    </row>
    <row r="74" spans="1:1">
      <c r="A74" t="s">
        <v>81</v>
      </c>
    </row>
    <row r="75" spans="1:1">
      <c r="A75" t="s">
        <v>75</v>
      </c>
    </row>
    <row r="77" spans="1:1">
      <c r="A77" t="s">
        <v>82</v>
      </c>
    </row>
    <row r="78" spans="1:1">
      <c r="A78" t="s">
        <v>83</v>
      </c>
    </row>
    <row r="80" spans="1:1">
      <c r="A80" t="s">
        <v>84</v>
      </c>
    </row>
    <row r="81" spans="1:1">
      <c r="A81" t="s">
        <v>85</v>
      </c>
    </row>
    <row r="83" spans="1:1">
      <c r="A83" t="s">
        <v>86</v>
      </c>
    </row>
    <row r="84" spans="1:1">
      <c r="A84" t="s">
        <v>87</v>
      </c>
    </row>
    <row r="86" spans="1:1">
      <c r="A86" t="s">
        <v>88</v>
      </c>
    </row>
    <row r="88" spans="1:1">
      <c r="A88" t="s">
        <v>89</v>
      </c>
    </row>
    <row r="89" spans="1:1">
      <c r="A89" t="s">
        <v>90</v>
      </c>
    </row>
    <row r="90" spans="1:1">
      <c r="A90" t="s">
        <v>91</v>
      </c>
    </row>
    <row r="91" spans="1:1">
      <c r="A91" t="s">
        <v>92</v>
      </c>
    </row>
    <row r="92" spans="1:1">
      <c r="A92" t="s">
        <v>93</v>
      </c>
    </row>
    <row r="93" spans="1:1">
      <c r="A93" t="s">
        <v>94</v>
      </c>
    </row>
    <row r="94" spans="1:1">
      <c r="A94"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F127-F563-4CE0-86E5-E8F1C84C2BFB}">
  <dimension ref="A1:P105"/>
  <sheetViews>
    <sheetView workbookViewId="0">
      <selection activeCell="O36" sqref="O36:P36"/>
    </sheetView>
  </sheetViews>
  <sheetFormatPr defaultRowHeight="15"/>
  <cols>
    <col min="1" max="1" width="24" customWidth="1"/>
    <col min="2" max="2" width="12.28515625" customWidth="1"/>
    <col min="4" max="4" width="11.28515625" customWidth="1"/>
    <col min="6" max="6" width="10.42578125" customWidth="1"/>
    <col min="13" max="13" width="22.85546875" customWidth="1"/>
    <col min="14" max="14" width="27.140625" customWidth="1"/>
    <col min="15" max="15" width="21" customWidth="1"/>
    <col min="16" max="16" width="18.42578125" customWidth="1"/>
  </cols>
  <sheetData>
    <row r="1" spans="1:16">
      <c r="G1" t="s">
        <v>0</v>
      </c>
      <c r="M1" s="41" t="s">
        <v>96</v>
      </c>
      <c r="N1" s="3" t="s">
        <v>97</v>
      </c>
      <c r="O1" s="3" t="s">
        <v>98</v>
      </c>
      <c r="P1" t="s">
        <v>99</v>
      </c>
    </row>
    <row r="2" spans="1:16">
      <c r="A2" t="s">
        <v>1</v>
      </c>
      <c r="B2" s="3" t="s">
        <v>2</v>
      </c>
      <c r="C2" t="s">
        <v>3</v>
      </c>
      <c r="D2" t="s">
        <v>4</v>
      </c>
      <c r="E2" s="3" t="s">
        <v>5</v>
      </c>
      <c r="F2" s="3" t="s">
        <v>6</v>
      </c>
      <c r="G2" s="3" t="s">
        <v>7</v>
      </c>
      <c r="H2" s="3" t="s">
        <v>8</v>
      </c>
      <c r="I2" s="3" t="s">
        <v>9</v>
      </c>
      <c r="J2" s="3" t="s">
        <v>100</v>
      </c>
      <c r="K2" s="3">
        <v>3090</v>
      </c>
      <c r="M2" s="41" t="s">
        <v>101</v>
      </c>
      <c r="N2" s="3" t="s">
        <v>102</v>
      </c>
      <c r="P2" t="s">
        <v>103</v>
      </c>
    </row>
    <row r="3" spans="1:16">
      <c r="A3" s="20" t="s">
        <v>104</v>
      </c>
      <c r="B3" s="35"/>
      <c r="C3" s="36"/>
      <c r="D3" s="36"/>
      <c r="E3" s="35"/>
      <c r="F3" s="35"/>
      <c r="G3" s="35"/>
      <c r="H3" s="35"/>
      <c r="I3" s="35"/>
      <c r="J3" s="36"/>
      <c r="K3" s="36"/>
      <c r="L3" s="36"/>
      <c r="M3" s="39" t="s">
        <v>6</v>
      </c>
      <c r="N3" s="35" t="s">
        <v>9</v>
      </c>
      <c r="O3" s="39" t="s">
        <v>7</v>
      </c>
    </row>
    <row r="4" spans="1:16">
      <c r="A4" t="s">
        <v>105</v>
      </c>
      <c r="E4" s="28"/>
      <c r="F4" s="27" t="s">
        <v>106</v>
      </c>
      <c r="G4" s="18"/>
      <c r="H4" s="18"/>
      <c r="I4" s="25" t="s">
        <v>107</v>
      </c>
      <c r="K4" s="28"/>
      <c r="M4" s="45">
        <f>5065/3829</f>
        <v>1.322799686602246</v>
      </c>
      <c r="N4" s="45">
        <f>2724/1708</f>
        <v>1.594847775175644</v>
      </c>
      <c r="O4" s="7" t="s">
        <v>108</v>
      </c>
    </row>
    <row r="5" spans="1:16">
      <c r="A5" t="s">
        <v>109</v>
      </c>
      <c r="E5" s="28"/>
      <c r="F5" s="18"/>
      <c r="G5" s="18"/>
      <c r="H5" s="18"/>
      <c r="I5" s="18" t="s">
        <v>110</v>
      </c>
      <c r="K5" s="28"/>
      <c r="M5" s="45">
        <f>5376/3533</f>
        <v>1.521652986130767</v>
      </c>
      <c r="N5" s="45">
        <f>2709/1606</f>
        <v>1.6867995018679951</v>
      </c>
      <c r="O5" s="7" t="s">
        <v>108</v>
      </c>
    </row>
    <row r="6" spans="1:16">
      <c r="A6" t="s">
        <v>111</v>
      </c>
      <c r="E6" s="28"/>
      <c r="F6" s="18"/>
      <c r="G6" s="18"/>
      <c r="H6" s="18"/>
      <c r="I6" s="18"/>
      <c r="K6" s="28"/>
      <c r="M6" s="45">
        <f>4862/3730</f>
        <v>1.3034852546916891</v>
      </c>
      <c r="N6" s="45">
        <f>2679/1608</f>
        <v>1.666044776119403</v>
      </c>
      <c r="O6" s="7" t="s">
        <v>108</v>
      </c>
    </row>
    <row r="7" spans="1:16">
      <c r="A7" t="s">
        <v>112</v>
      </c>
      <c r="E7" s="28"/>
      <c r="F7" s="18"/>
      <c r="G7" s="18"/>
      <c r="H7" s="18"/>
      <c r="I7" s="18"/>
      <c r="K7" s="28"/>
      <c r="M7" s="45">
        <f>4284/2621</f>
        <v>1.6344906524227394</v>
      </c>
      <c r="N7" s="45">
        <f>1874/1015</f>
        <v>1.8463054187192118</v>
      </c>
      <c r="O7" s="7" t="s">
        <v>108</v>
      </c>
    </row>
    <row r="8" spans="1:16">
      <c r="A8" t="s">
        <v>113</v>
      </c>
      <c r="E8" s="28"/>
      <c r="F8" s="18"/>
      <c r="G8" s="18"/>
      <c r="H8" s="18"/>
      <c r="I8" s="18"/>
      <c r="K8" s="28"/>
      <c r="M8" s="45">
        <f>4248/2422</f>
        <v>1.7539223781998348</v>
      </c>
      <c r="N8" s="45">
        <f>1863/1026</f>
        <v>1.8157894736842106</v>
      </c>
      <c r="O8" s="7" t="s">
        <v>108</v>
      </c>
    </row>
    <row r="9" spans="1:16">
      <c r="A9" t="s">
        <v>114</v>
      </c>
      <c r="E9" s="28"/>
      <c r="F9" s="18"/>
      <c r="G9" s="18"/>
      <c r="H9" s="18"/>
      <c r="I9" s="18"/>
      <c r="K9" s="28"/>
      <c r="M9" s="45">
        <f>3797/2433</f>
        <v>1.5606247431154954</v>
      </c>
      <c r="N9" s="45">
        <f>1814/989</f>
        <v>1.8341759352881699</v>
      </c>
      <c r="O9" s="7" t="s">
        <v>108</v>
      </c>
    </row>
    <row r="10" spans="1:16">
      <c r="A10" t="s">
        <v>115</v>
      </c>
      <c r="E10" s="28"/>
      <c r="F10" s="18"/>
      <c r="G10" s="18"/>
      <c r="H10" s="18"/>
      <c r="I10" s="18"/>
      <c r="K10" s="28"/>
      <c r="M10" s="45">
        <f>4431/2680</f>
        <v>1.6533582089552239</v>
      </c>
      <c r="N10" s="4" t="s">
        <v>28</v>
      </c>
      <c r="O10" s="7" t="s">
        <v>108</v>
      </c>
    </row>
    <row r="11" spans="1:16">
      <c r="A11" t="s">
        <v>116</v>
      </c>
      <c r="E11" s="28"/>
      <c r="F11" s="18"/>
      <c r="G11" s="18"/>
      <c r="H11" s="18"/>
      <c r="I11" s="18"/>
      <c r="K11" s="28"/>
      <c r="M11" s="45">
        <f>4532/2527</f>
        <v>1.7934309457855164</v>
      </c>
      <c r="N11" s="4" t="s">
        <v>28</v>
      </c>
      <c r="O11" s="7" t="s">
        <v>108</v>
      </c>
    </row>
    <row r="12" spans="1:16">
      <c r="A12" s="2" t="s">
        <v>117</v>
      </c>
      <c r="E12" s="28"/>
      <c r="F12" s="26" t="s">
        <v>118</v>
      </c>
      <c r="G12" s="26" t="s">
        <v>118</v>
      </c>
      <c r="H12" s="26" t="s">
        <v>118</v>
      </c>
      <c r="I12" s="26" t="s">
        <v>118</v>
      </c>
      <c r="J12" s="34" t="s">
        <v>118</v>
      </c>
      <c r="K12" s="28"/>
      <c r="L12" s="34" t="s">
        <v>118</v>
      </c>
      <c r="M12" s="34" t="s">
        <v>118</v>
      </c>
      <c r="N12" s="34" t="s">
        <v>118</v>
      </c>
      <c r="O12" s="34" t="s">
        <v>118</v>
      </c>
    </row>
    <row r="13" spans="1:16">
      <c r="A13" t="s">
        <v>119</v>
      </c>
      <c r="E13" s="28"/>
      <c r="F13" s="18"/>
      <c r="G13" s="4" t="s">
        <v>28</v>
      </c>
      <c r="H13" s="18"/>
      <c r="I13" s="18"/>
      <c r="K13" s="28"/>
      <c r="M13" s="45">
        <f>4375/2414</f>
        <v>1.812344656172328</v>
      </c>
      <c r="N13" s="4" t="s">
        <v>28</v>
      </c>
      <c r="O13" s="7" t="s">
        <v>108</v>
      </c>
    </row>
    <row r="14" spans="1:16">
      <c r="A14" t="s">
        <v>120</v>
      </c>
      <c r="E14" s="28"/>
      <c r="F14" s="18"/>
      <c r="H14" s="18"/>
      <c r="I14" s="4" t="s">
        <v>28</v>
      </c>
      <c r="K14" s="28"/>
      <c r="M14" s="45">
        <f>3977/2383</f>
        <v>1.6689047419219472</v>
      </c>
      <c r="N14" s="56">
        <f>3847/2852</f>
        <v>1.3488779803646564</v>
      </c>
      <c r="O14" s="7" t="s">
        <v>108</v>
      </c>
    </row>
    <row r="15" spans="1:16">
      <c r="A15" s="2" t="s">
        <v>121</v>
      </c>
      <c r="E15" s="28"/>
      <c r="F15" s="18"/>
      <c r="H15" s="18"/>
      <c r="I15" s="4" t="s">
        <v>28</v>
      </c>
      <c r="K15" s="28"/>
      <c r="M15" s="45">
        <f>4437/2440</f>
        <v>1.8184426229508197</v>
      </c>
      <c r="N15" s="4" t="s">
        <v>28</v>
      </c>
      <c r="O15" s="7" t="s">
        <v>108</v>
      </c>
    </row>
    <row r="16" spans="1:16">
      <c r="A16" t="s">
        <v>122</v>
      </c>
      <c r="E16" s="28"/>
      <c r="F16" s="18"/>
      <c r="H16" s="18"/>
      <c r="I16" s="18"/>
      <c r="K16" s="28"/>
      <c r="M16" s="45">
        <f>4560/2454</f>
        <v>1.8581907090464547</v>
      </c>
      <c r="N16" s="45">
        <f>1724/936</f>
        <v>1.8418803418803418</v>
      </c>
      <c r="O16" s="7" t="s">
        <v>108</v>
      </c>
    </row>
    <row r="17" spans="1:16">
      <c r="A17" s="2" t="s">
        <v>123</v>
      </c>
      <c r="E17" s="28"/>
      <c r="F17" s="18"/>
      <c r="G17" s="18"/>
      <c r="H17" s="18"/>
      <c r="I17" s="18"/>
      <c r="K17" s="28"/>
      <c r="M17" s="45">
        <f>3137/1643</f>
        <v>1.9093122337188071</v>
      </c>
      <c r="N17" s="4" t="s">
        <v>28</v>
      </c>
      <c r="O17" s="7" t="s">
        <v>108</v>
      </c>
    </row>
    <row r="18" spans="1:16">
      <c r="A18" s="2" t="s">
        <v>124</v>
      </c>
      <c r="E18" s="28"/>
      <c r="F18" s="18"/>
      <c r="H18" s="18"/>
      <c r="I18" s="18"/>
      <c r="K18" s="28"/>
      <c r="M18" s="45">
        <f>3171/1651</f>
        <v>1.9206541490006057</v>
      </c>
      <c r="N18" s="4" t="s">
        <v>28</v>
      </c>
      <c r="O18" s="7" t="s">
        <v>108</v>
      </c>
    </row>
    <row r="19" spans="1:16">
      <c r="A19" s="2" t="s">
        <v>125</v>
      </c>
      <c r="E19" s="28"/>
      <c r="F19" s="18"/>
      <c r="H19" s="18"/>
      <c r="I19" s="18"/>
      <c r="K19" s="28"/>
      <c r="M19" s="45">
        <f>3171/1580</f>
        <v>2.0069620253164557</v>
      </c>
      <c r="N19" s="4" t="s">
        <v>28</v>
      </c>
      <c r="O19" s="7" t="s">
        <v>108</v>
      </c>
    </row>
    <row r="20" spans="1:16">
      <c r="A20" s="2" t="s">
        <v>126</v>
      </c>
      <c r="E20" s="28"/>
      <c r="F20" s="18"/>
      <c r="H20" s="18"/>
      <c r="I20" s="18"/>
      <c r="K20" s="28"/>
      <c r="M20" s="45">
        <f>3160/1552</f>
        <v>2.036082474226804</v>
      </c>
      <c r="N20" s="4" t="s">
        <v>28</v>
      </c>
      <c r="O20" s="7" t="s">
        <v>108</v>
      </c>
    </row>
    <row r="21" spans="1:16">
      <c r="A21" s="2" t="s">
        <v>127</v>
      </c>
      <c r="E21" s="28"/>
      <c r="F21" s="18"/>
      <c r="H21" s="18"/>
      <c r="I21" s="18"/>
      <c r="K21" s="28"/>
      <c r="M21" s="45">
        <f>3253/1575</f>
        <v>2.0653968253968253</v>
      </c>
      <c r="N21" s="4" t="s">
        <v>28</v>
      </c>
      <c r="O21" s="7" t="s">
        <v>108</v>
      </c>
    </row>
    <row r="22" spans="1:16">
      <c r="A22" s="2" t="s">
        <v>128</v>
      </c>
      <c r="E22" s="28"/>
      <c r="F22" s="18"/>
      <c r="H22" s="18"/>
      <c r="I22" s="18"/>
      <c r="K22" s="28"/>
      <c r="M22" s="45">
        <f>3196/1612</f>
        <v>1.9826302729528535</v>
      </c>
      <c r="N22" s="4" t="s">
        <v>28</v>
      </c>
      <c r="O22" s="7" t="s">
        <v>108</v>
      </c>
    </row>
    <row r="23" spans="1:16">
      <c r="A23" t="s">
        <v>129</v>
      </c>
      <c r="E23" s="28"/>
      <c r="F23" s="18"/>
      <c r="G23" s="18"/>
      <c r="H23" s="18"/>
      <c r="I23" s="18"/>
      <c r="K23" s="28"/>
      <c r="M23" s="45">
        <f>708/698</f>
        <v>1.0143266475644699</v>
      </c>
      <c r="N23" s="42">
        <f>335/411</f>
        <v>0.81508515815085159</v>
      </c>
      <c r="O23" s="7" t="s">
        <v>108</v>
      </c>
    </row>
    <row r="24" spans="1:16">
      <c r="A24" t="s">
        <v>130</v>
      </c>
      <c r="E24" s="28"/>
      <c r="F24" s="18"/>
      <c r="H24" s="18"/>
      <c r="I24" s="18"/>
      <c r="K24" s="28"/>
      <c r="M24" s="42">
        <f>808/812</f>
        <v>0.99507389162561577</v>
      </c>
      <c r="N24" s="42">
        <f>382/408</f>
        <v>0.93627450980392157</v>
      </c>
      <c r="O24" s="7" t="s">
        <v>108</v>
      </c>
    </row>
    <row r="25" spans="1:16">
      <c r="A25" t="s">
        <v>131</v>
      </c>
      <c r="E25" s="28"/>
      <c r="F25" s="18"/>
      <c r="H25" s="18"/>
      <c r="I25" s="18"/>
      <c r="K25" s="28"/>
      <c r="M25" s="42">
        <f>790/795</f>
        <v>0.99371069182389937</v>
      </c>
      <c r="N25" s="42">
        <f>370/394</f>
        <v>0.93908629441624369</v>
      </c>
      <c r="O25" s="7" t="s">
        <v>108</v>
      </c>
    </row>
    <row r="26" spans="1:16">
      <c r="A26" t="s">
        <v>132</v>
      </c>
      <c r="E26" s="28"/>
      <c r="F26" s="18"/>
      <c r="H26" s="18"/>
      <c r="I26" s="18"/>
      <c r="K26" s="28"/>
      <c r="M26" s="42">
        <f>774/775</f>
        <v>0.99870967741935479</v>
      </c>
      <c r="N26" s="42">
        <f>362/399</f>
        <v>0.90726817042606511</v>
      </c>
      <c r="O26" s="7" t="s">
        <v>108</v>
      </c>
    </row>
    <row r="27" spans="1:16">
      <c r="A27" s="2" t="s">
        <v>133</v>
      </c>
      <c r="E27" s="28"/>
      <c r="F27" s="18"/>
      <c r="H27" s="18"/>
      <c r="I27" s="18"/>
      <c r="K27" s="28"/>
      <c r="M27" s="45">
        <f>4416/2454</f>
        <v>1.7995110024449879</v>
      </c>
      <c r="N27" s="43">
        <f>563/1</f>
        <v>563</v>
      </c>
      <c r="O27" s="7" t="s">
        <v>108</v>
      </c>
    </row>
    <row r="28" spans="1:16">
      <c r="A28" t="s">
        <v>134</v>
      </c>
      <c r="E28" s="28"/>
      <c r="F28" s="18"/>
      <c r="H28" s="18"/>
      <c r="I28" s="18"/>
      <c r="K28" s="28"/>
      <c r="M28" s="45">
        <f>2481/1176</f>
        <v>2.1096938775510203</v>
      </c>
      <c r="N28" s="4" t="s">
        <v>28</v>
      </c>
      <c r="O28" s="7" t="s">
        <v>108</v>
      </c>
    </row>
    <row r="29" spans="1:16">
      <c r="A29" s="21" t="s">
        <v>135</v>
      </c>
      <c r="B29" s="35"/>
      <c r="C29" s="36"/>
      <c r="D29" s="36"/>
      <c r="E29" s="35"/>
      <c r="F29" s="35"/>
      <c r="G29" s="35"/>
      <c r="H29" s="35"/>
      <c r="I29" s="35"/>
      <c r="J29" s="36"/>
      <c r="K29" s="36"/>
      <c r="L29" s="36"/>
      <c r="M29" s="39" t="s">
        <v>6</v>
      </c>
      <c r="N29" s="57" t="s">
        <v>6</v>
      </c>
      <c r="O29" s="36"/>
    </row>
    <row r="30" spans="1:16">
      <c r="A30" t="s">
        <v>136</v>
      </c>
      <c r="E30" s="28"/>
      <c r="F30" s="18"/>
      <c r="G30" s="18"/>
      <c r="H30" s="25" t="s">
        <v>106</v>
      </c>
      <c r="I30" s="18"/>
      <c r="K30" s="28"/>
      <c r="M30" s="58">
        <f>4867/2116</f>
        <v>2.3000945179584122</v>
      </c>
      <c r="N30" s="45">
        <f>2459/2116</f>
        <v>1.1620982986767485</v>
      </c>
      <c r="O30" s="38"/>
    </row>
    <row r="31" spans="1:16">
      <c r="A31" s="2" t="s">
        <v>137</v>
      </c>
      <c r="E31" s="28"/>
      <c r="F31" s="18"/>
      <c r="G31" s="18"/>
      <c r="H31" s="18"/>
      <c r="I31" s="18"/>
      <c r="K31" s="28"/>
      <c r="M31" s="58">
        <f>3085/1264</f>
        <v>2.4406645569620253</v>
      </c>
      <c r="N31" s="56">
        <f>1464/1264</f>
        <v>1.1582278481012658</v>
      </c>
      <c r="O31" s="38"/>
      <c r="P31" t="s">
        <v>138</v>
      </c>
    </row>
    <row r="32" spans="1:16">
      <c r="A32" t="s">
        <v>139</v>
      </c>
      <c r="E32" s="28"/>
      <c r="F32" s="18"/>
      <c r="G32" s="4" t="s">
        <v>28</v>
      </c>
      <c r="H32" s="18"/>
      <c r="I32" s="4" t="s">
        <v>28</v>
      </c>
      <c r="K32" s="28"/>
      <c r="M32" s="43">
        <f>1913/1</f>
        <v>1913</v>
      </c>
      <c r="N32" s="43">
        <f>1128/1</f>
        <v>1128</v>
      </c>
      <c r="P32" t="s">
        <v>138</v>
      </c>
    </row>
    <row r="33" spans="1:16">
      <c r="A33" t="s">
        <v>140</v>
      </c>
      <c r="E33" s="28"/>
      <c r="F33" s="18"/>
      <c r="G33" s="18"/>
      <c r="H33" s="18"/>
      <c r="I33" s="18"/>
      <c r="K33" s="28"/>
      <c r="M33" s="45">
        <f>2349/1731</f>
        <v>1.3570190641247835</v>
      </c>
      <c r="N33" s="42">
        <f>1433/1731</f>
        <v>0.8278451761987291</v>
      </c>
    </row>
    <row r="34" spans="1:16">
      <c r="A34" s="2" t="s">
        <v>141</v>
      </c>
      <c r="E34" s="28"/>
      <c r="F34" s="18"/>
      <c r="G34" s="18"/>
      <c r="H34" s="18"/>
      <c r="I34" s="18"/>
      <c r="K34" s="28"/>
      <c r="M34" s="45">
        <f>1457/1030</f>
        <v>1.4145631067961164</v>
      </c>
      <c r="N34" s="42">
        <f>824/1030</f>
        <v>0.8</v>
      </c>
    </row>
    <row r="35" spans="1:16">
      <c r="A35" t="s">
        <v>142</v>
      </c>
      <c r="E35" s="28"/>
      <c r="F35" s="18"/>
      <c r="G35" s="18"/>
      <c r="H35" s="18"/>
      <c r="I35" s="18"/>
      <c r="K35" s="28"/>
      <c r="M35" s="45">
        <f>914/592</f>
        <v>1.5439189189189189</v>
      </c>
      <c r="N35" s="42">
        <f>480/592</f>
        <v>0.81081081081081086</v>
      </c>
    </row>
    <row r="36" spans="1:16">
      <c r="A36" s="22" t="s">
        <v>143</v>
      </c>
      <c r="B36" s="35"/>
      <c r="C36" s="36"/>
      <c r="D36" s="36"/>
      <c r="E36" s="35"/>
      <c r="F36" s="35"/>
      <c r="G36" s="35"/>
      <c r="H36" s="35"/>
      <c r="I36" s="35"/>
      <c r="J36" s="36"/>
      <c r="K36" s="36"/>
      <c r="L36" s="36"/>
      <c r="M36" s="35" t="s">
        <v>7</v>
      </c>
      <c r="N36" s="35" t="s">
        <v>9</v>
      </c>
      <c r="O36" s="35" t="s">
        <v>6</v>
      </c>
      <c r="P36" s="35" t="s">
        <v>6</v>
      </c>
    </row>
    <row r="37" spans="1:16" s="19" customFormat="1">
      <c r="A37" s="23" t="s">
        <v>144</v>
      </c>
      <c r="E37" s="28"/>
      <c r="F37" s="18"/>
      <c r="G37" s="18"/>
      <c r="H37" s="18"/>
      <c r="I37" s="18"/>
      <c r="K37" s="28"/>
      <c r="M37" s="44">
        <f>6254/6427</f>
        <v>0.97308230900886883</v>
      </c>
      <c r="N37" s="44">
        <f>4927/5128</f>
        <v>0.96080343213728547</v>
      </c>
      <c r="O37" s="19">
        <f>12630/11280</f>
        <v>1.1196808510638299</v>
      </c>
      <c r="P37" s="19">
        <f>6386/11280</f>
        <v>0.56613475177304962</v>
      </c>
    </row>
    <row r="38" spans="1:16" s="19" customFormat="1">
      <c r="A38" s="23" t="s">
        <v>145</v>
      </c>
      <c r="E38" s="28"/>
      <c r="F38" s="18"/>
      <c r="G38" s="18"/>
      <c r="H38" s="18"/>
      <c r="I38" s="18"/>
      <c r="K38" s="28"/>
      <c r="M38" s="44">
        <f>3006/3061</f>
        <v>0.98203201568114995</v>
      </c>
      <c r="N38" s="44">
        <f>2178/2622</f>
        <v>0.83066361556064072</v>
      </c>
    </row>
    <row r="39" spans="1:16" s="19" customFormat="1">
      <c r="A39" s="23" t="s">
        <v>146</v>
      </c>
      <c r="E39" s="28"/>
      <c r="F39" s="18"/>
      <c r="G39" s="18"/>
      <c r="H39" s="18"/>
      <c r="I39" s="18"/>
      <c r="K39" s="28"/>
      <c r="M39" s="46">
        <f>4996/4693</f>
        <v>1.0645642446196464</v>
      </c>
      <c r="N39" s="44">
        <f>4415/4350</f>
        <v>1.0149425287356322</v>
      </c>
    </row>
    <row r="40" spans="1:16" s="19" customFormat="1">
      <c r="A40" s="23" t="s">
        <v>147</v>
      </c>
      <c r="E40" s="28"/>
      <c r="F40" s="18"/>
      <c r="G40" s="18"/>
      <c r="H40" s="18"/>
      <c r="I40" s="18"/>
      <c r="K40" s="28"/>
      <c r="M40" s="46">
        <f>2490/2365</f>
        <v>1.0528541226215644</v>
      </c>
      <c r="N40" s="44">
        <f>1906/1975</f>
        <v>0.9650632911392405</v>
      </c>
    </row>
    <row r="41" spans="1:16" s="19" customFormat="1">
      <c r="A41" s="23" t="s">
        <v>148</v>
      </c>
      <c r="E41" s="28"/>
      <c r="F41" s="18"/>
      <c r="G41" s="18"/>
      <c r="H41" s="18"/>
      <c r="I41" s="18"/>
      <c r="K41" s="28"/>
      <c r="M41" s="46">
        <f>4254/3691</f>
        <v>1.1525331888377133</v>
      </c>
      <c r="N41" s="46">
        <f>3961/3262</f>
        <v>1.2142857142857142</v>
      </c>
    </row>
    <row r="42" spans="1:16" s="19" customFormat="1">
      <c r="A42" s="23" t="s">
        <v>149</v>
      </c>
      <c r="E42" s="28"/>
      <c r="F42" s="18"/>
      <c r="G42" s="18"/>
      <c r="H42" s="18"/>
      <c r="I42" s="18"/>
      <c r="K42" s="28"/>
      <c r="M42" s="46">
        <f>2061/1876</f>
        <v>1.0986140724946696</v>
      </c>
      <c r="N42" s="46">
        <f>1607/1504</f>
        <v>1.0684840425531914</v>
      </c>
      <c r="P42" s="48"/>
    </row>
    <row r="43" spans="1:16" s="19" customFormat="1">
      <c r="A43" s="23" t="s">
        <v>150</v>
      </c>
      <c r="E43" s="28"/>
      <c r="F43" s="18"/>
      <c r="G43" s="18"/>
      <c r="H43" s="18"/>
      <c r="I43" s="18"/>
      <c r="K43" s="28"/>
      <c r="M43" s="46">
        <f>3557/3053</f>
        <v>1.1650835244022273</v>
      </c>
      <c r="N43" s="46">
        <f>3368/2545</f>
        <v>1.3233791748526522</v>
      </c>
    </row>
    <row r="44" spans="1:16" s="19" customFormat="1">
      <c r="A44" s="23" t="s">
        <v>151</v>
      </c>
      <c r="E44" s="28"/>
      <c r="F44" s="18"/>
      <c r="G44" s="18"/>
      <c r="H44" s="18"/>
      <c r="I44" s="18"/>
      <c r="K44" s="28"/>
      <c r="M44" s="46">
        <f>1734/1504</f>
        <v>1.1529255319148937</v>
      </c>
      <c r="N44" s="46">
        <f>1555/1256</f>
        <v>1.2380573248407643</v>
      </c>
    </row>
    <row r="45" spans="1:16" s="19" customFormat="1">
      <c r="A45" s="23" t="s">
        <v>152</v>
      </c>
      <c r="E45" s="28"/>
      <c r="F45" s="18"/>
      <c r="G45" s="18"/>
      <c r="H45" s="18"/>
      <c r="I45" s="18"/>
      <c r="K45" s="28"/>
      <c r="M45" s="46">
        <f>3494/3078</f>
        <v>1.1351526965562053</v>
      </c>
      <c r="N45" s="44">
        <f>2625/2698</f>
        <v>0.97294292068198662</v>
      </c>
    </row>
    <row r="46" spans="1:16" s="19" customFormat="1">
      <c r="A46" s="23" t="s">
        <v>153</v>
      </c>
      <c r="E46" s="28"/>
      <c r="F46" s="18"/>
      <c r="G46" s="18"/>
      <c r="H46" s="18"/>
      <c r="I46" s="18"/>
      <c r="K46" s="28"/>
      <c r="M46" s="47" t="s">
        <v>154</v>
      </c>
      <c r="N46" s="47" t="s">
        <v>28</v>
      </c>
      <c r="O46" s="46">
        <f>10352/6018</f>
        <v>1.7201728148886672</v>
      </c>
      <c r="P46" s="46">
        <f>7996/6018</f>
        <v>1.3286806247922898</v>
      </c>
    </row>
    <row r="47" spans="1:16" s="19" customFormat="1">
      <c r="A47" s="23" t="s">
        <v>155</v>
      </c>
      <c r="E47" s="28"/>
      <c r="F47" s="18"/>
      <c r="G47" s="18"/>
      <c r="H47" s="18"/>
      <c r="I47" s="18"/>
      <c r="K47" s="28"/>
      <c r="M47" s="46">
        <f>5350/5056</f>
        <v>1.0581487341772151</v>
      </c>
      <c r="N47" s="46">
        <f>3350/3160</f>
        <v>1.0601265822784811</v>
      </c>
    </row>
    <row r="48" spans="1:16">
      <c r="A48" s="20" t="s">
        <v>156</v>
      </c>
      <c r="B48" s="35"/>
      <c r="C48" s="36"/>
      <c r="D48" s="36"/>
      <c r="E48" s="35"/>
      <c r="F48" s="35"/>
      <c r="G48" s="35"/>
      <c r="H48" s="35"/>
      <c r="I48" s="35"/>
      <c r="J48" s="36"/>
      <c r="K48" s="36"/>
      <c r="L48" s="36"/>
      <c r="M48" s="35" t="s">
        <v>100</v>
      </c>
      <c r="N48" s="35" t="s">
        <v>100</v>
      </c>
      <c r="O48" s="36"/>
    </row>
    <row r="49" spans="1:15">
      <c r="A49" s="24" t="s">
        <v>157</v>
      </c>
      <c r="E49" s="28"/>
      <c r="F49" s="18"/>
      <c r="H49" s="18"/>
      <c r="I49" s="18"/>
      <c r="J49" s="18"/>
      <c r="K49" s="28"/>
      <c r="M49" s="45">
        <f>5096/3064</f>
        <v>1.6631853785900783</v>
      </c>
      <c r="N49" s="42">
        <f>2619/3073</f>
        <v>0.85226163358281815</v>
      </c>
    </row>
    <row r="50" spans="1:15">
      <c r="A50" s="24" t="s">
        <v>158</v>
      </c>
      <c r="E50" s="28"/>
      <c r="F50" s="18"/>
      <c r="H50" s="18"/>
      <c r="I50" s="18"/>
      <c r="J50" s="18"/>
      <c r="K50" s="28"/>
      <c r="M50" s="45">
        <f>4635/2710</f>
        <v>1.7103321033210332</v>
      </c>
      <c r="N50" s="42">
        <f>2300/2694</f>
        <v>0.85374907201187822</v>
      </c>
    </row>
    <row r="51" spans="1:15">
      <c r="A51" s="24" t="s">
        <v>159</v>
      </c>
      <c r="E51" s="28"/>
      <c r="F51" s="18"/>
      <c r="H51" s="18"/>
      <c r="I51" s="18"/>
      <c r="J51" s="18"/>
      <c r="K51" s="28"/>
      <c r="M51" s="45">
        <f>3835/2096</f>
        <v>1.8296755725190839</v>
      </c>
      <c r="N51" s="45">
        <f>2416/2089</f>
        <v>1.1565342269028243</v>
      </c>
    </row>
    <row r="52" spans="1:15">
      <c r="A52" s="24" t="s">
        <v>160</v>
      </c>
      <c r="E52" s="28"/>
      <c r="F52" s="18"/>
      <c r="H52" s="18"/>
      <c r="I52" s="18"/>
      <c r="J52" s="18"/>
      <c r="K52" s="28"/>
      <c r="M52" s="45">
        <f>993/511</f>
        <v>1.9432485322896282</v>
      </c>
      <c r="N52" s="45">
        <f>2202/1860</f>
        <v>1.1838709677419355</v>
      </c>
    </row>
    <row r="53" spans="1:15">
      <c r="A53" s="24" t="s">
        <v>161</v>
      </c>
      <c r="E53" s="28"/>
      <c r="F53" s="18"/>
      <c r="H53" s="18"/>
      <c r="I53" s="18"/>
      <c r="J53" s="18"/>
      <c r="K53" s="28"/>
      <c r="M53" s="45">
        <f>3360/1773</f>
        <v>1.8950930626057529</v>
      </c>
      <c r="N53" s="45">
        <f>2215/1768</f>
        <v>1.2528280542986425</v>
      </c>
    </row>
    <row r="54" spans="1:15">
      <c r="A54" s="24" t="s">
        <v>162</v>
      </c>
      <c r="E54" s="28"/>
      <c r="F54" s="18"/>
      <c r="H54" s="18"/>
      <c r="I54" s="18"/>
      <c r="J54" s="18"/>
      <c r="K54" s="28"/>
      <c r="M54" s="45">
        <f>975/500</f>
        <v>1.95</v>
      </c>
      <c r="N54" s="45">
        <f>1925/1570</f>
        <v>1.2261146496815287</v>
      </c>
    </row>
    <row r="55" spans="1:15">
      <c r="A55" s="24" t="s">
        <v>163</v>
      </c>
      <c r="E55" s="28"/>
      <c r="F55" s="18"/>
      <c r="H55" s="18"/>
      <c r="I55" s="18"/>
      <c r="J55" s="18"/>
      <c r="K55" s="28"/>
      <c r="M55" s="45">
        <f>2952/1541</f>
        <v>1.9156391953277092</v>
      </c>
      <c r="N55" s="45">
        <f>2006/1534</f>
        <v>1.3076923076923077</v>
      </c>
    </row>
    <row r="56" spans="1:15">
      <c r="A56" s="24" t="s">
        <v>164</v>
      </c>
      <c r="E56" s="28"/>
      <c r="F56" s="18"/>
      <c r="H56" s="18"/>
      <c r="I56" s="18"/>
      <c r="J56" s="18"/>
      <c r="K56" s="28"/>
      <c r="M56" s="45">
        <f>504/211</f>
        <v>2.3886255924170614</v>
      </c>
      <c r="N56" s="45">
        <f>1711/1376</f>
        <v>1.2434593023255813</v>
      </c>
    </row>
    <row r="57" spans="1:15">
      <c r="A57" s="20" t="s">
        <v>165</v>
      </c>
      <c r="B57" s="35"/>
      <c r="C57" s="36"/>
      <c r="D57" s="36"/>
      <c r="E57" s="35"/>
      <c r="F57" s="35"/>
      <c r="G57" s="35"/>
      <c r="H57" s="35"/>
      <c r="I57" s="35"/>
      <c r="J57" s="36"/>
      <c r="K57" s="36"/>
      <c r="L57" s="36"/>
      <c r="M57" s="35" t="s">
        <v>6</v>
      </c>
      <c r="N57" s="35" t="s">
        <v>166</v>
      </c>
      <c r="O57" s="36"/>
    </row>
    <row r="58" spans="1:15">
      <c r="A58" t="s">
        <v>167</v>
      </c>
      <c r="F58" s="27" t="s">
        <v>11</v>
      </c>
      <c r="I58" s="18"/>
      <c r="M58" s="45">
        <f>3186/2150</f>
        <v>1.481860465116279</v>
      </c>
      <c r="N58" s="45">
        <f>2839/2323</f>
        <v>1.2221265604821352</v>
      </c>
    </row>
    <row r="59" spans="1:15">
      <c r="A59" t="s">
        <v>168</v>
      </c>
      <c r="F59" s="18"/>
      <c r="I59" s="18"/>
      <c r="M59" s="45">
        <f>3226/2137</f>
        <v>1.5095928872250819</v>
      </c>
      <c r="N59" s="45">
        <f>3436/2363</f>
        <v>1.4540837917900973</v>
      </c>
    </row>
    <row r="60" spans="1:15">
      <c r="A60" t="s">
        <v>169</v>
      </c>
      <c r="F60" s="18"/>
      <c r="I60" s="18"/>
      <c r="M60" s="45">
        <f>2450/1591</f>
        <v>1.5399120050282842</v>
      </c>
      <c r="N60" s="45">
        <f>2083/1821</f>
        <v>1.1438769906644701</v>
      </c>
    </row>
    <row r="61" spans="1:15">
      <c r="A61" s="2" t="s">
        <v>170</v>
      </c>
      <c r="F61" s="18"/>
      <c r="I61" s="18"/>
      <c r="M61" s="45">
        <f>2499/1601</f>
        <v>1.560899437851343</v>
      </c>
      <c r="N61" s="45">
        <f>2154/1771</f>
        <v>1.2162619988706944</v>
      </c>
    </row>
    <row r="62" spans="1:15">
      <c r="A62" s="2" t="s">
        <v>171</v>
      </c>
      <c r="F62" s="18"/>
      <c r="I62" s="4" t="s">
        <v>28</v>
      </c>
      <c r="M62" s="45">
        <f>814/525</f>
        <v>1.5504761904761906</v>
      </c>
      <c r="N62" s="45">
        <f>664/572</f>
        <v>1.1608391608391608</v>
      </c>
    </row>
    <row r="63" spans="1:15">
      <c r="A63" s="20" t="s">
        <v>172</v>
      </c>
      <c r="B63" s="35"/>
      <c r="C63" s="36"/>
      <c r="D63" s="36"/>
      <c r="E63" s="35"/>
      <c r="F63" s="35"/>
      <c r="G63" s="35"/>
      <c r="H63" s="35"/>
      <c r="I63" s="35"/>
      <c r="J63" s="36"/>
      <c r="K63" s="36"/>
      <c r="L63" s="36"/>
      <c r="M63" s="35" t="s">
        <v>173</v>
      </c>
      <c r="N63" s="35" t="s">
        <v>174</v>
      </c>
      <c r="O63" s="36"/>
    </row>
    <row r="64" spans="1:15" ht="15.75">
      <c r="A64" s="29" t="s">
        <v>175</v>
      </c>
      <c r="I64" s="18"/>
      <c r="J64" s="18"/>
      <c r="M64" s="42">
        <f>140.381864/142.545626</f>
        <v>0.98482056545179442</v>
      </c>
      <c r="N64" s="42">
        <f>71.853/74.7945</f>
        <v>0.96067224194292355</v>
      </c>
    </row>
    <row r="65" spans="1:15" ht="15.75">
      <c r="A65" s="29" t="s">
        <v>176</v>
      </c>
      <c r="I65" s="18"/>
      <c r="J65" s="18"/>
      <c r="M65" s="45">
        <f>142.973002/142.984213</f>
        <v>0.99992159274254977</v>
      </c>
      <c r="N65" s="42">
        <f>74.7245/85.7422</f>
        <v>0.87150201417738304</v>
      </c>
    </row>
    <row r="66" spans="1:15" ht="15.75">
      <c r="A66" s="29" t="s">
        <v>177</v>
      </c>
      <c r="I66" s="18"/>
      <c r="J66" s="18"/>
      <c r="M66" s="42">
        <f>148.534627/148.967235</f>
        <v>0.99709595200582202</v>
      </c>
      <c r="N66" s="42">
        <f>91.8292/139.4895</f>
        <v>0.65832338634807641</v>
      </c>
    </row>
    <row r="67" spans="1:15">
      <c r="A67" t="s">
        <v>178</v>
      </c>
      <c r="I67" s="18"/>
      <c r="J67" s="18"/>
      <c r="M67" s="45">
        <f>146.914351/141.828703</f>
        <v>1.03585767825854</v>
      </c>
      <c r="N67" s="42">
        <f>73.5545/74.48</f>
        <v>0.98757384532760473</v>
      </c>
    </row>
    <row r="68" spans="1:15">
      <c r="A68" t="s">
        <v>179</v>
      </c>
      <c r="I68" s="18"/>
      <c r="J68" s="18"/>
      <c r="M68" s="45">
        <f>142.38112/140.97448</f>
        <v>1.0099779761556844</v>
      </c>
      <c r="N68" s="42">
        <f>74.0591/83.3526</f>
        <v>0.88850377792654345</v>
      </c>
    </row>
    <row r="69" spans="1:15">
      <c r="A69" t="s">
        <v>180</v>
      </c>
      <c r="I69" s="18"/>
      <c r="J69" s="18"/>
      <c r="M69" s="42">
        <f>148.32061/148.663891</f>
        <v>0.99769089186559756</v>
      </c>
      <c r="N69" s="42">
        <f>94.2241/153.9736</f>
        <v>0.61194971085952399</v>
      </c>
    </row>
    <row r="70" spans="1:15">
      <c r="A70" t="s">
        <v>181</v>
      </c>
      <c r="I70" s="18"/>
      <c r="J70" s="18"/>
      <c r="M70" s="45">
        <f>189.366776/122.588984</f>
        <v>1.5447291414047448</v>
      </c>
      <c r="N70" s="45">
        <f>196.7125/117.8882</f>
        <v>1.6686360466950891</v>
      </c>
    </row>
    <row r="71" spans="1:15">
      <c r="A71" t="s">
        <v>182</v>
      </c>
      <c r="I71" s="18"/>
      <c r="J71" s="18"/>
      <c r="M71" s="45">
        <f>349.026743/221.352861</f>
        <v>1.5767889397191934</v>
      </c>
      <c r="N71" s="45">
        <f>335.1846/205.4684</f>
        <v>1.6313194632361958</v>
      </c>
    </row>
    <row r="72" spans="1:15">
      <c r="A72" t="s">
        <v>183</v>
      </c>
      <c r="I72" s="18"/>
      <c r="J72" s="18"/>
      <c r="M72" s="45">
        <f>221.565192/154.406856</f>
        <v>1.4349440027455775</v>
      </c>
      <c r="N72" s="45">
        <f>228.8745/145.8779</f>
        <v>1.5689456730594558</v>
      </c>
    </row>
    <row r="73" spans="1:15">
      <c r="A73" t="s">
        <v>184</v>
      </c>
      <c r="I73" s="18"/>
      <c r="J73" s="18"/>
      <c r="M73" s="45">
        <f>512.457778/310.36022</f>
        <v>1.6511709458125785</v>
      </c>
      <c r="N73" s="45">
        <f>445.5151/314.3749</f>
        <v>1.4171458980980987</v>
      </c>
    </row>
    <row r="74" spans="1:15">
      <c r="A74" s="20" t="s">
        <v>185</v>
      </c>
      <c r="B74" s="35"/>
      <c r="C74" s="36"/>
      <c r="D74" s="36"/>
      <c r="E74" s="35"/>
      <c r="F74" s="35"/>
      <c r="G74" s="35"/>
      <c r="H74" s="35"/>
      <c r="I74" s="35"/>
      <c r="J74" s="36"/>
      <c r="K74" s="36"/>
      <c r="L74" s="36"/>
      <c r="M74" s="35" t="s">
        <v>173</v>
      </c>
      <c r="N74" s="35" t="s">
        <v>174</v>
      </c>
      <c r="O74" s="36"/>
    </row>
    <row r="75" spans="1:15" ht="15.75">
      <c r="A75" s="29" t="s">
        <v>175</v>
      </c>
      <c r="F75" s="18"/>
      <c r="I75" s="18"/>
      <c r="J75" s="18"/>
      <c r="M75" s="42">
        <f>148.202594/148.719601</f>
        <v>0.99652361224395691</v>
      </c>
      <c r="N75" s="42">
        <f>74.8453/75.3635</f>
        <v>0.99312399238358084</v>
      </c>
    </row>
    <row r="76" spans="1:15" ht="15.75">
      <c r="A76" s="29" t="s">
        <v>176</v>
      </c>
      <c r="F76" s="18"/>
      <c r="I76" s="18"/>
      <c r="J76" s="18"/>
      <c r="M76" s="42">
        <f>146.400775/150.727086</f>
        <v>0.97129705672144417</v>
      </c>
      <c r="N76" s="42">
        <f>76.0471/94.702</f>
        <v>0.80301471985808115</v>
      </c>
    </row>
    <row r="77" spans="1:15" ht="15.75">
      <c r="A77" s="29" t="s">
        <v>177</v>
      </c>
      <c r="F77" s="18"/>
      <c r="I77" s="18"/>
      <c r="J77" s="18"/>
      <c r="M77" s="42">
        <f>158.459798/169.251482</f>
        <v>0.93623876215157753</v>
      </c>
      <c r="N77" s="42">
        <f>107.9786/163.4332</f>
        <v>0.66068950494758716</v>
      </c>
    </row>
    <row r="78" spans="1:15">
      <c r="A78" t="s">
        <v>178</v>
      </c>
      <c r="F78" s="18"/>
      <c r="I78" s="18"/>
      <c r="J78" s="18"/>
      <c r="M78" s="42">
        <f>146.618052/146.854417</f>
        <v>0.99839048082564652</v>
      </c>
      <c r="N78" s="42">
        <f>74.5269/76.4395</f>
        <v>0.97497890488556316</v>
      </c>
    </row>
    <row r="79" spans="1:15">
      <c r="A79" t="s">
        <v>179</v>
      </c>
      <c r="F79" s="18"/>
      <c r="I79" s="18"/>
      <c r="J79" s="18"/>
      <c r="M79" s="45">
        <f>147.94512/145.958402</f>
        <v>1.0136115357031656</v>
      </c>
      <c r="N79" s="42">
        <f>76.1321/94.5626</f>
        <v>0.80509736407416876</v>
      </c>
    </row>
    <row r="80" spans="1:15">
      <c r="A80" t="s">
        <v>180</v>
      </c>
      <c r="F80" s="18"/>
      <c r="I80" s="18"/>
      <c r="J80" s="18"/>
      <c r="M80" s="42">
        <f>155.528225/169.900406</f>
        <v>0.91540820096686515</v>
      </c>
      <c r="N80" s="42">
        <f>109.3285/169.9664</f>
        <v>0.64323595722448679</v>
      </c>
    </row>
    <row r="81" spans="1:14">
      <c r="A81" t="s">
        <v>181</v>
      </c>
      <c r="F81" s="18"/>
      <c r="I81" s="18"/>
      <c r="J81" s="18"/>
      <c r="M81" s="45">
        <f>248.55466/178.930475</f>
        <v>1.389113061930898</v>
      </c>
      <c r="N81" s="45">
        <f>208.2065/151.0702</f>
        <v>1.3782102625137189</v>
      </c>
    </row>
    <row r="82" spans="1:14">
      <c r="A82" t="s">
        <v>182</v>
      </c>
      <c r="F82" s="18"/>
      <c r="I82" s="18"/>
      <c r="J82" s="18"/>
      <c r="M82" s="45">
        <f>253.769714/173.629322</f>
        <v>1.46156024268758</v>
      </c>
      <c r="N82" s="45">
        <f>217.98/169.8256</f>
        <v>1.28355206753281</v>
      </c>
    </row>
    <row r="83" spans="1:14">
      <c r="A83" t="s">
        <v>183</v>
      </c>
      <c r="F83" s="18"/>
      <c r="I83" s="18"/>
      <c r="J83" s="18"/>
      <c r="M83" s="45">
        <f>268.252626/176.743587</f>
        <v>1.5177502649643522</v>
      </c>
      <c r="N83" s="45">
        <f>235.6752/170.0423</f>
        <v>1.3859798414865006</v>
      </c>
    </row>
    <row r="84" spans="1:14">
      <c r="A84" t="s">
        <v>184</v>
      </c>
      <c r="F84" s="18"/>
      <c r="I84" s="18"/>
      <c r="J84" s="18"/>
      <c r="M84" s="45">
        <f>246.277955/163.397419</f>
        <v>1.5072328345651529</v>
      </c>
      <c r="N84" s="45">
        <f>518.4759/341.1776</f>
        <v>1.5196657107617852</v>
      </c>
    </row>
    <row r="86" spans="1:14">
      <c r="A86" t="s">
        <v>58</v>
      </c>
    </row>
    <row r="87" spans="1:14">
      <c r="A87" t="s">
        <v>59</v>
      </c>
    </row>
    <row r="89" spans="1:14">
      <c r="A89" t="s">
        <v>186</v>
      </c>
    </row>
    <row r="90" spans="1:14">
      <c r="A90" t="s">
        <v>187</v>
      </c>
    </row>
    <row r="91" spans="1:14">
      <c r="A91" t="s">
        <v>188</v>
      </c>
    </row>
    <row r="92" spans="1:14">
      <c r="A92" t="s">
        <v>189</v>
      </c>
    </row>
    <row r="93" spans="1:14">
      <c r="A93" t="s">
        <v>190</v>
      </c>
    </row>
    <row r="94" spans="1:14">
      <c r="A94" t="s">
        <v>191</v>
      </c>
    </row>
    <row r="95" spans="1:14">
      <c r="A95" t="s">
        <v>192</v>
      </c>
    </row>
    <row r="96" spans="1:14">
      <c r="A96" t="s">
        <v>193</v>
      </c>
    </row>
    <row r="97" spans="1:2">
      <c r="A97" t="s">
        <v>194</v>
      </c>
    </row>
    <row r="98" spans="1:2">
      <c r="A98" t="s">
        <v>195</v>
      </c>
    </row>
    <row r="100" spans="1:2">
      <c r="A100" s="18" t="s">
        <v>196</v>
      </c>
    </row>
    <row r="102" spans="1:2">
      <c r="A102" s="37"/>
      <c r="B102" t="s">
        <v>197</v>
      </c>
    </row>
    <row r="104" spans="1:2">
      <c r="A104" s="7" t="s">
        <v>108</v>
      </c>
      <c r="B104" t="s">
        <v>198</v>
      </c>
    </row>
    <row r="105" spans="1:2">
      <c r="B105" t="s">
        <v>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9A2E-66BE-4C86-9E79-6D9B85479FC2}">
  <dimension ref="A1:M69"/>
  <sheetViews>
    <sheetView tabSelected="1" topLeftCell="A49" workbookViewId="0">
      <selection activeCell="A60" sqref="A60"/>
    </sheetView>
  </sheetViews>
  <sheetFormatPr defaultRowHeight="15"/>
  <cols>
    <col min="1" max="1" width="43.140625" customWidth="1"/>
    <col min="2" max="2" width="12.85546875" customWidth="1"/>
    <col min="3" max="3" width="10.7109375" customWidth="1"/>
    <col min="4" max="4" width="12.42578125" customWidth="1"/>
    <col min="12" max="12" width="26" customWidth="1"/>
    <col min="13" max="13" width="25.28515625" customWidth="1"/>
  </cols>
  <sheetData>
    <row r="1" spans="1:13">
      <c r="G1" t="s">
        <v>0</v>
      </c>
      <c r="L1" s="41" t="s">
        <v>96</v>
      </c>
      <c r="M1" s="3" t="s">
        <v>200</v>
      </c>
    </row>
    <row r="2" spans="1:13">
      <c r="A2" t="s">
        <v>1</v>
      </c>
      <c r="B2" s="3" t="s">
        <v>2</v>
      </c>
      <c r="C2" t="s">
        <v>3</v>
      </c>
      <c r="D2" t="s">
        <v>4</v>
      </c>
      <c r="E2" s="3" t="s">
        <v>5</v>
      </c>
      <c r="F2" s="3" t="s">
        <v>6</v>
      </c>
      <c r="G2" s="3" t="s">
        <v>7</v>
      </c>
      <c r="H2" s="3" t="s">
        <v>8</v>
      </c>
      <c r="I2" s="3" t="s">
        <v>9</v>
      </c>
      <c r="J2" s="3">
        <v>3090</v>
      </c>
      <c r="K2" s="3"/>
      <c r="L2" s="2" t="s">
        <v>201</v>
      </c>
      <c r="M2" t="s">
        <v>102</v>
      </c>
    </row>
    <row r="3" spans="1:13">
      <c r="A3" s="20" t="s">
        <v>202</v>
      </c>
      <c r="B3" s="36"/>
      <c r="C3" s="36"/>
      <c r="D3" s="36"/>
      <c r="E3" s="36"/>
      <c r="F3" s="36"/>
      <c r="G3" s="36"/>
      <c r="H3" s="36"/>
      <c r="I3" s="36"/>
      <c r="J3" s="36"/>
      <c r="K3" s="36"/>
      <c r="L3" s="35" t="s">
        <v>9</v>
      </c>
      <c r="M3" s="35" t="s">
        <v>9</v>
      </c>
    </row>
    <row r="4" spans="1:13" ht="15.75">
      <c r="A4" s="29" t="s">
        <v>203</v>
      </c>
      <c r="I4" s="18"/>
      <c r="L4" s="45">
        <f>297.809/293.846</f>
        <v>1.0134866562757363</v>
      </c>
      <c r="M4" s="45">
        <f>174.294/101.032</f>
        <v>1.7251365903872042</v>
      </c>
    </row>
    <row r="5" spans="1:13" ht="15.75">
      <c r="A5" s="29" t="s">
        <v>204</v>
      </c>
      <c r="I5" s="18"/>
      <c r="L5" s="61">
        <f>350.821/327.698</f>
        <v>1.0705619198164165</v>
      </c>
      <c r="M5" s="45">
        <f>399.104/207.216</f>
        <v>1.9260288780789128</v>
      </c>
    </row>
    <row r="6" spans="1:13" ht="15.75">
      <c r="A6" s="29" t="s">
        <v>205</v>
      </c>
      <c r="I6" s="18"/>
      <c r="L6" s="45">
        <f>374.387/373.121</f>
        <v>1.0033930011980028</v>
      </c>
      <c r="M6" s="45">
        <f>214.785/164.106</f>
        <v>1.3088186903586707</v>
      </c>
    </row>
    <row r="7" spans="1:13" ht="15.75">
      <c r="A7" s="29" t="s">
        <v>206</v>
      </c>
      <c r="I7" s="18"/>
      <c r="L7" s="45">
        <f>320.666/320.781</f>
        <v>0.99964149996414997</v>
      </c>
      <c r="M7" s="45">
        <f>108.712/91.571</f>
        <v>1.1871880835635737</v>
      </c>
    </row>
    <row r="8" spans="1:13" ht="15.75">
      <c r="A8" s="29" t="s">
        <v>207</v>
      </c>
      <c r="I8" s="18"/>
      <c r="L8" s="61">
        <f>2010.651/2027.047</f>
        <v>0.99191138636647302</v>
      </c>
      <c r="M8" s="45">
        <f>1264.288/723.4</f>
        <v>1.7477025158971524</v>
      </c>
    </row>
    <row r="9" spans="1:13" ht="15.75">
      <c r="A9" s="29" t="s">
        <v>208</v>
      </c>
      <c r="I9" s="18"/>
      <c r="L9" s="45">
        <f>2242.294/2176.422</f>
        <v>1.030266189185737</v>
      </c>
      <c r="M9" s="45">
        <f>3019.983/1464.311</f>
        <v>2.0623918006489061</v>
      </c>
    </row>
    <row r="10" spans="1:13" ht="15.75">
      <c r="A10" s="29" t="s">
        <v>209</v>
      </c>
      <c r="I10" s="18"/>
      <c r="L10" s="42">
        <f>2527.782/2574.801</f>
        <v>0.98173878291953443</v>
      </c>
      <c r="M10" s="45">
        <f>1568.203/1115.866</f>
        <v>1.4053685657596879</v>
      </c>
    </row>
    <row r="11" spans="1:13" ht="15.75">
      <c r="A11" s="29" t="s">
        <v>210</v>
      </c>
      <c r="I11" s="18"/>
      <c r="L11" s="42">
        <f>2203.419/2226.603</f>
        <v>0.98958772623588476</v>
      </c>
      <c r="M11" s="45">
        <f>759.785/639.684</f>
        <v>1.1877505143164437</v>
      </c>
    </row>
    <row r="12" spans="1:13">
      <c r="A12" s="20" t="s">
        <v>211</v>
      </c>
      <c r="B12" s="36"/>
      <c r="C12" s="36"/>
      <c r="D12" s="36"/>
      <c r="E12" s="36"/>
      <c r="F12" s="36"/>
      <c r="G12" s="36"/>
      <c r="H12" s="36"/>
      <c r="I12" s="36"/>
      <c r="J12" s="36"/>
      <c r="K12" s="36"/>
      <c r="L12" s="35" t="s">
        <v>6</v>
      </c>
      <c r="M12" s="36"/>
    </row>
    <row r="13" spans="1:13">
      <c r="A13" t="s">
        <v>212</v>
      </c>
      <c r="I13" s="30" t="s">
        <v>28</v>
      </c>
      <c r="L13" s="59" t="s">
        <v>44</v>
      </c>
      <c r="M13" s="30" t="s">
        <v>28</v>
      </c>
    </row>
    <row r="14" spans="1:13">
      <c r="A14" t="s">
        <v>213</v>
      </c>
      <c r="I14" s="30" t="s">
        <v>28</v>
      </c>
      <c r="L14" s="30" t="s">
        <v>28</v>
      </c>
      <c r="M14" s="30" t="s">
        <v>28</v>
      </c>
    </row>
    <row r="15" spans="1:13">
      <c r="A15" t="s">
        <v>214</v>
      </c>
      <c r="I15" s="30" t="s">
        <v>28</v>
      </c>
      <c r="L15" s="30" t="s">
        <v>28</v>
      </c>
      <c r="M15" s="30" t="s">
        <v>28</v>
      </c>
    </row>
    <row r="16" spans="1:13">
      <c r="A16" t="s">
        <v>215</v>
      </c>
      <c r="I16" s="30" t="s">
        <v>28</v>
      </c>
      <c r="L16" s="30" t="s">
        <v>28</v>
      </c>
      <c r="M16" s="30" t="s">
        <v>28</v>
      </c>
    </row>
    <row r="17" spans="1:13" ht="15.75">
      <c r="A17" s="29" t="s">
        <v>216</v>
      </c>
      <c r="I17" s="30" t="s">
        <v>28</v>
      </c>
      <c r="L17" s="30" t="s">
        <v>28</v>
      </c>
      <c r="M17" s="30" t="s">
        <v>28</v>
      </c>
    </row>
    <row r="18" spans="1:13" ht="15.75">
      <c r="A18" s="29" t="s">
        <v>217</v>
      </c>
      <c r="I18" s="30" t="s">
        <v>28</v>
      </c>
      <c r="L18" s="30" t="s">
        <v>28</v>
      </c>
      <c r="M18" s="30" t="s">
        <v>28</v>
      </c>
    </row>
    <row r="19" spans="1:13" ht="15.75">
      <c r="A19" s="29" t="s">
        <v>218</v>
      </c>
      <c r="I19" s="30" t="s">
        <v>28</v>
      </c>
      <c r="L19" s="30" t="s">
        <v>28</v>
      </c>
      <c r="M19" s="30" t="s">
        <v>28</v>
      </c>
    </row>
    <row r="20" spans="1:13" ht="15.75">
      <c r="A20" s="29" t="s">
        <v>219</v>
      </c>
      <c r="I20" s="30" t="s">
        <v>28</v>
      </c>
      <c r="L20" s="30" t="s">
        <v>28</v>
      </c>
      <c r="M20" s="30" t="s">
        <v>28</v>
      </c>
    </row>
    <row r="21" spans="1:13" ht="15.75">
      <c r="A21" s="29" t="s">
        <v>220</v>
      </c>
      <c r="I21" s="30" t="s">
        <v>28</v>
      </c>
      <c r="L21" s="30" t="s">
        <v>28</v>
      </c>
      <c r="M21" s="30" t="s">
        <v>28</v>
      </c>
    </row>
    <row r="22" spans="1:13">
      <c r="A22" s="20" t="s">
        <v>221</v>
      </c>
      <c r="B22" s="36"/>
      <c r="C22" s="36"/>
      <c r="D22" s="36"/>
      <c r="E22" s="36"/>
      <c r="F22" s="36"/>
      <c r="G22" s="36"/>
      <c r="H22" s="36"/>
      <c r="I22" s="36"/>
      <c r="J22" s="36"/>
      <c r="K22" s="36"/>
      <c r="L22" s="35" t="s">
        <v>9</v>
      </c>
      <c r="M22" s="35" t="s">
        <v>9</v>
      </c>
    </row>
    <row r="23" spans="1:13" ht="15.75">
      <c r="A23" s="29" t="s">
        <v>222</v>
      </c>
      <c r="G23" s="18"/>
      <c r="I23" s="18"/>
      <c r="L23" s="53" t="s">
        <v>223</v>
      </c>
      <c r="M23" s="40" t="s">
        <v>11</v>
      </c>
    </row>
    <row r="24" spans="1:13" ht="15.75">
      <c r="A24" s="29" t="s">
        <v>224</v>
      </c>
      <c r="G24" s="18"/>
      <c r="I24" s="18"/>
      <c r="L24" s="55" t="s">
        <v>225</v>
      </c>
      <c r="M24" s="40" t="s">
        <v>11</v>
      </c>
    </row>
    <row r="25" spans="1:13">
      <c r="A25" t="s">
        <v>226</v>
      </c>
      <c r="G25" s="18"/>
      <c r="I25" s="18"/>
      <c r="L25" s="53" t="s">
        <v>227</v>
      </c>
      <c r="M25" s="40" t="s">
        <v>11</v>
      </c>
    </row>
    <row r="26" spans="1:13">
      <c r="A26" t="s">
        <v>228</v>
      </c>
      <c r="G26" s="18"/>
      <c r="I26" s="18"/>
      <c r="L26" s="53" t="s">
        <v>229</v>
      </c>
      <c r="M26" s="40" t="s">
        <v>11</v>
      </c>
    </row>
    <row r="27" spans="1:13" ht="15.75">
      <c r="A27" s="29" t="s">
        <v>230</v>
      </c>
      <c r="G27" s="18"/>
      <c r="I27" s="18"/>
      <c r="L27" s="53" t="s">
        <v>231</v>
      </c>
      <c r="M27" s="40" t="s">
        <v>11</v>
      </c>
    </row>
    <row r="28" spans="1:13" ht="15.75">
      <c r="A28" s="29" t="s">
        <v>232</v>
      </c>
      <c r="G28" s="18"/>
      <c r="I28" s="18"/>
      <c r="L28" s="53" t="s">
        <v>233</v>
      </c>
      <c r="M28" s="40" t="s">
        <v>11</v>
      </c>
    </row>
    <row r="29" spans="1:13" ht="15.75">
      <c r="A29" s="29" t="s">
        <v>234</v>
      </c>
      <c r="G29" s="18"/>
      <c r="I29" s="18"/>
      <c r="L29" s="53" t="s">
        <v>235</v>
      </c>
      <c r="M29" s="40" t="s">
        <v>11</v>
      </c>
    </row>
    <row r="30" spans="1:13" ht="15.75">
      <c r="A30" s="29" t="s">
        <v>236</v>
      </c>
      <c r="G30" s="18"/>
      <c r="I30" s="18"/>
      <c r="L30" s="53" t="s">
        <v>237</v>
      </c>
      <c r="M30" s="40" t="s">
        <v>11</v>
      </c>
    </row>
    <row r="31" spans="1:13" ht="15.75">
      <c r="A31" s="29" t="s">
        <v>238</v>
      </c>
      <c r="G31" s="18"/>
      <c r="I31" s="18"/>
      <c r="L31" s="53" t="s">
        <v>239</v>
      </c>
      <c r="M31" s="40" t="s">
        <v>11</v>
      </c>
    </row>
    <row r="32" spans="1:13" ht="15.75">
      <c r="A32" s="29" t="s">
        <v>240</v>
      </c>
      <c r="G32" s="18"/>
      <c r="I32" s="18"/>
      <c r="L32" s="53" t="s">
        <v>241</v>
      </c>
      <c r="M32" s="40" t="s">
        <v>11</v>
      </c>
    </row>
    <row r="33" spans="1:13">
      <c r="A33" s="20" t="s">
        <v>242</v>
      </c>
      <c r="B33" s="36"/>
      <c r="C33" s="36"/>
      <c r="D33" s="36"/>
      <c r="E33" s="36"/>
      <c r="F33" s="36"/>
      <c r="G33" s="36"/>
      <c r="H33" s="36"/>
      <c r="I33" s="35" t="s">
        <v>9</v>
      </c>
      <c r="J33" s="36"/>
      <c r="K33" s="36"/>
      <c r="L33" s="35" t="s">
        <v>6</v>
      </c>
      <c r="M33" s="36"/>
    </row>
    <row r="34" spans="1:13">
      <c r="A34" t="s">
        <v>243</v>
      </c>
      <c r="F34" s="18"/>
      <c r="G34" s="18"/>
      <c r="I34" s="18"/>
      <c r="L34" s="45">
        <f>96.624/72.989</f>
        <v>1.3238159174670154</v>
      </c>
      <c r="M34" s="40" t="s">
        <v>11</v>
      </c>
    </row>
    <row r="35" spans="1:13">
      <c r="A35" t="s">
        <v>244</v>
      </c>
      <c r="F35" s="18"/>
      <c r="G35" s="18"/>
      <c r="I35" s="18"/>
      <c r="L35" s="45">
        <f>173.635/95.265</f>
        <v>1.822652600640319</v>
      </c>
      <c r="M35" s="40" t="s">
        <v>11</v>
      </c>
    </row>
    <row r="36" spans="1:13">
      <c r="A36" t="s">
        <v>245</v>
      </c>
      <c r="F36" s="18"/>
      <c r="G36" s="18"/>
      <c r="I36" s="18"/>
      <c r="L36" s="45">
        <f>176.675/108.656</f>
        <v>1.6260031659549403</v>
      </c>
      <c r="M36" s="40" t="s">
        <v>11</v>
      </c>
    </row>
    <row r="37" spans="1:13" ht="15.75">
      <c r="A37" s="29" t="s">
        <v>246</v>
      </c>
      <c r="F37" s="18"/>
      <c r="G37" s="18"/>
      <c r="I37" s="18"/>
      <c r="L37" s="45">
        <f>277.33/171.571</f>
        <v>1.6164153615704284</v>
      </c>
      <c r="M37" s="40" t="s">
        <v>11</v>
      </c>
    </row>
    <row r="38" spans="1:13" ht="15.75">
      <c r="A38" s="29" t="s">
        <v>247</v>
      </c>
      <c r="F38" s="18"/>
      <c r="G38" s="18"/>
      <c r="I38" s="18"/>
      <c r="L38" s="45">
        <f>249.397/140.457</f>
        <v>1.7756110411015471</v>
      </c>
      <c r="M38" s="40" t="s">
        <v>11</v>
      </c>
    </row>
    <row r="39" spans="1:13" ht="15.75">
      <c r="A39" s="29" t="s">
        <v>248</v>
      </c>
      <c r="F39" s="18"/>
      <c r="G39" s="18"/>
      <c r="I39" s="18"/>
      <c r="L39" s="45">
        <f>96.751/73.022</f>
        <v>1.3249568623154666</v>
      </c>
      <c r="M39" s="40" t="s">
        <v>11</v>
      </c>
    </row>
    <row r="40" spans="1:13" ht="15.75">
      <c r="A40" s="29" t="s">
        <v>249</v>
      </c>
      <c r="F40" s="18"/>
      <c r="G40" s="18"/>
      <c r="I40" s="18">
        <f>1455.156/859.743</f>
        <v>1.6925476566834505</v>
      </c>
      <c r="L40" s="56">
        <f>96.36/75.577</f>
        <v>1.2749910687113806</v>
      </c>
      <c r="M40" s="40" t="s">
        <v>11</v>
      </c>
    </row>
    <row r="41" spans="1:13" ht="15.75">
      <c r="A41" s="29" t="s">
        <v>250</v>
      </c>
      <c r="F41" s="18"/>
      <c r="G41" s="18"/>
      <c r="I41" s="18">
        <f>1684.563/1143.324</f>
        <v>1.4733907448807162</v>
      </c>
      <c r="L41" s="56">
        <f>117.929/95.677</f>
        <v>1.2325741818827931</v>
      </c>
      <c r="M41" s="40" t="s">
        <v>11</v>
      </c>
    </row>
    <row r="42" spans="1:13" ht="15.75">
      <c r="A42" s="29" t="s">
        <v>251</v>
      </c>
      <c r="F42" s="18"/>
      <c r="G42" s="18"/>
      <c r="I42" s="18"/>
      <c r="L42" s="45">
        <f>642.988/596.465</f>
        <v>1.0779978707887303</v>
      </c>
      <c r="M42" s="40" t="s">
        <v>11</v>
      </c>
    </row>
    <row r="43" spans="1:13" ht="15.75">
      <c r="A43" s="29" t="s">
        <v>252</v>
      </c>
      <c r="F43" s="18"/>
      <c r="G43" s="18"/>
      <c r="I43" s="18"/>
      <c r="L43" s="45">
        <f>681.715/627.923</f>
        <v>1.0856665546571793</v>
      </c>
      <c r="M43" s="40" t="s">
        <v>11</v>
      </c>
    </row>
    <row r="44" spans="1:13">
      <c r="A44" t="s">
        <v>253</v>
      </c>
      <c r="F44" s="18"/>
      <c r="G44" s="18"/>
      <c r="I44" s="18"/>
      <c r="L44" s="45">
        <f>832.202/805.565</f>
        <v>1.0330662330165783</v>
      </c>
      <c r="M44" s="40" t="s">
        <v>11</v>
      </c>
    </row>
    <row r="45" spans="1:13">
      <c r="A45" t="s">
        <v>254</v>
      </c>
      <c r="F45" s="18"/>
      <c r="G45" s="18"/>
      <c r="I45" s="18"/>
      <c r="L45" s="45">
        <f>894.186/841.638</f>
        <v>1.0624353938391564</v>
      </c>
      <c r="M45" s="40" t="s">
        <v>11</v>
      </c>
    </row>
    <row r="47" spans="1:13">
      <c r="A47" t="s">
        <v>255</v>
      </c>
    </row>
    <row r="48" spans="1:13">
      <c r="A48" t="s">
        <v>256</v>
      </c>
    </row>
    <row r="49" spans="1:1">
      <c r="A49" t="s">
        <v>257</v>
      </c>
    </row>
    <row r="50" spans="1:1">
      <c r="A50" t="s">
        <v>258</v>
      </c>
    </row>
    <row r="51" spans="1:1">
      <c r="A51" t="s">
        <v>259</v>
      </c>
    </row>
    <row r="52" spans="1:1">
      <c r="A52" t="s">
        <v>260</v>
      </c>
    </row>
    <row r="53" spans="1:1">
      <c r="A53" t="s">
        <v>261</v>
      </c>
    </row>
    <row r="54" spans="1:1">
      <c r="A54" t="s">
        <v>262</v>
      </c>
    </row>
    <row r="57" spans="1:1">
      <c r="A57" t="s">
        <v>263</v>
      </c>
    </row>
    <row r="58" spans="1:1">
      <c r="A58" t="s">
        <v>264</v>
      </c>
    </row>
    <row r="60" spans="1:1">
      <c r="A60" t="s">
        <v>265</v>
      </c>
    </row>
    <row r="61" spans="1:1">
      <c r="A61" s="2" t="s">
        <v>266</v>
      </c>
    </row>
    <row r="63" spans="1:1" ht="60">
      <c r="A63" s="49" t="s">
        <v>267</v>
      </c>
    </row>
    <row r="65" spans="1:1">
      <c r="A65" s="54" t="s">
        <v>268</v>
      </c>
    </row>
    <row r="67" spans="1:1">
      <c r="A67" t="s">
        <v>269</v>
      </c>
    </row>
    <row r="69" spans="1:1" ht="60">
      <c r="A69" s="60" t="s">
        <v>270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DC562-33EE-41D6-9742-81D17E7756E1}">
  <dimension ref="A1:N60"/>
  <sheetViews>
    <sheetView topLeftCell="A25" workbookViewId="0">
      <selection activeCell="A31" sqref="A31"/>
    </sheetView>
  </sheetViews>
  <sheetFormatPr defaultRowHeight="15"/>
  <cols>
    <col min="1" max="1" width="35.5703125" customWidth="1"/>
    <col min="6" max="6" width="14.140625" customWidth="1"/>
    <col min="8" max="8" width="12.5703125" customWidth="1"/>
    <col min="9" max="9" width="12.7109375" customWidth="1"/>
    <col min="11" max="11" width="12.42578125" customWidth="1"/>
    <col min="13" max="13" width="26" customWidth="1"/>
    <col min="14" max="14" width="25.28515625" customWidth="1"/>
  </cols>
  <sheetData>
    <row r="1" spans="1:14">
      <c r="G1" t="s">
        <v>0</v>
      </c>
      <c r="M1" s="41" t="s">
        <v>96</v>
      </c>
      <c r="N1" s="3" t="s">
        <v>200</v>
      </c>
    </row>
    <row r="2" spans="1:14">
      <c r="A2" t="s">
        <v>1</v>
      </c>
      <c r="B2" s="3" t="s">
        <v>2</v>
      </c>
      <c r="C2" t="s">
        <v>3</v>
      </c>
      <c r="D2" t="s">
        <v>4</v>
      </c>
      <c r="E2" s="3" t="s">
        <v>5</v>
      </c>
      <c r="F2" s="3" t="s">
        <v>6</v>
      </c>
      <c r="G2" s="3" t="s">
        <v>7</v>
      </c>
      <c r="H2" s="3" t="s">
        <v>8</v>
      </c>
      <c r="I2" s="3" t="s">
        <v>9</v>
      </c>
      <c r="J2" s="3">
        <v>3090</v>
      </c>
      <c r="K2" t="s">
        <v>271</v>
      </c>
      <c r="M2" s="2" t="s">
        <v>101</v>
      </c>
      <c r="N2" t="s">
        <v>102</v>
      </c>
    </row>
    <row r="3" spans="1:14">
      <c r="A3" s="20" t="s">
        <v>272</v>
      </c>
      <c r="B3" s="36"/>
      <c r="C3" s="36"/>
      <c r="D3" s="36"/>
      <c r="E3" s="36"/>
      <c r="F3" s="36"/>
      <c r="G3" s="36"/>
      <c r="H3" s="36"/>
      <c r="I3" s="36"/>
      <c r="J3" s="36"/>
      <c r="K3" s="36"/>
      <c r="L3" s="36"/>
      <c r="M3" s="35" t="s">
        <v>9</v>
      </c>
      <c r="N3" s="35" t="s">
        <v>9</v>
      </c>
    </row>
    <row r="4" spans="1:14" ht="15.75">
      <c r="A4" s="29" t="s">
        <v>273</v>
      </c>
      <c r="F4" s="18"/>
      <c r="H4" s="18"/>
      <c r="I4" s="18"/>
      <c r="M4" s="52" t="s">
        <v>274</v>
      </c>
      <c r="N4" s="50" t="s">
        <v>275</v>
      </c>
    </row>
    <row r="5" spans="1:14" ht="15.75">
      <c r="A5" s="29" t="s">
        <v>276</v>
      </c>
      <c r="F5" s="18"/>
      <c r="H5" s="18"/>
      <c r="I5" s="18"/>
      <c r="M5" s="52" t="s">
        <v>274</v>
      </c>
      <c r="N5" s="50" t="s">
        <v>275</v>
      </c>
    </row>
    <row r="6" spans="1:14" ht="15.75">
      <c r="A6" s="29" t="s">
        <v>277</v>
      </c>
      <c r="F6" s="18"/>
      <c r="H6" s="18"/>
      <c r="I6" s="18"/>
      <c r="M6" s="52" t="s">
        <v>274</v>
      </c>
      <c r="N6" s="50" t="s">
        <v>275</v>
      </c>
    </row>
    <row r="7" spans="1:14" ht="15.75">
      <c r="A7" s="29" t="s">
        <v>278</v>
      </c>
      <c r="F7" s="18"/>
      <c r="H7" s="4" t="s">
        <v>28</v>
      </c>
      <c r="I7" s="18"/>
      <c r="M7" s="52" t="s">
        <v>274</v>
      </c>
      <c r="N7" s="50" t="s">
        <v>275</v>
      </c>
    </row>
    <row r="8" spans="1:14" ht="15.75">
      <c r="A8" s="29" t="s">
        <v>279</v>
      </c>
      <c r="F8" s="4" t="s">
        <v>28</v>
      </c>
      <c r="H8" s="4" t="s">
        <v>28</v>
      </c>
      <c r="I8" s="18"/>
      <c r="M8" s="52" t="s">
        <v>274</v>
      </c>
      <c r="N8" s="50" t="s">
        <v>275</v>
      </c>
    </row>
    <row r="9" spans="1:14" ht="15.75">
      <c r="A9" s="29" t="s">
        <v>280</v>
      </c>
      <c r="F9" s="4" t="s">
        <v>28</v>
      </c>
      <c r="H9" s="4" t="s">
        <v>28</v>
      </c>
      <c r="I9" s="18"/>
      <c r="M9" s="52" t="s">
        <v>274</v>
      </c>
      <c r="N9" s="50" t="s">
        <v>275</v>
      </c>
    </row>
    <row r="10" spans="1:14" ht="15.75">
      <c r="A10" s="29" t="s">
        <v>281</v>
      </c>
      <c r="F10" s="31" t="s">
        <v>118</v>
      </c>
      <c r="H10" s="18"/>
      <c r="I10" s="18"/>
      <c r="M10" s="52" t="s">
        <v>274</v>
      </c>
      <c r="N10" s="50" t="s">
        <v>275</v>
      </c>
    </row>
    <row r="11" spans="1:14" ht="15.75">
      <c r="A11" s="29" t="s">
        <v>282</v>
      </c>
      <c r="F11" s="18"/>
      <c r="H11" s="18"/>
      <c r="I11" s="18"/>
      <c r="M11" s="52" t="s">
        <v>274</v>
      </c>
      <c r="N11" s="50" t="s">
        <v>275</v>
      </c>
    </row>
    <row r="12" spans="1:14" ht="15.75">
      <c r="A12" s="29" t="s">
        <v>283</v>
      </c>
      <c r="F12" s="4" t="s">
        <v>28</v>
      </c>
      <c r="H12" s="18"/>
      <c r="I12" s="18"/>
      <c r="M12" s="52" t="s">
        <v>274</v>
      </c>
      <c r="N12" s="50" t="s">
        <v>275</v>
      </c>
    </row>
    <row r="13" spans="1:14" ht="15.75">
      <c r="A13" s="29" t="s">
        <v>284</v>
      </c>
      <c r="F13" s="18"/>
      <c r="H13" s="18"/>
      <c r="I13" s="18"/>
      <c r="M13" s="52" t="s">
        <v>274</v>
      </c>
      <c r="N13" s="50" t="s">
        <v>275</v>
      </c>
    </row>
    <row r="14" spans="1:14">
      <c r="A14" s="20" t="s">
        <v>285</v>
      </c>
      <c r="B14" s="36"/>
      <c r="C14" s="36"/>
      <c r="D14" s="36"/>
      <c r="E14" s="36"/>
      <c r="F14" s="36"/>
      <c r="G14" s="36"/>
      <c r="H14" s="36"/>
      <c r="I14" s="36"/>
      <c r="J14" s="36"/>
      <c r="K14" s="36"/>
      <c r="L14" s="36"/>
      <c r="M14" s="35" t="s">
        <v>9</v>
      </c>
      <c r="N14" s="39" t="s">
        <v>9</v>
      </c>
    </row>
    <row r="15" spans="1:14" ht="15.75">
      <c r="A15" s="29" t="s">
        <v>286</v>
      </c>
      <c r="F15" s="31" t="s">
        <v>118</v>
      </c>
      <c r="H15" s="18"/>
      <c r="I15" s="18"/>
      <c r="K15" s="51"/>
      <c r="M15" s="52" t="s">
        <v>274</v>
      </c>
      <c r="N15" s="50" t="s">
        <v>275</v>
      </c>
    </row>
    <row r="16" spans="1:14">
      <c r="A16" t="s">
        <v>287</v>
      </c>
      <c r="F16" s="4" t="s">
        <v>28</v>
      </c>
      <c r="H16" s="4" t="s">
        <v>28</v>
      </c>
      <c r="I16" s="4" t="s">
        <v>28</v>
      </c>
      <c r="K16" s="4" t="s">
        <v>28</v>
      </c>
      <c r="M16" s="4" t="s">
        <v>288</v>
      </c>
      <c r="N16" s="50" t="s">
        <v>275</v>
      </c>
    </row>
    <row r="17" spans="1:14" ht="15.75">
      <c r="A17" s="29" t="s">
        <v>289</v>
      </c>
      <c r="F17" s="4" t="s">
        <v>28</v>
      </c>
      <c r="H17" s="4" t="s">
        <v>28</v>
      </c>
      <c r="I17" s="18"/>
      <c r="K17" s="4" t="s">
        <v>28</v>
      </c>
      <c r="M17" s="52" t="s">
        <v>274</v>
      </c>
      <c r="N17" s="50" t="s">
        <v>275</v>
      </c>
    </row>
    <row r="18" spans="1:14">
      <c r="A18" s="20" t="s">
        <v>290</v>
      </c>
      <c r="B18" s="36"/>
      <c r="C18" s="36"/>
      <c r="D18" s="36"/>
      <c r="E18" s="36"/>
      <c r="F18" s="36"/>
      <c r="G18" s="36"/>
      <c r="H18" s="36"/>
      <c r="I18" s="36"/>
      <c r="J18" s="36"/>
      <c r="K18" s="36"/>
      <c r="L18" s="36"/>
      <c r="M18" s="35" t="s">
        <v>9</v>
      </c>
      <c r="N18" s="35" t="s">
        <v>9</v>
      </c>
    </row>
    <row r="19" spans="1:14" ht="15.75">
      <c r="A19" s="29" t="s">
        <v>291</v>
      </c>
      <c r="F19" s="18"/>
      <c r="H19" s="18"/>
      <c r="I19" s="18"/>
      <c r="M19" s="52" t="s">
        <v>274</v>
      </c>
      <c r="N19" s="50" t="s">
        <v>275</v>
      </c>
    </row>
    <row r="20" spans="1:14" ht="15.75">
      <c r="A20" s="29" t="s">
        <v>292</v>
      </c>
      <c r="F20" s="18"/>
      <c r="H20" s="18"/>
      <c r="I20" s="4" t="s">
        <v>288</v>
      </c>
      <c r="M20" s="4" t="s">
        <v>288</v>
      </c>
      <c r="N20" s="50" t="s">
        <v>275</v>
      </c>
    </row>
    <row r="21" spans="1:14" ht="15.75">
      <c r="A21" s="29" t="s">
        <v>293</v>
      </c>
      <c r="F21" s="32" t="s">
        <v>18</v>
      </c>
      <c r="H21" s="32" t="s">
        <v>18</v>
      </c>
      <c r="I21" s="18"/>
      <c r="M21" s="52" t="s">
        <v>274</v>
      </c>
      <c r="N21" s="50" t="s">
        <v>275</v>
      </c>
    </row>
    <row r="22" spans="1:14">
      <c r="A22" t="s">
        <v>294</v>
      </c>
      <c r="F22" s="32" t="s">
        <v>18</v>
      </c>
      <c r="H22" s="32" t="s">
        <v>18</v>
      </c>
      <c r="I22" s="4" t="s">
        <v>288</v>
      </c>
      <c r="M22" s="4" t="s">
        <v>288</v>
      </c>
      <c r="N22" s="50" t="s">
        <v>275</v>
      </c>
    </row>
    <row r="23" spans="1:14">
      <c r="A23" s="20" t="s">
        <v>295</v>
      </c>
      <c r="B23" s="36"/>
      <c r="C23" s="36"/>
      <c r="D23" s="36"/>
      <c r="E23" s="36"/>
      <c r="F23" s="36"/>
      <c r="G23" s="36"/>
      <c r="H23" s="36"/>
      <c r="I23" s="36"/>
      <c r="J23" s="36"/>
      <c r="K23" s="36"/>
      <c r="L23" s="36"/>
      <c r="M23" s="35" t="s">
        <v>9</v>
      </c>
      <c r="N23" s="35" t="s">
        <v>9</v>
      </c>
    </row>
    <row r="24" spans="1:14" ht="15.75">
      <c r="A24" s="29" t="s">
        <v>296</v>
      </c>
      <c r="F24" s="30" t="s">
        <v>108</v>
      </c>
      <c r="H24" s="30" t="s">
        <v>108</v>
      </c>
      <c r="I24" s="30" t="s">
        <v>108</v>
      </c>
      <c r="M24" s="30" t="s">
        <v>108</v>
      </c>
      <c r="N24" s="30" t="s">
        <v>108</v>
      </c>
    </row>
    <row r="25" spans="1:14">
      <c r="A25" t="s">
        <v>297</v>
      </c>
      <c r="F25" s="30" t="s">
        <v>108</v>
      </c>
      <c r="H25" s="30" t="s">
        <v>108</v>
      </c>
      <c r="I25" s="30" t="s">
        <v>108</v>
      </c>
      <c r="M25" s="30" t="s">
        <v>108</v>
      </c>
      <c r="N25" s="30" t="s">
        <v>108</v>
      </c>
    </row>
    <row r="26" spans="1:14" ht="15.75">
      <c r="A26" s="29" t="s">
        <v>298</v>
      </c>
      <c r="F26" s="30" t="s">
        <v>108</v>
      </c>
      <c r="H26" s="30" t="s">
        <v>108</v>
      </c>
      <c r="I26" s="30" t="s">
        <v>108</v>
      </c>
      <c r="M26" s="30" t="s">
        <v>108</v>
      </c>
      <c r="N26" s="30" t="s">
        <v>108</v>
      </c>
    </row>
    <row r="27" spans="1:14">
      <c r="A27" t="s">
        <v>299</v>
      </c>
      <c r="F27" s="30" t="s">
        <v>108</v>
      </c>
      <c r="H27" s="30" t="s">
        <v>108</v>
      </c>
      <c r="I27" s="30" t="s">
        <v>108</v>
      </c>
      <c r="M27" s="30" t="s">
        <v>108</v>
      </c>
      <c r="N27" s="30" t="s">
        <v>108</v>
      </c>
    </row>
    <row r="28" spans="1:14">
      <c r="A28" t="s">
        <v>300</v>
      </c>
      <c r="F28" s="30" t="s">
        <v>108</v>
      </c>
      <c r="H28" s="30" t="s">
        <v>108</v>
      </c>
      <c r="I28" s="30" t="s">
        <v>108</v>
      </c>
      <c r="M28" s="30" t="s">
        <v>108</v>
      </c>
      <c r="N28" s="30" t="s">
        <v>108</v>
      </c>
    </row>
    <row r="29" spans="1:14">
      <c r="A29" s="20" t="s">
        <v>301</v>
      </c>
      <c r="B29" s="36"/>
      <c r="C29" s="36"/>
      <c r="D29" s="36"/>
      <c r="E29" s="36"/>
      <c r="F29" s="36"/>
      <c r="G29" s="36"/>
      <c r="H29" s="36"/>
      <c r="I29" s="36"/>
      <c r="J29" s="36"/>
      <c r="K29" s="36"/>
      <c r="L29" s="36"/>
      <c r="M29" s="36"/>
      <c r="N29" s="36"/>
    </row>
    <row r="30" spans="1:14" ht="15.75">
      <c r="A30" s="29" t="s">
        <v>302</v>
      </c>
      <c r="F30" s="18"/>
      <c r="I30" s="18"/>
      <c r="M30" s="52" t="s">
        <v>274</v>
      </c>
      <c r="N30" s="63" t="s">
        <v>303</v>
      </c>
    </row>
    <row r="31" spans="1:14">
      <c r="A31" s="20" t="s">
        <v>304</v>
      </c>
      <c r="B31" s="36"/>
      <c r="C31" s="36"/>
      <c r="D31" s="36"/>
      <c r="E31" s="36"/>
      <c r="F31" s="36"/>
      <c r="G31" s="36"/>
      <c r="H31" s="36"/>
      <c r="I31" s="36"/>
      <c r="J31" s="36"/>
      <c r="K31" s="36"/>
      <c r="L31" s="36"/>
      <c r="M31" s="35" t="s">
        <v>6</v>
      </c>
      <c r="N31" s="35" t="s">
        <v>6</v>
      </c>
    </row>
    <row r="32" spans="1:14" ht="15.75">
      <c r="A32" s="29" t="s">
        <v>305</v>
      </c>
      <c r="F32" s="18"/>
      <c r="M32" s="62" t="s">
        <v>306</v>
      </c>
      <c r="N32" s="42">
        <f>5360.154/6428.64</f>
        <v>0.83379283954304495</v>
      </c>
    </row>
    <row r="33" spans="1:14" ht="15.75">
      <c r="A33" s="29" t="s">
        <v>307</v>
      </c>
      <c r="F33" s="18"/>
      <c r="M33" s="33" t="s">
        <v>308</v>
      </c>
      <c r="N33" s="42">
        <f>6710.107/8185.777</f>
        <v>0.81972755915534956</v>
      </c>
    </row>
    <row r="34" spans="1:14" ht="15.75">
      <c r="A34" s="29" t="s">
        <v>309</v>
      </c>
      <c r="F34" s="18"/>
      <c r="M34" s="33" t="s">
        <v>310</v>
      </c>
      <c r="N34" s="45">
        <f>6881.383/6782.497</f>
        <v>1.0145795862497247</v>
      </c>
    </row>
    <row r="35" spans="1:14" ht="15.75">
      <c r="A35" s="29" t="s">
        <v>311</v>
      </c>
      <c r="F35" s="18"/>
      <c r="M35" s="33" t="s">
        <v>312</v>
      </c>
      <c r="N35" s="42">
        <f>6424.635/6962.55</f>
        <v>0.92274166792339019</v>
      </c>
    </row>
    <row r="36" spans="1:14" ht="15.75">
      <c r="A36" s="29" t="s">
        <v>313</v>
      </c>
      <c r="F36" s="18"/>
      <c r="M36" s="33" t="s">
        <v>314</v>
      </c>
      <c r="N36" s="42">
        <f>2373.653/3414.471</f>
        <v>0.69517445015640777</v>
      </c>
    </row>
    <row r="37" spans="1:14" ht="15.75">
      <c r="A37" s="29" t="s">
        <v>315</v>
      </c>
      <c r="F37" s="18"/>
      <c r="M37" s="33" t="s">
        <v>316</v>
      </c>
      <c r="N37" s="42">
        <f>4025.204/4388.319</f>
        <v>0.91725419232284611</v>
      </c>
    </row>
    <row r="39" spans="1:14">
      <c r="A39" t="s">
        <v>58</v>
      </c>
    </row>
    <row r="40" spans="1:14">
      <c r="A40" t="s">
        <v>59</v>
      </c>
    </row>
    <row r="42" spans="1:14">
      <c r="A42" t="s">
        <v>317</v>
      </c>
    </row>
    <row r="44" spans="1:14">
      <c r="A44" t="s">
        <v>318</v>
      </c>
    </row>
    <row r="45" spans="1:14">
      <c r="A45" t="s">
        <v>319</v>
      </c>
    </row>
    <row r="46" spans="1:14">
      <c r="A46" t="s">
        <v>320</v>
      </c>
    </row>
    <row r="47" spans="1:14">
      <c r="A47" t="s">
        <v>321</v>
      </c>
    </row>
    <row r="48" spans="1:14">
      <c r="A48" t="s">
        <v>322</v>
      </c>
    </row>
    <row r="50" spans="1:1">
      <c r="A50" t="s">
        <v>323</v>
      </c>
    </row>
    <row r="52" spans="1:1">
      <c r="A52" t="s">
        <v>324</v>
      </c>
    </row>
    <row r="54" spans="1:1" ht="315">
      <c r="A54" s="49" t="s">
        <v>325</v>
      </c>
    </row>
    <row r="56" spans="1:1">
      <c r="A56" t="s">
        <v>326</v>
      </c>
    </row>
    <row r="57" spans="1:1">
      <c r="A57" t="s">
        <v>327</v>
      </c>
    </row>
    <row r="58" spans="1:1">
      <c r="A58" t="s">
        <v>199</v>
      </c>
    </row>
    <row r="60" spans="1:1">
      <c r="A60"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2020-10-05T23:14:35Z</dcterms:created>
  <dcterms:modified xsi:type="dcterms:W3CDTF">2021-01-12T23:38:21Z</dcterms:modified>
  <cp:category/>
  <cp:contentStatus/>
</cp:coreProperties>
</file>